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omments24.xml" ContentType="application/vnd.openxmlformats-officedocument.spreadsheetml.comments+xml"/>
  <Override PartName="/xl/drawings/drawing29.xml" ContentType="application/vnd.openxmlformats-officedocument.drawing+xml"/>
  <Override PartName="/xl/comments25.xml" ContentType="application/vnd.openxmlformats-officedocument.spreadsheetml.comments+xml"/>
  <Override PartName="/xl/drawings/drawing30.xml" ContentType="application/vnd.openxmlformats-officedocument.drawing+xml"/>
  <Override PartName="/xl/comments26.xml" ContentType="application/vnd.openxmlformats-officedocument.spreadsheetml.comments+xml"/>
  <Override PartName="/xl/drawings/drawing31.xml" ContentType="application/vnd.openxmlformats-officedocument.drawing+xml"/>
  <Override PartName="/xl/drawings/drawing32.xml" ContentType="application/vnd.openxmlformats-officedocument.drawing+xml"/>
  <Override PartName="/xl/comments27.xml" ContentType="application/vnd.openxmlformats-officedocument.spreadsheetml.comments+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comments28.xml" ContentType="application/vnd.openxmlformats-officedocument.spreadsheetml.comments+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07"/>
  <workbookPr codeName="ThisWorkbook" autoCompressPictures="0"/>
  <mc:AlternateContent xmlns:mc="http://schemas.openxmlformats.org/markup-compatibility/2006">
    <mc:Choice Requires="x15">
      <x15ac:absPath xmlns:x15ac="http://schemas.microsoft.com/office/spreadsheetml/2010/11/ac" url="F:\ASUNTOS_2025\HyG\ETAPA_PRECONTRACTUAL-2025\"/>
    </mc:Choice>
  </mc:AlternateContent>
  <xr:revisionPtr revIDLastSave="3" documentId="8_{8D4F0ADA-F4F5-4ED7-8F89-332263B9CD79}" xr6:coauthVersionLast="47" xr6:coauthVersionMax="47" xr10:uidLastSave="{50DE0F8E-D3A2-4AE0-B08D-D0F49EC28FA3}"/>
  <bookViews>
    <workbookView xWindow="19080" yWindow="-120" windowWidth="26640" windowHeight="14490" firstSheet="1" activeTab="1" xr2:uid="{00000000-000D-0000-FFFF-FFFF00000000}"/>
  </bookViews>
  <sheets>
    <sheet name="Instructivo" sheetId="60" r:id="rId1"/>
    <sheet name="Plan Ejecución" sheetId="25" r:id="rId2"/>
    <sheet name="PE PSP" sheetId="74" state="hidden" r:id="rId3"/>
    <sheet name="Otrosi_1" sheetId="79" state="hidden" r:id="rId4"/>
    <sheet name="Otrosi_2" sheetId="80" state="hidden" r:id="rId5"/>
    <sheet name="Presupuesto Contrato" sheetId="26" r:id="rId6"/>
    <sheet name="Ppto PSP" sheetId="75" state="hidden" r:id="rId7"/>
    <sheet name="Presupuesto Convenio" sheetId="53" state="hidden" r:id="rId8"/>
    <sheet name="PRESUPUESTO OTRO SI " sheetId="78" state="hidden" r:id="rId9"/>
    <sheet name="Memoria de cálculo O1" sheetId="9" r:id="rId10"/>
    <sheet name="Memoria de cálculo O2" sheetId="64" state="hidden" r:id="rId11"/>
    <sheet name="Memoria de cálculo O3" sheetId="62" state="hidden" r:id="rId12"/>
    <sheet name="Estudio de mercado" sheetId="49" r:id="rId13"/>
    <sheet name="Gastos de adm" sheetId="23" state="hidden" r:id="rId14"/>
    <sheet name="Bienes relevantes" sheetId="76" state="hidden" r:id="rId15"/>
    <sheet name="Propuesta económica O1" sheetId="51" r:id="rId16"/>
    <sheet name="Propuesta económica O2" sheetId="41" state="hidden" r:id="rId17"/>
    <sheet name="Propuesta económica O3" sheetId="63" state="hidden" r:id="rId18"/>
    <sheet name="PAB CA" sheetId="67" state="hidden" r:id="rId19"/>
    <sheet name="Evaluación financiera" sheetId="50" state="hidden" r:id="rId20"/>
    <sheet name="PAB CR" sheetId="68" state="hidden" r:id="rId21"/>
    <sheet name="Habilitados - SI" sheetId="57" state="hidden" r:id="rId22"/>
    <sheet name="A. Lances - SIP" sheetId="56" state="hidden" r:id="rId23"/>
    <sheet name="D. Lances - SIP" sheetId="58" state="hidden" r:id="rId24"/>
    <sheet name="DD. Lances - SIP" sheetId="61" state="hidden" r:id="rId25"/>
    <sheet name="Gtos DyM" sheetId="46" state="hidden" r:id="rId26"/>
    <sheet name="Honorarios" sheetId="28" state="hidden" r:id="rId27"/>
    <sheet name="Jornal" sheetId="39" state="hidden" r:id="rId28"/>
    <sheet name="Salarios" sheetId="59" state="hidden" r:id="rId29"/>
    <sheet name="Alimentación" sheetId="38" state="hidden" r:id="rId30"/>
    <sheet name="Distintivos" sheetId="48" state="hidden" r:id="rId31"/>
    <sheet name="Cuantías" sheetId="77" state="hidden" r:id="rId32"/>
    <sheet name="Apoyo" sheetId="73" state="hidden" r:id="rId33"/>
    <sheet name="Obra&amp;K" sheetId="72" state="hidden" r:id="rId34"/>
    <sheet name="Imp &amp; garantías" sheetId="65" state="hidden" r:id="rId35"/>
    <sheet name="A&amp;PA" sheetId="69" state="hidden" r:id="rId36"/>
    <sheet name="IVA" sheetId="70" state="hidden" r:id="rId37"/>
    <sheet name="Notas PE" sheetId="55" state="hidden" r:id="rId38"/>
    <sheet name="CF&amp;O" sheetId="71" state="hidden" r:id="rId39"/>
  </sheets>
  <externalReferences>
    <externalReference r:id="rId40"/>
    <externalReference r:id="rId41"/>
    <externalReference r:id="rId42"/>
    <externalReference r:id="rId43"/>
    <externalReference r:id="rId44"/>
    <externalReference r:id="rId45"/>
    <externalReference r:id="rId46"/>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35">#REF!</definedName>
    <definedName name="_Cod1" localSheetId="32">#REF!</definedName>
    <definedName name="_Cod1" localSheetId="14">#REF!</definedName>
    <definedName name="_Cod1" localSheetId="38">#REF!</definedName>
    <definedName name="_Cod1" localSheetId="31">#REF!</definedName>
    <definedName name="_Cod1" localSheetId="30">#REF!</definedName>
    <definedName name="_Cod1" localSheetId="12">#REF!</definedName>
    <definedName name="_Cod1" localSheetId="25">#REF!</definedName>
    <definedName name="_Cod1" localSheetId="34">#REF!</definedName>
    <definedName name="_Cod1" localSheetId="36">#REF!</definedName>
    <definedName name="_Cod1" localSheetId="10">#REF!</definedName>
    <definedName name="_Cod1" localSheetId="11">#REF!</definedName>
    <definedName name="_Cod1" localSheetId="33">#REF!</definedName>
    <definedName name="_Cod1" localSheetId="18">#REF!</definedName>
    <definedName name="_Cod1" localSheetId="20">#REF!</definedName>
    <definedName name="_Cod1" localSheetId="2">#REF!</definedName>
    <definedName name="_Cod1" localSheetId="6">#REF!</definedName>
    <definedName name="_Cod1" localSheetId="7">#REF!</definedName>
    <definedName name="_Cod1" localSheetId="15">#REF!</definedName>
    <definedName name="_Cod1" localSheetId="17">#REF!</definedName>
    <definedName name="_Cod1" localSheetId="28">#REF!</definedName>
    <definedName name="_Cod1">#REF!</definedName>
    <definedName name="_Fill" localSheetId="35" hidden="1">#REF!</definedName>
    <definedName name="_Fill" localSheetId="32" hidden="1">#REF!</definedName>
    <definedName name="_Fill" localSheetId="14" hidden="1">#REF!</definedName>
    <definedName name="_Fill" localSheetId="38" hidden="1">#REF!</definedName>
    <definedName name="_Fill" localSheetId="31" hidden="1">#REF!</definedName>
    <definedName name="_Fill" localSheetId="30" hidden="1">#REF!</definedName>
    <definedName name="_Fill" localSheetId="12" hidden="1">#REF!</definedName>
    <definedName name="_Fill" localSheetId="25" hidden="1">#REF!</definedName>
    <definedName name="_Fill" localSheetId="34" hidden="1">#REF!</definedName>
    <definedName name="_Fill" localSheetId="36" hidden="1">#REF!</definedName>
    <definedName name="_Fill" localSheetId="10" hidden="1">#REF!</definedName>
    <definedName name="_Fill" localSheetId="11" hidden="1">#REF!</definedName>
    <definedName name="_Fill" localSheetId="33" hidden="1">#REF!</definedName>
    <definedName name="_Fill" localSheetId="18" hidden="1">#REF!</definedName>
    <definedName name="_Fill" localSheetId="20" hidden="1">#REF!</definedName>
    <definedName name="_Fill" localSheetId="2" hidden="1">#REF!</definedName>
    <definedName name="_Fill" localSheetId="6" hidden="1">#REF!</definedName>
    <definedName name="_Fill" localSheetId="7" hidden="1">#REF!</definedName>
    <definedName name="_Fill" localSheetId="15" hidden="1">#REF!</definedName>
    <definedName name="_Fill" localSheetId="17" hidden="1">#REF!</definedName>
    <definedName name="_Fill" localSheetId="28" hidden="1">#REF!</definedName>
    <definedName name="_Fill" hidden="1">#REF!</definedName>
    <definedName name="_xlnm._FilterDatabase" localSheetId="25" hidden="1">'Gtos DyM'!$A$9:$D$92</definedName>
    <definedName name="_xlnm._FilterDatabase" localSheetId="15" hidden="1">'Propuesta económica O1'!$A$10:$F$10</definedName>
    <definedName name="_MA2" localSheetId="35">#REF!</definedName>
    <definedName name="_MA2" localSheetId="32">#REF!</definedName>
    <definedName name="_MA2" localSheetId="14">#REF!</definedName>
    <definedName name="_MA2" localSheetId="38">#REF!</definedName>
    <definedName name="_MA2" localSheetId="31">#REF!</definedName>
    <definedName name="_MA2" localSheetId="30">#REF!</definedName>
    <definedName name="_MA2" localSheetId="12">#REF!</definedName>
    <definedName name="_MA2" localSheetId="25">#REF!</definedName>
    <definedName name="_MA2" localSheetId="34">#REF!</definedName>
    <definedName name="_MA2" localSheetId="36">#REF!</definedName>
    <definedName name="_MA2" localSheetId="10">#REF!</definedName>
    <definedName name="_MA2" localSheetId="11">#REF!</definedName>
    <definedName name="_MA2" localSheetId="33">#REF!</definedName>
    <definedName name="_MA2" localSheetId="18">#REF!</definedName>
    <definedName name="_MA2" localSheetId="20">#REF!</definedName>
    <definedName name="_MA2" localSheetId="2">#REF!</definedName>
    <definedName name="_MA2" localSheetId="6">#REF!</definedName>
    <definedName name="_MA2" localSheetId="7">#REF!</definedName>
    <definedName name="_MA2" localSheetId="15">#REF!</definedName>
    <definedName name="_MA2" localSheetId="17">#REF!</definedName>
    <definedName name="_MA2" localSheetId="28">#REF!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 localSheetId="35">#REF!</definedName>
    <definedName name="a" localSheetId="32">#REF!</definedName>
    <definedName name="a" localSheetId="14">#REF!</definedName>
    <definedName name="a" localSheetId="38">#REF!</definedName>
    <definedName name="a" localSheetId="31">#REF!</definedName>
    <definedName name="a" localSheetId="30">#REF!</definedName>
    <definedName name="a" localSheetId="12">#REF!</definedName>
    <definedName name="a" localSheetId="25">#REF!</definedName>
    <definedName name="a" localSheetId="34">#REF!</definedName>
    <definedName name="a" localSheetId="36">#REF!</definedName>
    <definedName name="a" localSheetId="10">#REF!</definedName>
    <definedName name="a" localSheetId="11">#REF!</definedName>
    <definedName name="a" localSheetId="33">#REF!</definedName>
    <definedName name="a" localSheetId="18">#REF!</definedName>
    <definedName name="a" localSheetId="20">#REF!</definedName>
    <definedName name="a" localSheetId="2">#REF!</definedName>
    <definedName name="a" localSheetId="6">#REF!</definedName>
    <definedName name="a" localSheetId="7">#REF!</definedName>
    <definedName name="a" localSheetId="15">#REF!</definedName>
    <definedName name="a" localSheetId="17">#REF!</definedName>
    <definedName name="a" localSheetId="28">#REF!</definedName>
    <definedName name="a">#REF!</definedName>
    <definedName name="A_IMPRESIÓN_IM" localSheetId="35">#REF!</definedName>
    <definedName name="A_IMPRESIÓN_IM" localSheetId="32">#REF!</definedName>
    <definedName name="A_IMPRESIÓN_IM" localSheetId="14">#REF!</definedName>
    <definedName name="A_IMPRESIÓN_IM" localSheetId="38">#REF!</definedName>
    <definedName name="A_IMPRESIÓN_IM" localSheetId="31">#REF!</definedName>
    <definedName name="A_IMPRESIÓN_IM" localSheetId="30">#REF!</definedName>
    <definedName name="A_IMPRESIÓN_IM" localSheetId="12">#REF!</definedName>
    <definedName name="A_IMPRESIÓN_IM" localSheetId="25">#REF!</definedName>
    <definedName name="A_IMPRESIÓN_IM" localSheetId="34">#REF!</definedName>
    <definedName name="A_IMPRESIÓN_IM" localSheetId="36">#REF!</definedName>
    <definedName name="A_IMPRESIÓN_IM" localSheetId="10">#REF!</definedName>
    <definedName name="A_IMPRESIÓN_IM" localSheetId="11">#REF!</definedName>
    <definedName name="A_IMPRESIÓN_IM" localSheetId="33">#REF!</definedName>
    <definedName name="A_IMPRESIÓN_IM" localSheetId="18">#REF!</definedName>
    <definedName name="A_IMPRESIÓN_IM" localSheetId="20">#REF!</definedName>
    <definedName name="A_IMPRESIÓN_IM" localSheetId="2">#REF!</definedName>
    <definedName name="A_IMPRESIÓN_IM" localSheetId="6">#REF!</definedName>
    <definedName name="A_IMPRESIÓN_IM" localSheetId="7">#REF!</definedName>
    <definedName name="A_IMPRESIÓN_IM" localSheetId="15">#REF!</definedName>
    <definedName name="A_IMPRESIÓN_IM" localSheetId="17">#REF!</definedName>
    <definedName name="A_IMPRESIÓN_IM" localSheetId="28">#REF!</definedName>
    <definedName name="A_IMPRESIÓN_IM">#REF!</definedName>
    <definedName name="aa" localSheetId="35">#REF!</definedName>
    <definedName name="aa" localSheetId="32">#REF!</definedName>
    <definedName name="aa" localSheetId="14">#REF!</definedName>
    <definedName name="aa" localSheetId="38">#REF!</definedName>
    <definedName name="aa" localSheetId="31">#REF!</definedName>
    <definedName name="aa" localSheetId="30">#REF!</definedName>
    <definedName name="aa" localSheetId="12">#REF!</definedName>
    <definedName name="aa" localSheetId="25">#REF!</definedName>
    <definedName name="aa" localSheetId="34">#REF!</definedName>
    <definedName name="aa" localSheetId="36">#REF!</definedName>
    <definedName name="aa" localSheetId="10">#REF!</definedName>
    <definedName name="aa" localSheetId="11">#REF!</definedName>
    <definedName name="aa" localSheetId="33">#REF!</definedName>
    <definedName name="aa" localSheetId="18">#REF!</definedName>
    <definedName name="aa" localSheetId="20">#REF!</definedName>
    <definedName name="aa" localSheetId="2">#REF!</definedName>
    <definedName name="aa" localSheetId="6">#REF!</definedName>
    <definedName name="aa" localSheetId="7">#REF!</definedName>
    <definedName name="aa" localSheetId="15">#REF!</definedName>
    <definedName name="aa" localSheetId="17">#REF!</definedName>
    <definedName name="aa" localSheetId="28">#REF!</definedName>
    <definedName name="aa">#REF!</definedName>
    <definedName name="aaa" localSheetId="35">#REF!</definedName>
    <definedName name="aaa" localSheetId="32">#REF!</definedName>
    <definedName name="aaa" localSheetId="14">#REF!</definedName>
    <definedName name="aaa" localSheetId="38">#REF!</definedName>
    <definedName name="aaa" localSheetId="31">#REF!</definedName>
    <definedName name="aaa" localSheetId="30">#REF!</definedName>
    <definedName name="aaa" localSheetId="12">#REF!</definedName>
    <definedName name="aaa" localSheetId="25">#REF!</definedName>
    <definedName name="aaa" localSheetId="34">#REF!</definedName>
    <definedName name="aaa" localSheetId="36">#REF!</definedName>
    <definedName name="aaa" localSheetId="10">#REF!</definedName>
    <definedName name="aaa" localSheetId="11">#REF!</definedName>
    <definedName name="aaa" localSheetId="33">#REF!</definedName>
    <definedName name="aaa" localSheetId="18">#REF!</definedName>
    <definedName name="aaa" localSheetId="20">#REF!</definedName>
    <definedName name="aaa" localSheetId="2">#REF!</definedName>
    <definedName name="aaa" localSheetId="6">#REF!</definedName>
    <definedName name="aaa" localSheetId="7">#REF!</definedName>
    <definedName name="aaa" localSheetId="15">#REF!</definedName>
    <definedName name="aaa" localSheetId="17">#REF!</definedName>
    <definedName name="aaa" localSheetId="28">#REF!</definedName>
    <definedName name="aaa">#REF!</definedName>
    <definedName name="AAC">[1]AASHTO!$A$14:$F$17</definedName>
    <definedName name="ABG">[1]AASHTO!$A$2:$F$5</definedName>
    <definedName name="admon" localSheetId="35">#REF!</definedName>
    <definedName name="admon" localSheetId="32">#REF!</definedName>
    <definedName name="admon" localSheetId="14">#REF!</definedName>
    <definedName name="admon" localSheetId="38">#REF!</definedName>
    <definedName name="admon" localSheetId="31">#REF!</definedName>
    <definedName name="admon" localSheetId="30">#REF!</definedName>
    <definedName name="admon" localSheetId="12">#REF!</definedName>
    <definedName name="admon" localSheetId="25">#REF!</definedName>
    <definedName name="admon" localSheetId="34">#REF!</definedName>
    <definedName name="admon" localSheetId="36">#REF!</definedName>
    <definedName name="admon" localSheetId="10">#REF!</definedName>
    <definedName name="admon" localSheetId="11">#REF!</definedName>
    <definedName name="admon" localSheetId="33">#REF!</definedName>
    <definedName name="admon" localSheetId="18">#REF!</definedName>
    <definedName name="admon" localSheetId="20">#REF!</definedName>
    <definedName name="admon" localSheetId="2">#REF!</definedName>
    <definedName name="admon" localSheetId="6">#REF!</definedName>
    <definedName name="admon" localSheetId="7">#REF!</definedName>
    <definedName name="admon" localSheetId="15">#REF!</definedName>
    <definedName name="admon" localSheetId="17">#REF!</definedName>
    <definedName name="admon" localSheetId="28">#REF!</definedName>
    <definedName name="admon">#REF!</definedName>
    <definedName name="alimentación">Alimentación!$B$2</definedName>
    <definedName name="ANTI" localSheetId="32">Apoyo!#REF!</definedName>
    <definedName name="ANTI" localSheetId="38">'CF&amp;O'!#REF!</definedName>
    <definedName name="ANTI" localSheetId="31">Cuantías!#REF!</definedName>
    <definedName name="ANTI" localSheetId="36">IVA!#REF!</definedName>
    <definedName name="ANTI" localSheetId="33">'Obra&amp;K'!#REF!</definedName>
    <definedName name="ANTI">'A&amp;PA'!$B$2</definedName>
    <definedName name="APOYO" localSheetId="31">Cuantías!#REF!</definedName>
    <definedName name="APOYO">Apoyo!$B$2</definedName>
    <definedName name="_xlnm.Print_Area" localSheetId="35">'A&amp;PA'!$A$1:$E$25</definedName>
    <definedName name="_xlnm.Print_Area" localSheetId="22">'A. Lances - SIP'!$A$1:$D$95</definedName>
    <definedName name="_xlnm.Print_Area" localSheetId="29">Alimentación!$A$1:$E$66</definedName>
    <definedName name="_xlnm.Print_Area" localSheetId="32">Apoyo!$A$1:$C$49</definedName>
    <definedName name="_xlnm.Print_Area" localSheetId="38">'CF&amp;O'!$A$1:$E$42</definedName>
    <definedName name="_xlnm.Print_Area" localSheetId="31">Cuantías!$A$1:$C$17</definedName>
    <definedName name="_xlnm.Print_Area" localSheetId="23">'D. Lances - SIP'!$A$6:$H$48</definedName>
    <definedName name="_xlnm.Print_Area" localSheetId="24">'DD. Lances - SIP'!$A$7:$H$48</definedName>
    <definedName name="_xlnm.Print_Area" localSheetId="30">Distintivos!$A$1:$C$16</definedName>
    <definedName name="_xlnm.Print_Area" localSheetId="19">'Evaluación financiera'!$A$1:$J$30</definedName>
    <definedName name="_xlnm.Print_Area" localSheetId="25">'Gtos DyM'!$A$1:$D$114</definedName>
    <definedName name="_xlnm.Print_Area" localSheetId="21">'Habilitados - SI'!$A$1:$G$44</definedName>
    <definedName name="_xlnm.Print_Area" localSheetId="26">Honorarios!$A$1:$D$48</definedName>
    <definedName name="_xlnm.Print_Area" localSheetId="34">'Imp &amp; garantías'!$A$1:$E$61</definedName>
    <definedName name="_xlnm.Print_Area" localSheetId="36">IVA!$A$1:$E$100</definedName>
    <definedName name="_xlnm.Print_Area" localSheetId="27">Jornal!$A$1:$J$44</definedName>
    <definedName name="_xlnm.Print_Area" localSheetId="37">'Notas PE'!$A$1:$E$40</definedName>
    <definedName name="_xlnm.Print_Area" localSheetId="33">'Obra&amp;K'!$A$1:$C$37</definedName>
    <definedName name="_xlnm.Print_Area" localSheetId="3">Otrosi_1!$A$5:$AD$238</definedName>
    <definedName name="_xlnm.Print_Area" localSheetId="20">'PAB CR'!$A$1:$N$80</definedName>
    <definedName name="_xlnm.Print_Area" localSheetId="2">'PE PSP'!$A$5:$Q$53</definedName>
    <definedName name="_xlnm.Print_Area" localSheetId="1">'Plan Ejecución'!$A$5:$AD$238</definedName>
    <definedName name="_xlnm.Print_Area" localSheetId="6">'Ppto PSP'!$A$1:$G$14</definedName>
    <definedName name="_xlnm.Print_Area" localSheetId="5">'Presupuesto Contrato'!$A$1:$P$167</definedName>
    <definedName name="_xlnm.Print_Area" localSheetId="7">'Presupuesto Convenio'!$A$1:$U$194</definedName>
    <definedName name="_xlnm.Print_Area" localSheetId="8">'PRESUPUESTO OTRO SI '!$A$1:$P$167</definedName>
    <definedName name="_xlnm.Print_Area" localSheetId="17">'Propuesta económica O3'!$A$1:$J$78</definedName>
    <definedName name="_xlnm.Print_Area" localSheetId="28">Salarios!$A$1:$F$121</definedName>
    <definedName name="_xlnm.Print_Area">#REF!</definedName>
    <definedName name="ASB">[1]AASHTO!$A$8:$F$11</definedName>
    <definedName name="Base" localSheetId="35">#REF!</definedName>
    <definedName name="Base" localSheetId="32">#REF!</definedName>
    <definedName name="Base" localSheetId="14">#REF!</definedName>
    <definedName name="Base" localSheetId="38">#REF!</definedName>
    <definedName name="Base" localSheetId="31">#REF!</definedName>
    <definedName name="Base" localSheetId="30">#REF!</definedName>
    <definedName name="Base" localSheetId="12">#REF!</definedName>
    <definedName name="Base" localSheetId="25">#REF!</definedName>
    <definedName name="Base" localSheetId="34">#REF!</definedName>
    <definedName name="Base" localSheetId="36">#REF!</definedName>
    <definedName name="Base" localSheetId="10">#REF!</definedName>
    <definedName name="Base" localSheetId="11">#REF!</definedName>
    <definedName name="Base" localSheetId="33">#REF!</definedName>
    <definedName name="Base" localSheetId="18">#REF!</definedName>
    <definedName name="Base" localSheetId="20">#REF!</definedName>
    <definedName name="Base" localSheetId="2">#REF!</definedName>
    <definedName name="Base" localSheetId="6">#REF!</definedName>
    <definedName name="Base" localSheetId="7">#REF!</definedName>
    <definedName name="Base" localSheetId="15">#REF!</definedName>
    <definedName name="Base" localSheetId="17">#REF!</definedName>
    <definedName name="Base" localSheetId="28">#REF!</definedName>
    <definedName name="Base">#REF!</definedName>
    <definedName name="_xlnm.Database" localSheetId="35">#REF!</definedName>
    <definedName name="_xlnm.Database" localSheetId="32">#REF!</definedName>
    <definedName name="_xlnm.Database" localSheetId="14">#REF!</definedName>
    <definedName name="_xlnm.Database" localSheetId="38">#REF!</definedName>
    <definedName name="_xlnm.Database" localSheetId="31">#REF!</definedName>
    <definedName name="_xlnm.Database" localSheetId="30">#REF!</definedName>
    <definedName name="_xlnm.Database" localSheetId="12">#REF!</definedName>
    <definedName name="_xlnm.Database" localSheetId="25">#REF!</definedName>
    <definedName name="_xlnm.Database" localSheetId="34">#REF!</definedName>
    <definedName name="_xlnm.Database" localSheetId="36">#REF!</definedName>
    <definedName name="_xlnm.Database" localSheetId="10">#REF!</definedName>
    <definedName name="_xlnm.Database" localSheetId="11">#REF!</definedName>
    <definedName name="_xlnm.Database" localSheetId="33">#REF!</definedName>
    <definedName name="_xlnm.Database" localSheetId="18">#REF!</definedName>
    <definedName name="_xlnm.Database" localSheetId="20">#REF!</definedName>
    <definedName name="_xlnm.Database" localSheetId="2">#REF!</definedName>
    <definedName name="_xlnm.Database" localSheetId="6">#REF!</definedName>
    <definedName name="_xlnm.Database" localSheetId="7">#REF!</definedName>
    <definedName name="_xlnm.Database" localSheetId="15">#REF!</definedName>
    <definedName name="_xlnm.Database" localSheetId="17">#REF!</definedName>
    <definedName name="_xlnm.Database" localSheetId="28">#REF!</definedName>
    <definedName name="_xlnm.Database">#REF!</definedName>
    <definedName name="BEB" localSheetId="35">#REF!</definedName>
    <definedName name="BEB" localSheetId="32">#REF!</definedName>
    <definedName name="BEB" localSheetId="14">#REF!</definedName>
    <definedName name="BEB" localSheetId="38">#REF!</definedName>
    <definedName name="BEB" localSheetId="31">#REF!</definedName>
    <definedName name="BEB" localSheetId="30">#REF!</definedName>
    <definedName name="BEB" localSheetId="12">#REF!</definedName>
    <definedName name="BEB" localSheetId="25">#REF!</definedName>
    <definedName name="BEB" localSheetId="34">#REF!</definedName>
    <definedName name="BEB" localSheetId="36">#REF!</definedName>
    <definedName name="BEB" localSheetId="10">#REF!</definedName>
    <definedName name="BEB" localSheetId="11">#REF!</definedName>
    <definedName name="BEB" localSheetId="33">#REF!</definedName>
    <definedName name="BEB" localSheetId="18">#REF!</definedName>
    <definedName name="BEB" localSheetId="20">#REF!</definedName>
    <definedName name="BEB" localSheetId="2">#REF!</definedName>
    <definedName name="BEB" localSheetId="6">#REF!</definedName>
    <definedName name="BEB" localSheetId="7">#REF!</definedName>
    <definedName name="BEB" localSheetId="15">#REF!</definedName>
    <definedName name="BEB" localSheetId="17">#REF!</definedName>
    <definedName name="BEB" localSheetId="28">#REF!</definedName>
    <definedName name="BEB">#REF!</definedName>
    <definedName name="CAP" localSheetId="35">#REF!</definedName>
    <definedName name="CAP" localSheetId="32">#REF!</definedName>
    <definedName name="CAP" localSheetId="14">#REF!</definedName>
    <definedName name="CAP" localSheetId="38">#REF!</definedName>
    <definedName name="CAP" localSheetId="31">#REF!</definedName>
    <definedName name="CAP" localSheetId="30">#REF!</definedName>
    <definedName name="CAP" localSheetId="12">#REF!</definedName>
    <definedName name="CAP" localSheetId="25">#REF!</definedName>
    <definedName name="CAP" localSheetId="34">#REF!</definedName>
    <definedName name="CAP" localSheetId="36">#REF!</definedName>
    <definedName name="CAP" localSheetId="10">#REF!</definedName>
    <definedName name="CAP" localSheetId="11">#REF!</definedName>
    <definedName name="CAP" localSheetId="33">#REF!</definedName>
    <definedName name="CAP" localSheetId="18">#REF!</definedName>
    <definedName name="CAP" localSheetId="20">#REF!</definedName>
    <definedName name="CAP" localSheetId="2">#REF!</definedName>
    <definedName name="CAP" localSheetId="6">#REF!</definedName>
    <definedName name="CAP" localSheetId="7">#REF!</definedName>
    <definedName name="CAP" localSheetId="15">#REF!</definedName>
    <definedName name="CAP" localSheetId="17">#REF!</definedName>
    <definedName name="CAP" localSheetId="28">#REF!</definedName>
    <definedName name="CAP">#REF!</definedName>
    <definedName name="cd">[3]Hoja1!$C$81</definedName>
    <definedName name="clcl" localSheetId="35">#REF!</definedName>
    <definedName name="clcl" localSheetId="32">#REF!</definedName>
    <definedName name="clcl" localSheetId="14">#REF!</definedName>
    <definedName name="clcl" localSheetId="38">#REF!</definedName>
    <definedName name="clcl" localSheetId="31">#REF!</definedName>
    <definedName name="clcl" localSheetId="30">#REF!</definedName>
    <definedName name="clcl" localSheetId="12">#REF!</definedName>
    <definedName name="clcl" localSheetId="25">#REF!</definedName>
    <definedName name="clcl" localSheetId="34">#REF!</definedName>
    <definedName name="clcl" localSheetId="36">#REF!</definedName>
    <definedName name="clcl" localSheetId="10">#REF!</definedName>
    <definedName name="clcl" localSheetId="11">#REF!</definedName>
    <definedName name="clcl" localSheetId="33">#REF!</definedName>
    <definedName name="clcl" localSheetId="18">#REF!</definedName>
    <definedName name="clcl" localSheetId="20">#REF!</definedName>
    <definedName name="clcl" localSheetId="2">#REF!</definedName>
    <definedName name="clcl" localSheetId="6">#REF!</definedName>
    <definedName name="clcl" localSheetId="7">#REF!</definedName>
    <definedName name="clcl" localSheetId="15">#REF!</definedName>
    <definedName name="clcl" localSheetId="17">#REF!</definedName>
    <definedName name="clcl" localSheetId="28">#REF!</definedName>
    <definedName name="clcl">#REF!</definedName>
    <definedName name="Cod" localSheetId="35">#REF!</definedName>
    <definedName name="Cod" localSheetId="32">#REF!</definedName>
    <definedName name="Cod" localSheetId="14">#REF!</definedName>
    <definedName name="Cod" localSheetId="38">#REF!</definedName>
    <definedName name="Cod" localSheetId="31">#REF!</definedName>
    <definedName name="Cod" localSheetId="30">#REF!</definedName>
    <definedName name="Cod" localSheetId="12">#REF!</definedName>
    <definedName name="Cod" localSheetId="25">#REF!</definedName>
    <definedName name="Cod" localSheetId="34">#REF!</definedName>
    <definedName name="Cod" localSheetId="36">#REF!</definedName>
    <definedName name="Cod" localSheetId="10">#REF!</definedName>
    <definedName name="Cod" localSheetId="11">#REF!</definedName>
    <definedName name="Cod" localSheetId="33">#REF!</definedName>
    <definedName name="Cod" localSheetId="18">#REF!</definedName>
    <definedName name="Cod" localSheetId="20">#REF!</definedName>
    <definedName name="Cod" localSheetId="2">#REF!</definedName>
    <definedName name="Cod" localSheetId="6">#REF!</definedName>
    <definedName name="Cod" localSheetId="7">#REF!</definedName>
    <definedName name="Cod" localSheetId="15">#REF!</definedName>
    <definedName name="Cod" localSheetId="17">#REF!</definedName>
    <definedName name="Cod" localSheetId="28">#REF!</definedName>
    <definedName name="Cod">#REF!</definedName>
    <definedName name="CODOS" localSheetId="35">#REF!</definedName>
    <definedName name="CODOS" localSheetId="32">#REF!</definedName>
    <definedName name="CODOS" localSheetId="14">#REF!</definedName>
    <definedName name="CODOS" localSheetId="38">#REF!</definedName>
    <definedName name="CODOS" localSheetId="31">#REF!</definedName>
    <definedName name="CODOS" localSheetId="30">#REF!</definedName>
    <definedName name="CODOS" localSheetId="12">#REF!</definedName>
    <definedName name="CODOS" localSheetId="25">#REF!</definedName>
    <definedName name="CODOS" localSheetId="34">#REF!</definedName>
    <definedName name="CODOS" localSheetId="36">#REF!</definedName>
    <definedName name="CODOS" localSheetId="10">#REF!</definedName>
    <definedName name="CODOS" localSheetId="11">#REF!</definedName>
    <definedName name="CODOS" localSheetId="33">#REF!</definedName>
    <definedName name="CODOS" localSheetId="18">#REF!</definedName>
    <definedName name="CODOS" localSheetId="20">#REF!</definedName>
    <definedName name="CODOS" localSheetId="2">#REF!</definedName>
    <definedName name="CODOS" localSheetId="6">#REF!</definedName>
    <definedName name="CODOS" localSheetId="7">#REF!</definedName>
    <definedName name="CODOS" localSheetId="15">#REF!</definedName>
    <definedName name="CODOS" localSheetId="17">#REF!</definedName>
    <definedName name="CODOS" localSheetId="28">#REF!</definedName>
    <definedName name="CODOS">#REF!</definedName>
    <definedName name="codos2" localSheetId="35">#REF!</definedName>
    <definedName name="codos2" localSheetId="32">#REF!</definedName>
    <definedName name="codos2" localSheetId="14">#REF!</definedName>
    <definedName name="codos2" localSheetId="38">#REF!</definedName>
    <definedName name="codos2" localSheetId="31">#REF!</definedName>
    <definedName name="codos2" localSheetId="30">#REF!</definedName>
    <definedName name="codos2" localSheetId="12">#REF!</definedName>
    <definedName name="codos2" localSheetId="25">#REF!</definedName>
    <definedName name="codos2" localSheetId="34">#REF!</definedName>
    <definedName name="codos2" localSheetId="36">#REF!</definedName>
    <definedName name="codos2" localSheetId="10">#REF!</definedName>
    <definedName name="codos2" localSheetId="11">#REF!</definedName>
    <definedName name="codos2" localSheetId="33">#REF!</definedName>
    <definedName name="codos2" localSheetId="18">#REF!</definedName>
    <definedName name="codos2" localSheetId="20">#REF!</definedName>
    <definedName name="codos2" localSheetId="2">#REF!</definedName>
    <definedName name="codos2" localSheetId="6">#REF!</definedName>
    <definedName name="codos2" localSheetId="7">#REF!</definedName>
    <definedName name="codos2" localSheetId="15">#REF!</definedName>
    <definedName name="codos2" localSheetId="17">#REF!</definedName>
    <definedName name="codos2" localSheetId="28">#REF!</definedName>
    <definedName name="codos2">#REF!</definedName>
    <definedName name="ColTap">'[2]Coloc. e Interc. Tapones'!$E$1:$E$65536</definedName>
    <definedName name="copia1" localSheetId="35">#REF!</definedName>
    <definedName name="copia1" localSheetId="32">#REF!</definedName>
    <definedName name="copia1" localSheetId="14">#REF!</definedName>
    <definedName name="copia1" localSheetId="38">#REF!</definedName>
    <definedName name="copia1" localSheetId="31">#REF!</definedName>
    <definedName name="copia1" localSheetId="30">#REF!</definedName>
    <definedName name="copia1" localSheetId="12">#REF!</definedName>
    <definedName name="copia1" localSheetId="25">#REF!</definedName>
    <definedName name="copia1" localSheetId="34">#REF!</definedName>
    <definedName name="copia1" localSheetId="36">#REF!</definedName>
    <definedName name="copia1" localSheetId="10">#REF!</definedName>
    <definedName name="copia1" localSheetId="11">#REF!</definedName>
    <definedName name="copia1" localSheetId="33">#REF!</definedName>
    <definedName name="copia1" localSheetId="18">#REF!</definedName>
    <definedName name="copia1" localSheetId="20">#REF!</definedName>
    <definedName name="copia1" localSheetId="2">#REF!</definedName>
    <definedName name="copia1" localSheetId="6">#REF!</definedName>
    <definedName name="copia1" localSheetId="7">#REF!</definedName>
    <definedName name="copia1" localSheetId="15">#REF!</definedName>
    <definedName name="copia1" localSheetId="17">#REF!</definedName>
    <definedName name="copia1" localSheetId="28">#REF!</definedName>
    <definedName name="copia1">#REF!</definedName>
    <definedName name="CRK" localSheetId="32">Apoyo!#REF!</definedName>
    <definedName name="CRK" localSheetId="31">Cuantías!#REF!</definedName>
    <definedName name="CRK">'Obra&amp;K'!$B$2</definedName>
    <definedName name="CUANTIAS">Cuantías!$B$2</definedName>
    <definedName name="CVa">'[2]Cambio de Valv.'!$E$1:$E$65536</definedName>
    <definedName name="datos" localSheetId="35">#REF!</definedName>
    <definedName name="datos" localSheetId="32">#REF!</definedName>
    <definedName name="datos" localSheetId="14">#REF!</definedName>
    <definedName name="datos" localSheetId="38">#REF!</definedName>
    <definedName name="datos" localSheetId="31">#REF!</definedName>
    <definedName name="datos" localSheetId="30">#REF!</definedName>
    <definedName name="datos" localSheetId="12">#REF!</definedName>
    <definedName name="datos" localSheetId="25">#REF!</definedName>
    <definedName name="datos" localSheetId="34">#REF!</definedName>
    <definedName name="datos" localSheetId="36">#REF!</definedName>
    <definedName name="datos" localSheetId="10">#REF!</definedName>
    <definedName name="datos" localSheetId="11">#REF!</definedName>
    <definedName name="datos" localSheetId="33">#REF!</definedName>
    <definedName name="datos" localSheetId="18">#REF!</definedName>
    <definedName name="datos" localSheetId="20">#REF!</definedName>
    <definedName name="datos" localSheetId="2">#REF!</definedName>
    <definedName name="datos" localSheetId="6">#REF!</definedName>
    <definedName name="datos" localSheetId="7">#REF!</definedName>
    <definedName name="datos" localSheetId="15">#REF!</definedName>
    <definedName name="datos" localSheetId="17">#REF!</definedName>
    <definedName name="datos" localSheetId="28">#REF!</definedName>
    <definedName name="datos">#REF!</definedName>
    <definedName name="datos2" localSheetId="35">#REF!</definedName>
    <definedName name="datos2" localSheetId="32">#REF!</definedName>
    <definedName name="datos2" localSheetId="14">#REF!</definedName>
    <definedName name="datos2" localSheetId="38">#REF!</definedName>
    <definedName name="datos2" localSheetId="31">#REF!</definedName>
    <definedName name="datos2" localSheetId="30">#REF!</definedName>
    <definedName name="datos2" localSheetId="12">#REF!</definedName>
    <definedName name="datos2" localSheetId="25">#REF!</definedName>
    <definedName name="datos2" localSheetId="34">#REF!</definedName>
    <definedName name="datos2" localSheetId="36">#REF!</definedName>
    <definedName name="datos2" localSheetId="10">#REF!</definedName>
    <definedName name="datos2" localSheetId="11">#REF!</definedName>
    <definedName name="datos2" localSheetId="33">#REF!</definedName>
    <definedName name="datos2" localSheetId="18">#REF!</definedName>
    <definedName name="datos2" localSheetId="20">#REF!</definedName>
    <definedName name="datos2" localSheetId="2">#REF!</definedName>
    <definedName name="datos2" localSheetId="6">#REF!</definedName>
    <definedName name="datos2" localSheetId="7">#REF!</definedName>
    <definedName name="datos2" localSheetId="15">#REF!</definedName>
    <definedName name="datos2" localSheetId="17">#REF!</definedName>
    <definedName name="datos2" localSheetId="28">#REF!</definedName>
    <definedName name="datos2">#REF!</definedName>
    <definedName name="diametros" localSheetId="35">#REF!</definedName>
    <definedName name="diametros" localSheetId="32">#REF!</definedName>
    <definedName name="diametros" localSheetId="14">#REF!</definedName>
    <definedName name="diametros" localSheetId="38">#REF!</definedName>
    <definedName name="diametros" localSheetId="31">#REF!</definedName>
    <definedName name="diametros" localSheetId="30">#REF!</definedName>
    <definedName name="diametros" localSheetId="12">#REF!</definedName>
    <definedName name="diametros" localSheetId="25">#REF!</definedName>
    <definedName name="diametros" localSheetId="34">#REF!</definedName>
    <definedName name="diametros" localSheetId="36">#REF!</definedName>
    <definedName name="diametros" localSheetId="10">#REF!</definedName>
    <definedName name="diametros" localSheetId="11">#REF!</definedName>
    <definedName name="diametros" localSheetId="33">#REF!</definedName>
    <definedName name="diametros" localSheetId="18">#REF!</definedName>
    <definedName name="diametros" localSheetId="20">#REF!</definedName>
    <definedName name="diametros" localSheetId="2">#REF!</definedName>
    <definedName name="diametros" localSheetId="6">#REF!</definedName>
    <definedName name="diametros" localSheetId="7">#REF!</definedName>
    <definedName name="diametros" localSheetId="15">#REF!</definedName>
    <definedName name="diametros" localSheetId="17">#REF!</definedName>
    <definedName name="diametros" localSheetId="28">#REF!</definedName>
    <definedName name="diametros">#REF!</definedName>
    <definedName name="distintivos">Distintivos!$B$2</definedName>
    <definedName name="dos" localSheetId="35">#REF!</definedName>
    <definedName name="dos" localSheetId="32">#REF!</definedName>
    <definedName name="dos" localSheetId="14">#REF!</definedName>
    <definedName name="dos" localSheetId="38">#REF!</definedName>
    <definedName name="dos" localSheetId="31">#REF!</definedName>
    <definedName name="dos" localSheetId="30">#REF!</definedName>
    <definedName name="dos" localSheetId="12">#REF!</definedName>
    <definedName name="dos" localSheetId="25">#REF!</definedName>
    <definedName name="dos" localSheetId="34">#REF!</definedName>
    <definedName name="dos" localSheetId="36">#REF!</definedName>
    <definedName name="dos" localSheetId="10">#REF!</definedName>
    <definedName name="dos" localSheetId="11">#REF!</definedName>
    <definedName name="dos" localSheetId="33">#REF!</definedName>
    <definedName name="dos" localSheetId="18">#REF!</definedName>
    <definedName name="dos" localSheetId="20">#REF!</definedName>
    <definedName name="dos" localSheetId="2">#REF!</definedName>
    <definedName name="dos" localSheetId="6">#REF!</definedName>
    <definedName name="dos" localSheetId="7">#REF!</definedName>
    <definedName name="dos" localSheetId="15">#REF!</definedName>
    <definedName name="dos" localSheetId="17">#REF!</definedName>
    <definedName name="dos" localSheetId="28">#REF!</definedName>
    <definedName name="dos">#REF!</definedName>
    <definedName name="ee" localSheetId="35">#REF!</definedName>
    <definedName name="ee" localSheetId="32">#REF!</definedName>
    <definedName name="ee" localSheetId="14">#REF!</definedName>
    <definedName name="ee" localSheetId="38">#REF!</definedName>
    <definedName name="ee" localSheetId="31">#REF!</definedName>
    <definedName name="ee" localSheetId="30">#REF!</definedName>
    <definedName name="ee" localSheetId="12">#REF!</definedName>
    <definedName name="ee" localSheetId="25">#REF!</definedName>
    <definedName name="ee" localSheetId="34">#REF!</definedName>
    <definedName name="ee" localSheetId="36">#REF!</definedName>
    <definedName name="ee" localSheetId="10">#REF!</definedName>
    <definedName name="ee" localSheetId="11">#REF!</definedName>
    <definedName name="ee" localSheetId="33">#REF!</definedName>
    <definedName name="ee" localSheetId="18">#REF!</definedName>
    <definedName name="ee" localSheetId="20">#REF!</definedName>
    <definedName name="ee" localSheetId="2">#REF!</definedName>
    <definedName name="ee" localSheetId="6">#REF!</definedName>
    <definedName name="ee" localSheetId="7">#REF!</definedName>
    <definedName name="ee" localSheetId="15">#REF!</definedName>
    <definedName name="ee" localSheetId="17">#REF!</definedName>
    <definedName name="ee" localSheetId="28">#REF!</definedName>
    <definedName name="ee">#REF!</definedName>
    <definedName name="estmercado">'Estudio de mercado'!$B$2</definedName>
    <definedName name="evafin">'Evaluación financiera'!$C$2</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FDGASDFASD" localSheetId="35">#REF!</definedName>
    <definedName name="FDGASDFASD" localSheetId="32">#REF!</definedName>
    <definedName name="FDGASDFASD" localSheetId="14">#REF!</definedName>
    <definedName name="FDGASDFASD" localSheetId="38">#REF!</definedName>
    <definedName name="FDGASDFASD" localSheetId="31">#REF!</definedName>
    <definedName name="FDGASDFASD" localSheetId="30">#REF!</definedName>
    <definedName name="FDGASDFASD" localSheetId="12">#REF!</definedName>
    <definedName name="FDGASDFASD" localSheetId="25">#REF!</definedName>
    <definedName name="FDGASDFASD" localSheetId="34">#REF!</definedName>
    <definedName name="FDGASDFASD" localSheetId="36">#REF!</definedName>
    <definedName name="FDGASDFASD" localSheetId="10">#REF!</definedName>
    <definedName name="FDGASDFASD" localSheetId="11">#REF!</definedName>
    <definedName name="FDGASDFASD" localSheetId="33">#REF!</definedName>
    <definedName name="FDGASDFASD" localSheetId="18">#REF!</definedName>
    <definedName name="FDGASDFASD" localSheetId="20">#REF!</definedName>
    <definedName name="FDGASDFASD" localSheetId="2">#REF!</definedName>
    <definedName name="FDGASDFASD" localSheetId="6">#REF!</definedName>
    <definedName name="FDGASDFASD" localSheetId="7">#REF!</definedName>
    <definedName name="FDGASDFASD" localSheetId="15">#REF!</definedName>
    <definedName name="FDGASDFASD" localSheetId="17">#REF!</definedName>
    <definedName name="FDGASDFASD" localSheetId="28">#REF!</definedName>
    <definedName name="FDGASDFASD">#REF!</definedName>
    <definedName name="formularioCantidades" localSheetId="35">#REF!</definedName>
    <definedName name="formularioCantidades" localSheetId="32">#REF!</definedName>
    <definedName name="formularioCantidades" localSheetId="14">#REF!</definedName>
    <definedName name="formularioCantidades" localSheetId="38">#REF!</definedName>
    <definedName name="formularioCantidades" localSheetId="31">#REF!</definedName>
    <definedName name="formularioCantidades" localSheetId="30">#REF!</definedName>
    <definedName name="formularioCantidades" localSheetId="12">#REF!</definedName>
    <definedName name="formularioCantidades" localSheetId="25">#REF!</definedName>
    <definedName name="formularioCantidades" localSheetId="34">#REF!</definedName>
    <definedName name="formularioCantidades" localSheetId="36">#REF!</definedName>
    <definedName name="formularioCantidades" localSheetId="10">#REF!</definedName>
    <definedName name="formularioCantidades" localSheetId="11">#REF!</definedName>
    <definedName name="formularioCantidades" localSheetId="33">#REF!</definedName>
    <definedName name="formularioCantidades" localSheetId="18">#REF!</definedName>
    <definedName name="formularioCantidades" localSheetId="20">#REF!</definedName>
    <definedName name="formularioCantidades" localSheetId="2">#REF!</definedName>
    <definedName name="formularioCantidades" localSheetId="6">#REF!</definedName>
    <definedName name="formularioCantidades" localSheetId="7">#REF!</definedName>
    <definedName name="formularioCantidades" localSheetId="15">#REF!</definedName>
    <definedName name="formularioCantidades" localSheetId="17">#REF!</definedName>
    <definedName name="formularioCantidades" localSheetId="28">#REF!</definedName>
    <definedName name="formularioCantidades">#REF!</definedName>
    <definedName name="fue" localSheetId="35">#REF!</definedName>
    <definedName name="fue" localSheetId="32">#REF!</definedName>
    <definedName name="fue" localSheetId="14">#REF!</definedName>
    <definedName name="fue" localSheetId="38">#REF!</definedName>
    <definedName name="fue" localSheetId="31">#REF!</definedName>
    <definedName name="fue" localSheetId="30">#REF!</definedName>
    <definedName name="fue" localSheetId="12">#REF!</definedName>
    <definedName name="fue" localSheetId="25">#REF!</definedName>
    <definedName name="fue" localSheetId="34">#REF!</definedName>
    <definedName name="fue" localSheetId="36">#REF!</definedName>
    <definedName name="fue" localSheetId="10">#REF!</definedName>
    <definedName name="fue" localSheetId="11">#REF!</definedName>
    <definedName name="fue" localSheetId="33">#REF!</definedName>
    <definedName name="fue" localSheetId="18">#REF!</definedName>
    <definedName name="fue" localSheetId="20">#REF!</definedName>
    <definedName name="fue" localSheetId="2">#REF!</definedName>
    <definedName name="fue" localSheetId="6">#REF!</definedName>
    <definedName name="fue" localSheetId="7">#REF!</definedName>
    <definedName name="fue" localSheetId="15">#REF!</definedName>
    <definedName name="fue" localSheetId="17">#REF!</definedName>
    <definedName name="fue" localSheetId="28">#REF!</definedName>
    <definedName name="fue">#REF!</definedName>
    <definedName name="gdym">'Gtos DyM'!$B$2</definedName>
    <definedName name="gtosadm" localSheetId="35">'A&amp;PA'!#REF!</definedName>
    <definedName name="gtosadm" localSheetId="32">Apoyo!#REF!</definedName>
    <definedName name="gtosadm" localSheetId="14">'Bienes relevantes'!#REF!</definedName>
    <definedName name="gtosadm" localSheetId="38">'CF&amp;O'!#REF!</definedName>
    <definedName name="gtosadm" localSheetId="31">Cuantías!#REF!</definedName>
    <definedName name="gtosadm" localSheetId="34">'Imp &amp; garantías'!#REF!</definedName>
    <definedName name="gtosadm" localSheetId="36">IVA!#REF!</definedName>
    <definedName name="gtosadm" localSheetId="33">'Obra&amp;K'!#REF!</definedName>
    <definedName name="gtosadm">'Gastos de adm'!$B$2</definedName>
    <definedName name="gtosadm2" localSheetId="14">'Bienes relevantes'!$K$3</definedName>
    <definedName name="gtosadm2">'Gastos de adm'!$D$3</definedName>
    <definedName name="Hid">'[2]Interc de Hidr.'!$E$1:$E$65536</definedName>
    <definedName name="honorarios">Honorarios!$B$2</definedName>
    <definedName name="horat" localSheetId="35">'[5]Itemes Renovación'!#REF!</definedName>
    <definedName name="horat" localSheetId="32">'[5]Itemes Renovación'!#REF!</definedName>
    <definedName name="horat" localSheetId="14">'[5]Itemes Renovación'!#REF!</definedName>
    <definedName name="horat" localSheetId="38">'[5]Itemes Renovación'!#REF!</definedName>
    <definedName name="horat" localSheetId="31">'[5]Itemes Renovación'!#REF!</definedName>
    <definedName name="horat" localSheetId="30">'[5]Itemes Renovación'!#REF!</definedName>
    <definedName name="horat" localSheetId="12">'[5]Itemes Renovación'!#REF!</definedName>
    <definedName name="horat" localSheetId="25">'[5]Itemes Renovación'!#REF!</definedName>
    <definedName name="horat" localSheetId="34">'[5]Itemes Renovación'!#REF!</definedName>
    <definedName name="horat" localSheetId="36">'[5]Itemes Renovación'!#REF!</definedName>
    <definedName name="horat" localSheetId="10">'[5]Itemes Renovación'!#REF!</definedName>
    <definedName name="horat" localSheetId="11">'[5]Itemes Renovación'!#REF!</definedName>
    <definedName name="horat" localSheetId="33">'[5]Itemes Renovación'!#REF!</definedName>
    <definedName name="horat" localSheetId="18">'[5]Itemes Renovación'!#REF!</definedName>
    <definedName name="horat" localSheetId="20">'[5]Itemes Renovación'!#REF!</definedName>
    <definedName name="horat" localSheetId="2">'[5]Itemes Renovación'!#REF!</definedName>
    <definedName name="horat" localSheetId="6">'[5]Itemes Renovación'!#REF!</definedName>
    <definedName name="horat" localSheetId="7">'[5]Itemes Renovación'!#REF!</definedName>
    <definedName name="horat" localSheetId="15">'[5]Itemes Renovación'!#REF!</definedName>
    <definedName name="horat" localSheetId="17">'[5]Itemes Renovación'!#REF!</definedName>
    <definedName name="horat" localSheetId="28">'[5]Itemes Renovación'!#REF!</definedName>
    <definedName name="horat">'[5]Itemes Renovación'!#REF!</definedName>
    <definedName name="ICOB" localSheetId="32">#REF!</definedName>
    <definedName name="ICOB" localSheetId="14">#REF!</definedName>
    <definedName name="ICOB" localSheetId="38">#REF!</definedName>
    <definedName name="ICOB" localSheetId="31">#REF!</definedName>
    <definedName name="ICOB" localSheetId="33">#REF!</definedName>
    <definedName name="ICOB" localSheetId="2">#REF!</definedName>
    <definedName name="ICOB" localSheetId="6">#REF!</definedName>
    <definedName name="ICOB">#REF!</definedName>
    <definedName name="IIVA" localSheetId="32">IVA!#REF!</definedName>
    <definedName name="IIVA" localSheetId="14">IVA!#REF!</definedName>
    <definedName name="IIVA" localSheetId="38">IVA!#REF!</definedName>
    <definedName name="IIVA" localSheetId="31">IVA!#REF!</definedName>
    <definedName name="IIVA" localSheetId="33">IVA!#REF!</definedName>
    <definedName name="IIVA" localSheetId="2">IVA!#REF!</definedName>
    <definedName name="IIVA" localSheetId="6">IVA!#REF!</definedName>
    <definedName name="IIVA">IVA!#REF!</definedName>
    <definedName name="impg" localSheetId="35">'A&amp;PA'!$B$2</definedName>
    <definedName name="impg" localSheetId="32">Apoyo!#REF!</definedName>
    <definedName name="impg" localSheetId="38">'CF&amp;O'!#REF!</definedName>
    <definedName name="impg" localSheetId="31">Cuantías!#REF!</definedName>
    <definedName name="impg" localSheetId="36">IVA!#REF!</definedName>
    <definedName name="impg" localSheetId="33">'Obra&amp;K'!#REF!</definedName>
    <definedName name="impg">'Imp &amp; garantías'!$B$2</definedName>
    <definedName name="ins">Instructivo!$C$2</definedName>
    <definedName name="Instructivo" localSheetId="35">#REF!</definedName>
    <definedName name="Instructivo" localSheetId="32">#REF!</definedName>
    <definedName name="Instructivo" localSheetId="14">#REF!</definedName>
    <definedName name="Instructivo" localSheetId="38">#REF!</definedName>
    <definedName name="Instructivo" localSheetId="31">#REF!</definedName>
    <definedName name="Instructivo" localSheetId="34">#REF!</definedName>
    <definedName name="Instructivo" localSheetId="36">#REF!</definedName>
    <definedName name="Instructivo" localSheetId="10">#REF!</definedName>
    <definedName name="Instructivo" localSheetId="11">#REF!</definedName>
    <definedName name="Instructivo" localSheetId="33">#REF!</definedName>
    <definedName name="Instructivo" localSheetId="18">#REF!</definedName>
    <definedName name="Instructivo" localSheetId="20">#REF!</definedName>
    <definedName name="Instructivo" localSheetId="2">#REF!</definedName>
    <definedName name="Instructivo" localSheetId="6">#REF!</definedName>
    <definedName name="Instructivo" localSheetId="17">#REF!</definedName>
    <definedName name="Instructivo">#REF!</definedName>
    <definedName name="InTap">[2]Interc.tapones!$E$1:$E$65536</definedName>
    <definedName name="IntVal">'[2]Interc.válv.'!$E$1:$E$65536</definedName>
    <definedName name="ITEM1" localSheetId="35">#REF!</definedName>
    <definedName name="ITEM1" localSheetId="32">#REF!</definedName>
    <definedName name="ITEM1" localSheetId="14">#REF!</definedName>
    <definedName name="ITEM1" localSheetId="38">#REF!</definedName>
    <definedName name="ITEM1" localSheetId="31">#REF!</definedName>
    <definedName name="ITEM1" localSheetId="30">#REF!</definedName>
    <definedName name="ITEM1" localSheetId="12">#REF!</definedName>
    <definedName name="ITEM1" localSheetId="25">#REF!</definedName>
    <definedName name="ITEM1" localSheetId="34">#REF!</definedName>
    <definedName name="ITEM1" localSheetId="36">#REF!</definedName>
    <definedName name="ITEM1" localSheetId="10">#REF!</definedName>
    <definedName name="ITEM1" localSheetId="11">#REF!</definedName>
    <definedName name="ITEM1" localSheetId="33">#REF!</definedName>
    <definedName name="ITEM1" localSheetId="18">#REF!</definedName>
    <definedName name="ITEM1" localSheetId="20">#REF!</definedName>
    <definedName name="ITEM1" localSheetId="2">#REF!</definedName>
    <definedName name="ITEM1" localSheetId="6">#REF!</definedName>
    <definedName name="ITEM1" localSheetId="7">#REF!</definedName>
    <definedName name="ITEM1" localSheetId="15">#REF!</definedName>
    <definedName name="ITEM1" localSheetId="17">#REF!</definedName>
    <definedName name="ITEM1" localSheetId="28">#REF!</definedName>
    <definedName name="ITEM1">#REF!</definedName>
    <definedName name="ITEM2" localSheetId="35">#REF!</definedName>
    <definedName name="ITEM2" localSheetId="32">#REF!</definedName>
    <definedName name="ITEM2" localSheetId="14">#REF!</definedName>
    <definedName name="ITEM2" localSheetId="38">#REF!</definedName>
    <definedName name="ITEM2" localSheetId="31">#REF!</definedName>
    <definedName name="ITEM2" localSheetId="30">#REF!</definedName>
    <definedName name="ITEM2" localSheetId="12">#REF!</definedName>
    <definedName name="ITEM2" localSheetId="25">#REF!</definedName>
    <definedName name="ITEM2" localSheetId="34">#REF!</definedName>
    <definedName name="ITEM2" localSheetId="36">#REF!</definedName>
    <definedName name="ITEM2" localSheetId="10">#REF!</definedName>
    <definedName name="ITEM2" localSheetId="11">#REF!</definedName>
    <definedName name="ITEM2" localSheetId="33">#REF!</definedName>
    <definedName name="ITEM2" localSheetId="18">#REF!</definedName>
    <definedName name="ITEM2" localSheetId="20">#REF!</definedName>
    <definedName name="ITEM2" localSheetId="2">#REF!</definedName>
    <definedName name="ITEM2" localSheetId="6">#REF!</definedName>
    <definedName name="ITEM2" localSheetId="7">#REF!</definedName>
    <definedName name="ITEM2" localSheetId="15">#REF!</definedName>
    <definedName name="ITEM2" localSheetId="17">#REF!</definedName>
    <definedName name="ITEM2" localSheetId="28">#REF!</definedName>
    <definedName name="ITEM2">#REF!</definedName>
    <definedName name="ITEM3" localSheetId="35">#REF!</definedName>
    <definedName name="ITEM3" localSheetId="32">#REF!</definedName>
    <definedName name="ITEM3" localSheetId="14">#REF!</definedName>
    <definedName name="ITEM3" localSheetId="38">#REF!</definedName>
    <definedName name="ITEM3" localSheetId="31">#REF!</definedName>
    <definedName name="ITEM3" localSheetId="30">#REF!</definedName>
    <definedName name="ITEM3" localSheetId="12">#REF!</definedName>
    <definedName name="ITEM3" localSheetId="25">#REF!</definedName>
    <definedName name="ITEM3" localSheetId="34">#REF!</definedName>
    <definedName name="ITEM3" localSheetId="36">#REF!</definedName>
    <definedName name="ITEM3" localSheetId="10">#REF!</definedName>
    <definedName name="ITEM3" localSheetId="11">#REF!</definedName>
    <definedName name="ITEM3" localSheetId="33">#REF!</definedName>
    <definedName name="ITEM3" localSheetId="18">#REF!</definedName>
    <definedName name="ITEM3" localSheetId="20">#REF!</definedName>
    <definedName name="ITEM3" localSheetId="2">#REF!</definedName>
    <definedName name="ITEM3" localSheetId="6">#REF!</definedName>
    <definedName name="ITEM3" localSheetId="7">#REF!</definedName>
    <definedName name="ITEM3" localSheetId="15">#REF!</definedName>
    <definedName name="ITEM3" localSheetId="17">#REF!</definedName>
    <definedName name="ITEM3" localSheetId="28">#REF!</definedName>
    <definedName name="ITEM3">#REF!</definedName>
    <definedName name="ItemCodos" localSheetId="35">#REF!</definedName>
    <definedName name="ItemCodos" localSheetId="32">#REF!</definedName>
    <definedName name="ItemCodos" localSheetId="14">#REF!</definedName>
    <definedName name="ItemCodos" localSheetId="38">#REF!</definedName>
    <definedName name="ItemCodos" localSheetId="31">#REF!</definedName>
    <definedName name="ItemCodos" localSheetId="30">#REF!</definedName>
    <definedName name="ItemCodos" localSheetId="12">#REF!</definedName>
    <definedName name="ItemCodos" localSheetId="25">#REF!</definedName>
    <definedName name="ItemCodos" localSheetId="34">#REF!</definedName>
    <definedName name="ItemCodos" localSheetId="36">#REF!</definedName>
    <definedName name="ItemCodos" localSheetId="10">#REF!</definedName>
    <definedName name="ItemCodos" localSheetId="11">#REF!</definedName>
    <definedName name="ItemCodos" localSheetId="33">#REF!</definedName>
    <definedName name="ItemCodos" localSheetId="18">#REF!</definedName>
    <definedName name="ItemCodos" localSheetId="20">#REF!</definedName>
    <definedName name="ItemCodos" localSheetId="2">#REF!</definedName>
    <definedName name="ItemCodos" localSheetId="6">#REF!</definedName>
    <definedName name="ItemCodos" localSheetId="7">#REF!</definedName>
    <definedName name="ItemCodos" localSheetId="15">#REF!</definedName>
    <definedName name="ItemCodos" localSheetId="17">#REF!</definedName>
    <definedName name="ItemCodos" localSheetId="28">#REF!</definedName>
    <definedName name="ItemCodos">#REF!</definedName>
    <definedName name="IVA">IVA!$B$2</definedName>
    <definedName name="JHHHHH" localSheetId="35">#REF!</definedName>
    <definedName name="JHHHHH" localSheetId="32">#REF!</definedName>
    <definedName name="JHHHHH" localSheetId="14">#REF!</definedName>
    <definedName name="JHHHHH" localSheetId="38">#REF!</definedName>
    <definedName name="JHHHHH" localSheetId="31">#REF!</definedName>
    <definedName name="JHHHHH" localSheetId="30">#REF!</definedName>
    <definedName name="JHHHHH" localSheetId="12">#REF!</definedName>
    <definedName name="JHHHHH" localSheetId="25">#REF!</definedName>
    <definedName name="JHHHHH" localSheetId="26">#REF!</definedName>
    <definedName name="JHHHHH" localSheetId="34">#REF!</definedName>
    <definedName name="JHHHHH" localSheetId="36">#REF!</definedName>
    <definedName name="JHHHHH" localSheetId="10">#REF!</definedName>
    <definedName name="JHHHHH" localSheetId="11">#REF!</definedName>
    <definedName name="JHHHHH" localSheetId="33">#REF!</definedName>
    <definedName name="JHHHHH" localSheetId="3">#REF!</definedName>
    <definedName name="JHHHHH" localSheetId="18">#REF!</definedName>
    <definedName name="JHHHHH" localSheetId="20">#REF!</definedName>
    <definedName name="JHHHHH" localSheetId="2">#REF!</definedName>
    <definedName name="JHHHHH" localSheetId="1">#REF!</definedName>
    <definedName name="JHHHHH" localSheetId="6">'Ppto PSP'!#REF!</definedName>
    <definedName name="JHHHHH" localSheetId="5">'Presupuesto Contrato'!#REF!</definedName>
    <definedName name="JHHHHH" localSheetId="7">'Presupuesto Convenio'!#REF!</definedName>
    <definedName name="JHHHHH" localSheetId="8">'PRESUPUESTO OTRO SI '!#REF!</definedName>
    <definedName name="JHHHHH" localSheetId="17">#REF!</definedName>
    <definedName name="JHHHHH" localSheetId="28">#REF!</definedName>
    <definedName name="JHHHHH">#REF!</definedName>
    <definedName name="jornal">Jornal!$C$2</definedName>
    <definedName name="ListaCantidad" localSheetId="35">#REF!</definedName>
    <definedName name="ListaCantidad" localSheetId="32">#REF!</definedName>
    <definedName name="ListaCantidad" localSheetId="14">#REF!</definedName>
    <definedName name="ListaCantidad" localSheetId="38">#REF!</definedName>
    <definedName name="ListaCantidad" localSheetId="31">#REF!</definedName>
    <definedName name="ListaCantidad" localSheetId="30">#REF!</definedName>
    <definedName name="ListaCantidad" localSheetId="12">#REF!</definedName>
    <definedName name="ListaCantidad" localSheetId="25">#REF!</definedName>
    <definedName name="ListaCantidad" localSheetId="34">#REF!</definedName>
    <definedName name="ListaCantidad" localSheetId="36">#REF!</definedName>
    <definedName name="ListaCantidad" localSheetId="10">#REF!</definedName>
    <definedName name="ListaCantidad" localSheetId="11">#REF!</definedName>
    <definedName name="ListaCantidad" localSheetId="33">#REF!</definedName>
    <definedName name="ListaCantidad" localSheetId="18">#REF!</definedName>
    <definedName name="ListaCantidad" localSheetId="20">#REF!</definedName>
    <definedName name="ListaCantidad" localSheetId="2">#REF!</definedName>
    <definedName name="ListaCantidad" localSheetId="6">#REF!</definedName>
    <definedName name="ListaCantidad" localSheetId="7">#REF!</definedName>
    <definedName name="ListaCantidad" localSheetId="15">#REF!</definedName>
    <definedName name="ListaCantidad" localSheetId="17">#REF!</definedName>
    <definedName name="ListaCantidad" localSheetId="28">#REF!</definedName>
    <definedName name="ListaCantidad">#REF!</definedName>
    <definedName name="ListaItem" localSheetId="35">#REF!</definedName>
    <definedName name="ListaItem" localSheetId="32">#REF!</definedName>
    <definedName name="ListaItem" localSheetId="14">#REF!</definedName>
    <definedName name="ListaItem" localSheetId="38">#REF!</definedName>
    <definedName name="ListaItem" localSheetId="31">#REF!</definedName>
    <definedName name="ListaItem" localSheetId="30">#REF!</definedName>
    <definedName name="ListaItem" localSheetId="12">#REF!</definedName>
    <definedName name="ListaItem" localSheetId="25">#REF!</definedName>
    <definedName name="ListaItem" localSheetId="34">#REF!</definedName>
    <definedName name="ListaItem" localSheetId="36">#REF!</definedName>
    <definedName name="ListaItem" localSheetId="10">#REF!</definedName>
    <definedName name="ListaItem" localSheetId="11">#REF!</definedName>
    <definedName name="ListaItem" localSheetId="33">#REF!</definedName>
    <definedName name="ListaItem" localSheetId="18">#REF!</definedName>
    <definedName name="ListaItem" localSheetId="20">#REF!</definedName>
    <definedName name="ListaItem" localSheetId="2">#REF!</definedName>
    <definedName name="ListaItem" localSheetId="6">#REF!</definedName>
    <definedName name="ListaItem" localSheetId="7">#REF!</definedName>
    <definedName name="ListaItem" localSheetId="15">#REF!</definedName>
    <definedName name="ListaItem" localSheetId="17">#REF!</definedName>
    <definedName name="ListaItem" localSheetId="28">#REF!</definedName>
    <definedName name="ListaItem">#REF!</definedName>
    <definedName name="ListaUni">[6]TOTALES!$D$7:$D$654</definedName>
    <definedName name="MaterialTub" localSheetId="35">#REF!</definedName>
    <definedName name="MaterialTub" localSheetId="32">#REF!</definedName>
    <definedName name="MaterialTub" localSheetId="14">#REF!</definedName>
    <definedName name="MaterialTub" localSheetId="38">#REF!</definedName>
    <definedName name="MaterialTub" localSheetId="31">#REF!</definedName>
    <definedName name="MaterialTub" localSheetId="30">#REF!</definedName>
    <definedName name="MaterialTub" localSheetId="12">#REF!</definedName>
    <definedName name="MaterialTub" localSheetId="25">#REF!</definedName>
    <definedName name="MaterialTub" localSheetId="34">#REF!</definedName>
    <definedName name="MaterialTub" localSheetId="36">#REF!</definedName>
    <definedName name="MaterialTub" localSheetId="10">#REF!</definedName>
    <definedName name="MaterialTub" localSheetId="11">#REF!</definedName>
    <definedName name="MaterialTub" localSheetId="33">#REF!</definedName>
    <definedName name="MaterialTub" localSheetId="18">#REF!</definedName>
    <definedName name="MaterialTub" localSheetId="20">#REF!</definedName>
    <definedName name="MaterialTub" localSheetId="2">#REF!</definedName>
    <definedName name="MaterialTub" localSheetId="6">#REF!</definedName>
    <definedName name="MaterialTub" localSheetId="7">#REF!</definedName>
    <definedName name="MaterialTub" localSheetId="15">#REF!</definedName>
    <definedName name="MaterialTub" localSheetId="17">#REF!</definedName>
    <definedName name="MaterialTub" localSheetId="28">#REF!</definedName>
    <definedName name="MaterialTub">#REF!</definedName>
    <definedName name="MCCOP2">'Memoria de cálculo O2'!$D$2</definedName>
    <definedName name="MCCOP3" localSheetId="17">'Propuesta económica O3'!#REF!</definedName>
    <definedName name="MCCOP3">'Memoria de cálculo O3'!$D$2</definedName>
    <definedName name="MCOP1" localSheetId="18">'PAB CA'!#REF!</definedName>
    <definedName name="MCOP1" localSheetId="20">'PAB CR'!#REF!</definedName>
    <definedName name="MCOP1">'Memoria de cálculo O1'!$B$2</definedName>
    <definedName name="MCOP2" localSheetId="35">'Propuesta económica O2'!#REF!</definedName>
    <definedName name="MCOP2" localSheetId="32">'Propuesta económica O2'!#REF!</definedName>
    <definedName name="MCOP2" localSheetId="14">'Propuesta económica O2'!#REF!</definedName>
    <definedName name="MCOP2" localSheetId="38">'Propuesta económica O2'!#REF!</definedName>
    <definedName name="MCOP2" localSheetId="31">'Propuesta económica O2'!#REF!</definedName>
    <definedName name="MCOP2" localSheetId="34">'Propuesta económica O2'!#REF!</definedName>
    <definedName name="MCOP2" localSheetId="36">'Propuesta económica O2'!#REF!</definedName>
    <definedName name="MCOP2" localSheetId="10">'Memoria de cálculo O2'!#REF!</definedName>
    <definedName name="MCOP2" localSheetId="33">'Propuesta económica O2'!#REF!</definedName>
    <definedName name="MCOP2" localSheetId="18">'Propuesta económica O2'!#REF!</definedName>
    <definedName name="MCOP2" localSheetId="20">'Propuesta económica O2'!#REF!</definedName>
    <definedName name="MCOP2" localSheetId="2">'Propuesta económica O2'!#REF!</definedName>
    <definedName name="MCOP2" localSheetId="6">'Propuesta económica O2'!#REF!</definedName>
    <definedName name="MCOP2">'Propuesta económica O2'!#REF!</definedName>
    <definedName name="MCOP3" localSheetId="35">#REF!</definedName>
    <definedName name="MCOP3" localSheetId="32">#REF!</definedName>
    <definedName name="MCOP3" localSheetId="14">#REF!</definedName>
    <definedName name="MCOP3" localSheetId="38">#REF!</definedName>
    <definedName name="MCOP3" localSheetId="31">#REF!</definedName>
    <definedName name="MCOP3" localSheetId="34">#REF!</definedName>
    <definedName name="MCOP3" localSheetId="36">#REF!</definedName>
    <definedName name="MCOP3" localSheetId="11">'Memoria de cálculo O3'!$D$2</definedName>
    <definedName name="MCOP3" localSheetId="33">#REF!</definedName>
    <definedName name="MCOP3" localSheetId="18">#REF!</definedName>
    <definedName name="MCOP3" localSheetId="20">#REF!</definedName>
    <definedName name="MCOP3" localSheetId="2">#REF!</definedName>
    <definedName name="MCOP3" localSheetId="6">#REF!</definedName>
    <definedName name="MCOP3" localSheetId="17">'Propuesta económica O3'!#REF!</definedName>
    <definedName name="MCOP3">#REF!</definedName>
    <definedName name="moobras" localSheetId="35">#REF!</definedName>
    <definedName name="moobras" localSheetId="32">#REF!</definedName>
    <definedName name="moobras" localSheetId="14">#REF!</definedName>
    <definedName name="moobras" localSheetId="38">#REF!</definedName>
    <definedName name="moobras" localSheetId="31">#REF!</definedName>
    <definedName name="moobras" localSheetId="34">#REF!</definedName>
    <definedName name="moobras" localSheetId="36">#REF!</definedName>
    <definedName name="moobras" localSheetId="33">#REF!</definedName>
    <definedName name="moobras" localSheetId="18">#REF!</definedName>
    <definedName name="moobras" localSheetId="20">#REF!</definedName>
    <definedName name="moobras" localSheetId="2">#REF!</definedName>
    <definedName name="moobras" localSheetId="6">#REF!</definedName>
    <definedName name="moobras">#REF!</definedName>
    <definedName name="Norte" localSheetId="35">#REF!</definedName>
    <definedName name="Norte" localSheetId="32">#REF!</definedName>
    <definedName name="Norte" localSheetId="14">#REF!</definedName>
    <definedName name="Norte" localSheetId="38">#REF!</definedName>
    <definedName name="Norte" localSheetId="31">#REF!</definedName>
    <definedName name="Norte" localSheetId="30">#REF!</definedName>
    <definedName name="Norte" localSheetId="12">#REF!</definedName>
    <definedName name="Norte" localSheetId="25">#REF!</definedName>
    <definedName name="Norte" localSheetId="34">#REF!</definedName>
    <definedName name="Norte" localSheetId="36">#REF!</definedName>
    <definedName name="Norte" localSheetId="10">#REF!</definedName>
    <definedName name="Norte" localSheetId="11">#REF!</definedName>
    <definedName name="Norte" localSheetId="33">#REF!</definedName>
    <definedName name="Norte" localSheetId="18">#REF!</definedName>
    <definedName name="Norte" localSheetId="20">#REF!</definedName>
    <definedName name="Norte" localSheetId="2">#REF!</definedName>
    <definedName name="Norte" localSheetId="6">#REF!</definedName>
    <definedName name="Norte" localSheetId="7">#REF!</definedName>
    <definedName name="Norte" localSheetId="15">#REF!</definedName>
    <definedName name="Norte" localSheetId="17">#REF!</definedName>
    <definedName name="Norte" localSheetId="28">#REF!</definedName>
    <definedName name="Norte">#REF!</definedName>
    <definedName name="NPE">'Notas PE'!$B$2</definedName>
    <definedName name="NUEVO" localSheetId="35">#REF!</definedName>
    <definedName name="NUEVO" localSheetId="32">#REF!</definedName>
    <definedName name="NUEVO" localSheetId="14">#REF!</definedName>
    <definedName name="NUEVO" localSheetId="38">#REF!</definedName>
    <definedName name="NUEVO" localSheetId="31">#REF!</definedName>
    <definedName name="NUEVO" localSheetId="30">#REF!</definedName>
    <definedName name="NUEVO" localSheetId="12">#REF!</definedName>
    <definedName name="NUEVO" localSheetId="25">#REF!</definedName>
    <definedName name="NUEVO" localSheetId="34">#REF!</definedName>
    <definedName name="NUEVO" localSheetId="36">#REF!</definedName>
    <definedName name="NUEVO" localSheetId="10">#REF!</definedName>
    <definedName name="NUEVO" localSheetId="11">#REF!</definedName>
    <definedName name="NUEVO" localSheetId="33">#REF!</definedName>
    <definedName name="NUEVO" localSheetId="18">#REF!</definedName>
    <definedName name="NUEVO" localSheetId="20">#REF!</definedName>
    <definedName name="NUEVO" localSheetId="2">#REF!</definedName>
    <definedName name="NUEVO" localSheetId="6">#REF!</definedName>
    <definedName name="NUEVO" localSheetId="7">#REF!</definedName>
    <definedName name="NUEVO" localSheetId="15">#REF!</definedName>
    <definedName name="NUEVO" localSheetId="17">#REF!</definedName>
    <definedName name="NUEVO" localSheetId="28">#REF!</definedName>
    <definedName name="NUEVO">#REF!</definedName>
    <definedName name="OBRA" localSheetId="35">#REF!</definedName>
    <definedName name="OBRA" localSheetId="32">#REF!</definedName>
    <definedName name="OBRA" localSheetId="14">#REF!</definedName>
    <definedName name="OBRA" localSheetId="38">#REF!</definedName>
    <definedName name="OBRA" localSheetId="31">#REF!</definedName>
    <definedName name="OBRA" localSheetId="30">#REF!</definedName>
    <definedName name="OBRA" localSheetId="12">#REF!</definedName>
    <definedName name="OBRA" localSheetId="25">#REF!</definedName>
    <definedName name="OBRA" localSheetId="34">#REF!</definedName>
    <definedName name="OBRA" localSheetId="36">#REF!</definedName>
    <definedName name="OBRA" localSheetId="10">#REF!</definedName>
    <definedName name="OBRA" localSheetId="11">#REF!</definedName>
    <definedName name="OBRA" localSheetId="33">#REF!</definedName>
    <definedName name="OBRA" localSheetId="18">#REF!</definedName>
    <definedName name="OBRA" localSheetId="20">#REF!</definedName>
    <definedName name="OBRA" localSheetId="2">#REF!</definedName>
    <definedName name="OBRA" localSheetId="6">#REF!</definedName>
    <definedName name="OBRA" localSheetId="7">#REF!</definedName>
    <definedName name="OBRA" localSheetId="15">#REF!</definedName>
    <definedName name="OBRA" localSheetId="17">#REF!</definedName>
    <definedName name="OBRA" localSheetId="28">#REF!</definedName>
    <definedName name="OBRA">#REF!</definedName>
    <definedName name="PABCA" localSheetId="20">'PAB CR'!#REF!</definedName>
    <definedName name="PABCA">'PAB CA'!$B$2</definedName>
    <definedName name="PABCR">'PAB CR'!$E$2</definedName>
    <definedName name="paelnque" localSheetId="35">#REF!</definedName>
    <definedName name="paelnque" localSheetId="32">#REF!</definedName>
    <definedName name="paelnque" localSheetId="14">#REF!</definedName>
    <definedName name="paelnque" localSheetId="38">#REF!</definedName>
    <definedName name="paelnque" localSheetId="31">#REF!</definedName>
    <definedName name="paelnque" localSheetId="30">#REF!</definedName>
    <definedName name="paelnque" localSheetId="12">#REF!</definedName>
    <definedName name="paelnque" localSheetId="25">#REF!</definedName>
    <definedName name="paelnque" localSheetId="34">#REF!</definedName>
    <definedName name="paelnque" localSheetId="36">#REF!</definedName>
    <definedName name="paelnque" localSheetId="10">#REF!</definedName>
    <definedName name="paelnque" localSheetId="11">#REF!</definedName>
    <definedName name="paelnque" localSheetId="33">#REF!</definedName>
    <definedName name="paelnque" localSheetId="18">#REF!</definedName>
    <definedName name="paelnque" localSheetId="20">#REF!</definedName>
    <definedName name="paelnque" localSheetId="2">#REF!</definedName>
    <definedName name="paelnque" localSheetId="6">#REF!</definedName>
    <definedName name="paelnque" localSheetId="7">#REF!</definedName>
    <definedName name="paelnque" localSheetId="15">#REF!</definedName>
    <definedName name="paelnque" localSheetId="17">#REF!</definedName>
    <definedName name="paelnque" localSheetId="28">#REF!</definedName>
    <definedName name="paelnque">#REF!</definedName>
    <definedName name="palenque" localSheetId="35">#REF!</definedName>
    <definedName name="palenque" localSheetId="32">#REF!</definedName>
    <definedName name="palenque" localSheetId="14">#REF!</definedName>
    <definedName name="palenque" localSheetId="38">#REF!</definedName>
    <definedName name="palenque" localSheetId="31">#REF!</definedName>
    <definedName name="palenque" localSheetId="30">#REF!</definedName>
    <definedName name="palenque" localSheetId="12">#REF!</definedName>
    <definedName name="palenque" localSheetId="25">#REF!</definedName>
    <definedName name="palenque" localSheetId="34">#REF!</definedName>
    <definedName name="palenque" localSheetId="36">#REF!</definedName>
    <definedName name="palenque" localSheetId="10">#REF!</definedName>
    <definedName name="palenque" localSheetId="11">#REF!</definedName>
    <definedName name="palenque" localSheetId="33">#REF!</definedName>
    <definedName name="palenque" localSheetId="18">#REF!</definedName>
    <definedName name="palenque" localSheetId="20">#REF!</definedName>
    <definedName name="palenque" localSheetId="2">#REF!</definedName>
    <definedName name="palenque" localSheetId="6">#REF!</definedName>
    <definedName name="palenque" localSheetId="7">#REF!</definedName>
    <definedName name="palenque" localSheetId="15">#REF!</definedName>
    <definedName name="palenque" localSheetId="17">#REF!</definedName>
    <definedName name="palenque" localSheetId="28">#REF!</definedName>
    <definedName name="palenque">#REF!</definedName>
    <definedName name="PC" localSheetId="6">'Ppto PSP'!#REF!</definedName>
    <definedName name="PC" localSheetId="8">'PRESUPUESTO OTRO SI '!$C$2</definedName>
    <definedName name="PC">'Presupuesto Contrato'!$C$2</definedName>
    <definedName name="PCV">'Presupuesto Convenio'!$E$2</definedName>
    <definedName name="PEFI" localSheetId="3">Otrosi_1!$C$2</definedName>
    <definedName name="PEFI" localSheetId="2">'PE PSP'!$B$22</definedName>
    <definedName name="PEFI">'Plan Ejecución'!$C$2</definedName>
    <definedName name="PEPSP1">'PE PSP'!$C$2</definedName>
    <definedName name="ppta">'Propuesta económica O1'!$B$2</definedName>
    <definedName name="PPTA2" localSheetId="10">'Memoria de cálculo O2'!$D$2</definedName>
    <definedName name="PPTA2">'Propuesta económica O2'!$D$2</definedName>
    <definedName name="ppta3">'Propuesta económica O3'!$D$2</definedName>
    <definedName name="PPtoNorte" localSheetId="35">#REF!</definedName>
    <definedName name="PPtoNorte" localSheetId="32">#REF!</definedName>
    <definedName name="PPtoNorte" localSheetId="14">#REF!</definedName>
    <definedName name="PPtoNorte" localSheetId="38">#REF!</definedName>
    <definedName name="PPtoNorte" localSheetId="31">#REF!</definedName>
    <definedName name="PPtoNorte" localSheetId="30">#REF!</definedName>
    <definedName name="PPtoNorte" localSheetId="12">#REF!</definedName>
    <definedName name="PPtoNorte" localSheetId="25">#REF!</definedName>
    <definedName name="PPtoNorte" localSheetId="34">#REF!</definedName>
    <definedName name="PPtoNorte" localSheetId="36">#REF!</definedName>
    <definedName name="PPtoNorte" localSheetId="10">#REF!</definedName>
    <definedName name="PPtoNorte" localSheetId="11">#REF!</definedName>
    <definedName name="PPtoNorte" localSheetId="33">#REF!</definedName>
    <definedName name="PPtoNorte" localSheetId="18">#REF!</definedName>
    <definedName name="PPtoNorte" localSheetId="20">#REF!</definedName>
    <definedName name="PPtoNorte" localSheetId="2">#REF!</definedName>
    <definedName name="PPtoNorte" localSheetId="6">#REF!</definedName>
    <definedName name="PPtoNorte" localSheetId="7">#REF!</definedName>
    <definedName name="PPtoNorte" localSheetId="15">#REF!</definedName>
    <definedName name="PPtoNorte" localSheetId="17">#REF!</definedName>
    <definedName name="PPtoNorte" localSheetId="28">#REF!</definedName>
    <definedName name="PPtoNorte">#REF!</definedName>
    <definedName name="PPTOPSP">'Ppto PSP'!$B$2</definedName>
    <definedName name="Precio" localSheetId="35">#REF!</definedName>
    <definedName name="Precio" localSheetId="32">#REF!</definedName>
    <definedName name="Precio" localSheetId="14">#REF!</definedName>
    <definedName name="Precio" localSheetId="38">#REF!</definedName>
    <definedName name="Precio" localSheetId="31">#REF!</definedName>
    <definedName name="Precio" localSheetId="30">#REF!</definedName>
    <definedName name="Precio" localSheetId="12">#REF!</definedName>
    <definedName name="Precio" localSheetId="25">#REF!</definedName>
    <definedName name="Precio" localSheetId="34">#REF!</definedName>
    <definedName name="Precio" localSheetId="36">#REF!</definedName>
    <definedName name="Precio" localSheetId="10">#REF!</definedName>
    <definedName name="Precio" localSheetId="11">#REF!</definedName>
    <definedName name="Precio" localSheetId="33">#REF!</definedName>
    <definedName name="Precio" localSheetId="18">#REF!</definedName>
    <definedName name="Precio" localSheetId="20">#REF!</definedName>
    <definedName name="Precio" localSheetId="2">#REF!</definedName>
    <definedName name="Precio" localSheetId="6">#REF!</definedName>
    <definedName name="Precio" localSheetId="7">#REF!</definedName>
    <definedName name="Precio" localSheetId="15">#REF!</definedName>
    <definedName name="Precio" localSheetId="17">#REF!</definedName>
    <definedName name="Precio" localSheetId="28">#REF!</definedName>
    <definedName name="Precio">#REF!</definedName>
    <definedName name="precio2" localSheetId="35">#REF!</definedName>
    <definedName name="precio2" localSheetId="32">#REF!</definedName>
    <definedName name="precio2" localSheetId="14">#REF!</definedName>
    <definedName name="precio2" localSheetId="38">#REF!</definedName>
    <definedName name="precio2" localSheetId="31">#REF!</definedName>
    <definedName name="precio2" localSheetId="30">#REF!</definedName>
    <definedName name="precio2" localSheetId="12">#REF!</definedName>
    <definedName name="precio2" localSheetId="25">#REF!</definedName>
    <definedName name="precio2" localSheetId="34">#REF!</definedName>
    <definedName name="precio2" localSheetId="36">#REF!</definedName>
    <definedName name="precio2" localSheetId="10">#REF!</definedName>
    <definedName name="precio2" localSheetId="11">#REF!</definedName>
    <definedName name="precio2" localSheetId="33">#REF!</definedName>
    <definedName name="precio2" localSheetId="18">#REF!</definedName>
    <definedName name="precio2" localSheetId="20">#REF!</definedName>
    <definedName name="precio2" localSheetId="2">#REF!</definedName>
    <definedName name="precio2" localSheetId="6">#REF!</definedName>
    <definedName name="precio2" localSheetId="7">#REF!</definedName>
    <definedName name="precio2" localSheetId="15">#REF!</definedName>
    <definedName name="precio2" localSheetId="17">#REF!</definedName>
    <definedName name="precio2" localSheetId="28">#REF!</definedName>
    <definedName name="precio2">#REF!</definedName>
    <definedName name="PrecioS" localSheetId="35">#REF!</definedName>
    <definedName name="PrecioS" localSheetId="32">#REF!</definedName>
    <definedName name="PrecioS" localSheetId="14">#REF!</definedName>
    <definedName name="PrecioS" localSheetId="38">#REF!</definedName>
    <definedName name="PrecioS" localSheetId="31">#REF!</definedName>
    <definedName name="PrecioS" localSheetId="30">#REF!</definedName>
    <definedName name="PrecioS" localSheetId="12">#REF!</definedName>
    <definedName name="PrecioS" localSheetId="25">#REF!</definedName>
    <definedName name="PrecioS" localSheetId="34">#REF!</definedName>
    <definedName name="PrecioS" localSheetId="36">#REF!</definedName>
    <definedName name="PrecioS" localSheetId="10">#REF!</definedName>
    <definedName name="PrecioS" localSheetId="11">#REF!</definedName>
    <definedName name="PrecioS" localSheetId="33">#REF!</definedName>
    <definedName name="PrecioS" localSheetId="18">#REF!</definedName>
    <definedName name="PrecioS" localSheetId="20">#REF!</definedName>
    <definedName name="PrecioS" localSheetId="2">#REF!</definedName>
    <definedName name="PrecioS" localSheetId="6">#REF!</definedName>
    <definedName name="PrecioS" localSheetId="7">#REF!</definedName>
    <definedName name="PrecioS" localSheetId="15">#REF!</definedName>
    <definedName name="PrecioS" localSheetId="17">#REF!</definedName>
    <definedName name="PrecioS" localSheetId="28">#REF!</definedName>
    <definedName name="PrecioS">#REF!</definedName>
    <definedName name="prestacional" localSheetId="35">#REF!</definedName>
    <definedName name="prestacional" localSheetId="32">#REF!</definedName>
    <definedName name="prestacional" localSheetId="14">#REF!</definedName>
    <definedName name="prestacional" localSheetId="38">#REF!</definedName>
    <definedName name="prestacional" localSheetId="31">#REF!</definedName>
    <definedName name="prestacional" localSheetId="34">#REF!</definedName>
    <definedName name="prestacional" localSheetId="36">#REF!</definedName>
    <definedName name="prestacional" localSheetId="33">#REF!</definedName>
    <definedName name="prestacional" localSheetId="18">#REF!</definedName>
    <definedName name="prestacional" localSheetId="20">#REF!</definedName>
    <definedName name="prestacional" localSheetId="2">#REF!</definedName>
    <definedName name="prestacional" localSheetId="6">#REF!</definedName>
    <definedName name="prestacional">#REF!</definedName>
    <definedName name="PRINT_AREA">#N/A</definedName>
    <definedName name="PRINT_AREA_MI">#N/A</definedName>
    <definedName name="PRINT_TITLES">#N/A</definedName>
    <definedName name="PRINT_TITLES_MI">#N/A</definedName>
    <definedName name="rele">'Bienes relevantes'!$E$2</definedName>
    <definedName name="RESU" localSheetId="35">#REF!</definedName>
    <definedName name="RESU" localSheetId="32">#REF!</definedName>
    <definedName name="RESU" localSheetId="14">#REF!</definedName>
    <definedName name="RESU" localSheetId="38">#REF!</definedName>
    <definedName name="RESU" localSheetId="31">#REF!</definedName>
    <definedName name="RESU" localSheetId="30">#REF!</definedName>
    <definedName name="RESU" localSheetId="12">#REF!</definedName>
    <definedName name="RESU" localSheetId="25">#REF!</definedName>
    <definedName name="RESU" localSheetId="34">#REF!</definedName>
    <definedName name="RESU" localSheetId="36">#REF!</definedName>
    <definedName name="RESU" localSheetId="10">#REF!</definedName>
    <definedName name="RESU" localSheetId="11">#REF!</definedName>
    <definedName name="RESU" localSheetId="33">#REF!</definedName>
    <definedName name="RESU" localSheetId="18">#REF!</definedName>
    <definedName name="RESU" localSheetId="20">#REF!</definedName>
    <definedName name="RESU" localSheetId="2">#REF!</definedName>
    <definedName name="RESU" localSheetId="6">#REF!</definedName>
    <definedName name="RESU" localSheetId="7">#REF!</definedName>
    <definedName name="RESU" localSheetId="15">#REF!</definedName>
    <definedName name="RESU" localSheetId="17">#REF!</definedName>
    <definedName name="RESU" localSheetId="28">#REF!</definedName>
    <definedName name="RESU">#REF!</definedName>
    <definedName name="RFO">'CF&amp;O'!$B$2</definedName>
    <definedName name="salarios">Salarios!$C$2</definedName>
    <definedName name="SUBA">'[7]SUB APU'!$A$1:$D$65536</definedName>
    <definedName name="subasta1">'A. Lances - SIP'!$B$2</definedName>
    <definedName name="subasta2">'Habilitados - SI'!$C$2</definedName>
    <definedName name="subasta3">'D. Lances - SIP'!$C$2</definedName>
    <definedName name="subasta4">'DD. Lances - SIP'!$C$2</definedName>
    <definedName name="SUELLEN" localSheetId="35">#REF!</definedName>
    <definedName name="SUELLEN" localSheetId="32">#REF!</definedName>
    <definedName name="SUELLEN" localSheetId="14">#REF!</definedName>
    <definedName name="SUELLEN" localSheetId="38">#REF!</definedName>
    <definedName name="SUELLEN" localSheetId="31">#REF!</definedName>
    <definedName name="SUELLEN" localSheetId="30">#REF!</definedName>
    <definedName name="SUELLEN" localSheetId="12">#REF!</definedName>
    <definedName name="SUELLEN" localSheetId="25">#REF!</definedName>
    <definedName name="SUELLEN" localSheetId="34">#REF!</definedName>
    <definedName name="SUELLEN" localSheetId="36">#REF!</definedName>
    <definedName name="SUELLEN" localSheetId="10">#REF!</definedName>
    <definedName name="SUELLEN" localSheetId="11">#REF!</definedName>
    <definedName name="SUELLEN" localSheetId="33">#REF!</definedName>
    <definedName name="SUELLEN" localSheetId="18">#REF!</definedName>
    <definedName name="SUELLEN" localSheetId="20">#REF!</definedName>
    <definedName name="SUELLEN" localSheetId="2">#REF!</definedName>
    <definedName name="SUELLEN" localSheetId="6">#REF!</definedName>
    <definedName name="SUELLEN" localSheetId="7">#REF!</definedName>
    <definedName name="SUELLEN" localSheetId="15">#REF!</definedName>
    <definedName name="SUELLEN" localSheetId="17">#REF!</definedName>
    <definedName name="SUELLEN" localSheetId="28">#REF!</definedName>
    <definedName name="SUELLEN">#REF!</definedName>
    <definedName name="suma">[3]Hoja1!$F$60</definedName>
    <definedName name="_xlnm.Print_Titles" localSheetId="30">Distintivos!$1:$3</definedName>
    <definedName name="_xlnm.Print_Titles" localSheetId="26">Honorarios!$1:$4</definedName>
    <definedName name="_xlnm.Print_Titles" localSheetId="3">Otrosi_1!$1:$4</definedName>
    <definedName name="_xlnm.Print_Titles" localSheetId="2">'PE PSP'!$1:$4</definedName>
    <definedName name="_xlnm.Print_Titles" localSheetId="1">'Plan Ejecución'!$1:$4</definedName>
    <definedName name="_xlnm.Print_Titles" localSheetId="6">'Ppto PSP'!$1:$4</definedName>
    <definedName name="_xlnm.Print_Titles" localSheetId="5">'Presupuesto Contrato'!$1:$4</definedName>
    <definedName name="_xlnm.Print_Titles" localSheetId="7">'Presupuesto Convenio'!$1:$4</definedName>
    <definedName name="_xlnm.Print_Titles" localSheetId="8">'PRESUPUESTO OTRO SI '!$1:$4</definedName>
    <definedName name="Títulos_a_imprimir_IM" localSheetId="35">#REF!</definedName>
    <definedName name="Títulos_a_imprimir_IM" localSheetId="32">#REF!</definedName>
    <definedName name="Títulos_a_imprimir_IM" localSheetId="14">#REF!</definedName>
    <definedName name="Títulos_a_imprimir_IM" localSheetId="38">#REF!</definedName>
    <definedName name="Títulos_a_imprimir_IM" localSheetId="31">#REF!</definedName>
    <definedName name="Títulos_a_imprimir_IM" localSheetId="30">#REF!</definedName>
    <definedName name="Títulos_a_imprimir_IM" localSheetId="12">#REF!</definedName>
    <definedName name="Títulos_a_imprimir_IM" localSheetId="25">#REF!</definedName>
    <definedName name="Títulos_a_imprimir_IM" localSheetId="34">#REF!</definedName>
    <definedName name="Títulos_a_imprimir_IM" localSheetId="36">#REF!</definedName>
    <definedName name="Títulos_a_imprimir_IM" localSheetId="10">#REF!</definedName>
    <definedName name="Títulos_a_imprimir_IM" localSheetId="11">#REF!</definedName>
    <definedName name="Títulos_a_imprimir_IM" localSheetId="33">#REF!</definedName>
    <definedName name="Títulos_a_imprimir_IM" localSheetId="18">#REF!</definedName>
    <definedName name="Títulos_a_imprimir_IM" localSheetId="20">#REF!</definedName>
    <definedName name="Títulos_a_imprimir_IM" localSheetId="2">#REF!</definedName>
    <definedName name="Títulos_a_imprimir_IM" localSheetId="6">#REF!</definedName>
    <definedName name="Títulos_a_imprimir_IM" localSheetId="7">#REF!</definedName>
    <definedName name="Títulos_a_imprimir_IM" localSheetId="15">#REF!</definedName>
    <definedName name="Títulos_a_imprimir_IM" localSheetId="17">#REF!</definedName>
    <definedName name="Títulos_a_imprimir_IM" localSheetId="28">#REF!</definedName>
    <definedName name="Títulos_a_imprimir_IM">#REF!</definedName>
    <definedName name="tres" localSheetId="35">#REF!</definedName>
    <definedName name="tres" localSheetId="32">#REF!</definedName>
    <definedName name="tres" localSheetId="14">#REF!</definedName>
    <definedName name="tres" localSheetId="38">#REF!</definedName>
    <definedName name="tres" localSheetId="31">#REF!</definedName>
    <definedName name="tres" localSheetId="30">#REF!</definedName>
    <definedName name="tres" localSheetId="12">#REF!</definedName>
    <definedName name="tres" localSheetId="25">#REF!</definedName>
    <definedName name="tres" localSheetId="34">#REF!</definedName>
    <definedName name="tres" localSheetId="36">#REF!</definedName>
    <definedName name="tres" localSheetId="10">#REF!</definedName>
    <definedName name="tres" localSheetId="11">#REF!</definedName>
    <definedName name="tres" localSheetId="33">#REF!</definedName>
    <definedName name="tres" localSheetId="18">#REF!</definedName>
    <definedName name="tres" localSheetId="20">#REF!</definedName>
    <definedName name="tres" localSheetId="2">#REF!</definedName>
    <definedName name="tres" localSheetId="6">#REF!</definedName>
    <definedName name="tres" localSheetId="7">#REF!</definedName>
    <definedName name="tres" localSheetId="15">#REF!</definedName>
    <definedName name="tres" localSheetId="17">#REF!</definedName>
    <definedName name="tres" localSheetId="28">#REF!</definedName>
    <definedName name="tres">#REF!</definedName>
    <definedName name="Var">[2]Varios.!$E$1:$E$65536</definedName>
    <definedName name="vas" localSheetId="35">#REF!</definedName>
    <definedName name="vas" localSheetId="32">#REF!</definedName>
    <definedName name="vas" localSheetId="14">#REF!</definedName>
    <definedName name="vas" localSheetId="38">#REF!</definedName>
    <definedName name="vas" localSheetId="31">#REF!</definedName>
    <definedName name="vas" localSheetId="30">#REF!</definedName>
    <definedName name="vas" localSheetId="12">#REF!</definedName>
    <definedName name="vas" localSheetId="25">#REF!</definedName>
    <definedName name="vas" localSheetId="34">#REF!</definedName>
    <definedName name="vas" localSheetId="36">#REF!</definedName>
    <definedName name="vas" localSheetId="10">#REF!</definedName>
    <definedName name="vas" localSheetId="11">#REF!</definedName>
    <definedName name="vas" localSheetId="33">#REF!</definedName>
    <definedName name="vas" localSheetId="18">#REF!</definedName>
    <definedName name="vas" localSheetId="20">#REF!</definedName>
    <definedName name="vas" localSheetId="2">#REF!</definedName>
    <definedName name="vas" localSheetId="6">#REF!</definedName>
    <definedName name="vas" localSheetId="7">#REF!</definedName>
    <definedName name="vas" localSheetId="15">#REF!</definedName>
    <definedName name="vas" localSheetId="17">#REF!</definedName>
    <definedName name="vas" localSheetId="28">#REF!</definedName>
    <definedName name="vas">#REF!</definedName>
    <definedName name="wrn.GENERAL." localSheetId="25"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28" hidden="1">{"TAB1",#N/A,TRUE,"GENERAL";"TAB2",#N/A,TRUE,"GENERAL";"TAB3",#N/A,TRUE,"GENERAL";"TAB4",#N/A,TRUE,"GENERAL";"TAB5",#N/A,TRUE,"GENERAL"}</definedName>
    <definedName name="wrn.GENERAL." hidden="1">{"TAB1",#N/A,TRUE,"GENERAL";"TAB2",#N/A,TRUE,"GENERAL";"TAB3",#N/A,TRUE,"GENERAL";"TAB4",#N/A,TRUE,"GENERAL";"TAB5",#N/A,TRUE,"GENERAL"}</definedName>
    <definedName name="wrn.via." localSheetId="25" hidden="1">{"via1",#N/A,TRUE,"general";"via2",#N/A,TRUE,"general";"via3",#N/A,TRUE,"general"}</definedName>
    <definedName name="wrn.via." localSheetId="15" hidden="1">{"via1",#N/A,TRUE,"general";"via2",#N/A,TRUE,"general";"via3",#N/A,TRUE,"general"}</definedName>
    <definedName name="wrn.via." localSheetId="28" hidden="1">{"via1",#N/A,TRUE,"general";"via2",#N/A,TRUE,"general";"via3",#N/A,TRUE,"general"}</definedName>
    <definedName name="wrn.via." hidden="1">{"via1",#N/A,TRUE,"general";"via2",#N/A,TRUE,"general";"via3",#N/A,TRUE,"general"}</definedName>
    <definedName name="xx" localSheetId="35">#REF!</definedName>
    <definedName name="xx" localSheetId="32">#REF!</definedName>
    <definedName name="xx" localSheetId="14">#REF!</definedName>
    <definedName name="xx" localSheetId="38">#REF!</definedName>
    <definedName name="xx" localSheetId="31">#REF!</definedName>
    <definedName name="xx" localSheetId="30">#REF!</definedName>
    <definedName name="xx" localSheetId="12">#REF!</definedName>
    <definedName name="xx" localSheetId="25">#REF!</definedName>
    <definedName name="xx" localSheetId="34">#REF!</definedName>
    <definedName name="xx" localSheetId="36">#REF!</definedName>
    <definedName name="xx" localSheetId="10">#REF!</definedName>
    <definedName name="xx" localSheetId="11">#REF!</definedName>
    <definedName name="xx" localSheetId="33">#REF!</definedName>
    <definedName name="xx" localSheetId="18">#REF!</definedName>
    <definedName name="xx" localSheetId="20">#REF!</definedName>
    <definedName name="xx" localSheetId="2">#REF!</definedName>
    <definedName name="xx" localSheetId="6">#REF!</definedName>
    <definedName name="xx" localSheetId="7">#REF!</definedName>
    <definedName name="xx" localSheetId="15">#REF!</definedName>
    <definedName name="xx" localSheetId="17">#REF!</definedName>
    <definedName name="xx" localSheetId="28">#REF!</definedName>
    <definedName name="xx">#REF!</definedName>
    <definedName name="yuf" localSheetId="25" hidden="1">{"TAB1",#N/A,TRUE,"GENERAL";"TAB2",#N/A,TRUE,"GENERAL";"TAB3",#N/A,TRUE,"GENERAL";"TAB4",#N/A,TRUE,"GENERAL";"TAB5",#N/A,TRUE,"GENERAL"}</definedName>
    <definedName name="yuf" localSheetId="15" hidden="1">{"TAB1",#N/A,TRUE,"GENERAL";"TAB2",#N/A,TRUE,"GENERAL";"TAB3",#N/A,TRUE,"GENERAL";"TAB4",#N/A,TRUE,"GENERAL";"TAB5",#N/A,TRUE,"GENERAL"}</definedName>
    <definedName name="yuf" localSheetId="28" hidden="1">{"TAB1",#N/A,TRUE,"GENERAL";"TAB2",#N/A,TRUE,"GENERAL";"TAB3",#N/A,TRUE,"GENERAL";"TAB4",#N/A,TRUE,"GENERAL";"TAB5",#N/A,TRUE,"GENERAL"}</definedName>
    <definedName name="yuf" hidden="1">{"TAB1",#N/A,TRUE,"GENERAL";"TAB2",#N/A,TRUE,"GENERAL";"TAB3",#N/A,TRUE,"GENERAL";"TAB4",#N/A,TRUE,"GENERAL";"TAB5",#N/A,TRUE,"GENERAL"}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11" i="25" l="1"/>
  <c r="F12" i="51" l="1"/>
  <c r="F11" i="51"/>
  <c r="AE228" i="80"/>
  <c r="K204" i="80"/>
  <c r="L204" i="80" s="1"/>
  <c r="M204" i="80" s="1"/>
  <c r="N204" i="80" s="1"/>
  <c r="O204" i="80" s="1"/>
  <c r="P204" i="80" s="1"/>
  <c r="Q204" i="80" s="1"/>
  <c r="R204" i="80" s="1"/>
  <c r="S204" i="80" s="1"/>
  <c r="T204" i="80" s="1"/>
  <c r="U204" i="80" s="1"/>
  <c r="V204" i="80" s="1"/>
  <c r="W204" i="80" s="1"/>
  <c r="X204" i="80" s="1"/>
  <c r="Y204" i="80" s="1"/>
  <c r="Z204" i="80" s="1"/>
  <c r="AA204" i="80" s="1"/>
  <c r="AB204" i="80" s="1"/>
  <c r="AC204" i="80" s="1"/>
  <c r="AD204" i="80" s="1"/>
  <c r="K212" i="80"/>
  <c r="K211" i="80"/>
  <c r="J211" i="80"/>
  <c r="J221" i="80" s="1"/>
  <c r="AG211" i="80"/>
  <c r="AD220" i="80"/>
  <c r="AC220" i="80"/>
  <c r="AB220" i="80"/>
  <c r="AB221" i="80" s="1"/>
  <c r="AA220" i="80"/>
  <c r="AA221" i="80" s="1"/>
  <c r="Z220" i="80"/>
  <c r="Z221" i="80" s="1"/>
  <c r="Y220" i="80"/>
  <c r="X220" i="80"/>
  <c r="W220" i="80"/>
  <c r="V220" i="80"/>
  <c r="U220" i="80"/>
  <c r="T220" i="80"/>
  <c r="S220" i="80"/>
  <c r="R220" i="80"/>
  <c r="Q220" i="80"/>
  <c r="P220" i="80"/>
  <c r="P221" i="80" s="1"/>
  <c r="O220" i="80"/>
  <c r="O221" i="80" s="1"/>
  <c r="N220" i="80"/>
  <c r="N221" i="80" s="1"/>
  <c r="M220" i="80"/>
  <c r="M221" i="80" s="1"/>
  <c r="L220" i="80"/>
  <c r="K220" i="80"/>
  <c r="K221" i="80" s="1"/>
  <c r="J220" i="80"/>
  <c r="I220" i="80"/>
  <c r="H220" i="80"/>
  <c r="E220" i="80"/>
  <c r="X224" i="80" s="1"/>
  <c r="AD214" i="80"/>
  <c r="AC214" i="80"/>
  <c r="AB214" i="80"/>
  <c r="AA214" i="80"/>
  <c r="Z214" i="80"/>
  <c r="Y214" i="80"/>
  <c r="X214" i="80"/>
  <c r="W214" i="80"/>
  <c r="V214" i="80"/>
  <c r="U214" i="80"/>
  <c r="T214" i="80"/>
  <c r="S214" i="80"/>
  <c r="R214" i="80"/>
  <c r="Q214" i="80"/>
  <c r="P214" i="80"/>
  <c r="O214" i="80"/>
  <c r="N214" i="80"/>
  <c r="M214" i="80"/>
  <c r="L214" i="80"/>
  <c r="K214" i="80"/>
  <c r="J214" i="80"/>
  <c r="I214" i="80"/>
  <c r="H214" i="80"/>
  <c r="G214" i="80"/>
  <c r="G215" i="80" s="1"/>
  <c r="AD211" i="80"/>
  <c r="AC211" i="80"/>
  <c r="AB211" i="80"/>
  <c r="AB210" i="80" s="1"/>
  <c r="AA211" i="80"/>
  <c r="AA210" i="80" s="1"/>
  <c r="Z211" i="80"/>
  <c r="Z210" i="80" s="1"/>
  <c r="Y211" i="80"/>
  <c r="X211" i="80"/>
  <c r="W211" i="80"/>
  <c r="V211" i="80"/>
  <c r="U211" i="80"/>
  <c r="T211" i="80"/>
  <c r="T210" i="80" s="1"/>
  <c r="S211" i="80"/>
  <c r="R211" i="80"/>
  <c r="Q211" i="80"/>
  <c r="P211" i="80"/>
  <c r="P210" i="80" s="1"/>
  <c r="O211" i="80"/>
  <c r="O210" i="80" s="1"/>
  <c r="N211" i="80"/>
  <c r="N210" i="80" s="1"/>
  <c r="M211" i="80"/>
  <c r="L211" i="80"/>
  <c r="L212" i="80" s="1"/>
  <c r="M212" i="80" s="1"/>
  <c r="I211" i="80"/>
  <c r="I221" i="80" s="1"/>
  <c r="I223" i="80" s="1"/>
  <c r="I224" i="80" s="1"/>
  <c r="H211" i="80"/>
  <c r="H221" i="80" s="1"/>
  <c r="H223" i="80" s="1"/>
  <c r="G211" i="80"/>
  <c r="G212" i="80" s="1"/>
  <c r="H212" i="80" s="1"/>
  <c r="I212" i="80" s="1"/>
  <c r="J212" i="80" s="1"/>
  <c r="AD210" i="80"/>
  <c r="AC210" i="80"/>
  <c r="Y210" i="80"/>
  <c r="X210" i="80"/>
  <c r="W210" i="80"/>
  <c r="V210" i="80"/>
  <c r="U210" i="80"/>
  <c r="S210" i="80"/>
  <c r="R210" i="80"/>
  <c r="Q210" i="80"/>
  <c r="M210" i="80"/>
  <c r="L210" i="80"/>
  <c r="I210" i="80"/>
  <c r="H210" i="80"/>
  <c r="E210" i="80"/>
  <c r="G204" i="80"/>
  <c r="H204" i="80" s="1"/>
  <c r="I204" i="80" s="1"/>
  <c r="AE202" i="80"/>
  <c r="AE201" i="80"/>
  <c r="AE200" i="80"/>
  <c r="AE199" i="80"/>
  <c r="AE198" i="80"/>
  <c r="AD197" i="80"/>
  <c r="AC197" i="80"/>
  <c r="AB197" i="80"/>
  <c r="AA197" i="80"/>
  <c r="Z197" i="80"/>
  <c r="Y197" i="80"/>
  <c r="X197" i="80"/>
  <c r="W197" i="80"/>
  <c r="V197" i="80"/>
  <c r="U197" i="80"/>
  <c r="T197" i="80"/>
  <c r="S197" i="80"/>
  <c r="R197" i="80"/>
  <c r="Q197" i="80"/>
  <c r="P197" i="80"/>
  <c r="O197" i="80"/>
  <c r="N197" i="80"/>
  <c r="M197" i="80"/>
  <c r="L197" i="80"/>
  <c r="K197" i="80"/>
  <c r="J197" i="80"/>
  <c r="I197" i="80"/>
  <c r="H197" i="80"/>
  <c r="G197" i="80"/>
  <c r="AE196" i="80"/>
  <c r="AE195" i="80"/>
  <c r="AE194" i="80"/>
  <c r="AE193" i="80"/>
  <c r="AE192" i="80"/>
  <c r="AD191" i="80"/>
  <c r="AC191" i="80"/>
  <c r="AB191" i="80"/>
  <c r="AA191" i="80"/>
  <c r="Z191" i="80"/>
  <c r="Y191" i="80"/>
  <c r="X191" i="80"/>
  <c r="W191" i="80"/>
  <c r="V191" i="80"/>
  <c r="U191" i="80"/>
  <c r="T191" i="80"/>
  <c r="S191" i="80"/>
  <c r="R191" i="80"/>
  <c r="Q191" i="80"/>
  <c r="P191" i="80"/>
  <c r="O191" i="80"/>
  <c r="N191" i="80"/>
  <c r="M191" i="80"/>
  <c r="L191" i="80"/>
  <c r="K191" i="80"/>
  <c r="K172" i="80" s="1"/>
  <c r="J191" i="80"/>
  <c r="I191" i="80"/>
  <c r="H191" i="80"/>
  <c r="G191" i="80"/>
  <c r="AE190" i="80"/>
  <c r="AE189" i="80"/>
  <c r="AE188" i="80"/>
  <c r="AE187" i="80"/>
  <c r="AE186" i="80"/>
  <c r="AD185" i="80"/>
  <c r="AC185" i="80"/>
  <c r="AB185" i="80"/>
  <c r="AB172" i="80" s="1"/>
  <c r="AA185" i="80"/>
  <c r="Z185" i="80"/>
  <c r="Y185" i="80"/>
  <c r="X185" i="80"/>
  <c r="W185" i="80"/>
  <c r="V185" i="80"/>
  <c r="U185" i="80"/>
  <c r="T185" i="80"/>
  <c r="S185" i="80"/>
  <c r="R185" i="80"/>
  <c r="Q185" i="80"/>
  <c r="P185" i="80"/>
  <c r="P172" i="80" s="1"/>
  <c r="O185" i="80"/>
  <c r="N185" i="80"/>
  <c r="M185" i="80"/>
  <c r="L185" i="80"/>
  <c r="K185" i="80"/>
  <c r="J185" i="80"/>
  <c r="I185" i="80"/>
  <c r="H185" i="80"/>
  <c r="G185" i="80"/>
  <c r="AE184" i="80"/>
  <c r="AE183" i="80"/>
  <c r="AE182" i="80"/>
  <c r="AE181" i="80"/>
  <c r="AE180" i="80"/>
  <c r="AD179" i="80"/>
  <c r="AC179" i="80"/>
  <c r="AB179" i="80"/>
  <c r="AA179" i="80"/>
  <c r="Z179" i="80"/>
  <c r="Y179" i="80"/>
  <c r="X179" i="80"/>
  <c r="W179" i="80"/>
  <c r="V179" i="80"/>
  <c r="V172" i="80" s="1"/>
  <c r="U179" i="80"/>
  <c r="U172" i="80" s="1"/>
  <c r="T179" i="80"/>
  <c r="T172" i="80" s="1"/>
  <c r="S179" i="80"/>
  <c r="R179" i="80"/>
  <c r="Q179" i="80"/>
  <c r="P179" i="80"/>
  <c r="O179" i="80"/>
  <c r="N179" i="80"/>
  <c r="M179" i="80"/>
  <c r="L179" i="80"/>
  <c r="K179" i="80"/>
  <c r="J179" i="80"/>
  <c r="I179" i="80"/>
  <c r="I172" i="80" s="1"/>
  <c r="H179" i="80"/>
  <c r="H172" i="80" s="1"/>
  <c r="G179" i="80"/>
  <c r="AE178" i="80"/>
  <c r="AE177" i="80"/>
  <c r="AE176" i="80"/>
  <c r="AE175" i="80"/>
  <c r="AE174" i="80"/>
  <c r="AD173" i="80"/>
  <c r="AD172" i="80" s="1"/>
  <c r="AC173" i="80"/>
  <c r="AC172" i="80" s="1"/>
  <c r="AB173" i="80"/>
  <c r="AA173" i="80"/>
  <c r="Z173" i="80"/>
  <c r="Z172" i="80" s="1"/>
  <c r="Y173" i="80"/>
  <c r="X173" i="80"/>
  <c r="W173" i="80"/>
  <c r="V173" i="80"/>
  <c r="U173" i="80"/>
  <c r="T173" i="80"/>
  <c r="S173" i="80"/>
  <c r="R173" i="80"/>
  <c r="Q173" i="80"/>
  <c r="P173" i="80"/>
  <c r="O173" i="80"/>
  <c r="N173" i="80"/>
  <c r="N172" i="80" s="1"/>
  <c r="M173" i="80"/>
  <c r="L173" i="80"/>
  <c r="K173" i="80"/>
  <c r="J173" i="80"/>
  <c r="I173" i="80"/>
  <c r="H173" i="80"/>
  <c r="G173" i="80"/>
  <c r="W172" i="80"/>
  <c r="AE171" i="80"/>
  <c r="AE170" i="80"/>
  <c r="AE169" i="80"/>
  <c r="AE168" i="80"/>
  <c r="AE167" i="80"/>
  <c r="AD166" i="80"/>
  <c r="AC166" i="80"/>
  <c r="AB166" i="80"/>
  <c r="AA166" i="80"/>
  <c r="Z166" i="80"/>
  <c r="Y166" i="80"/>
  <c r="X166" i="80"/>
  <c r="W166" i="80"/>
  <c r="V166" i="80"/>
  <c r="U166" i="80"/>
  <c r="T166" i="80"/>
  <c r="S166" i="80"/>
  <c r="R166" i="80"/>
  <c r="Q166" i="80"/>
  <c r="P166" i="80"/>
  <c r="O166" i="80"/>
  <c r="N166" i="80"/>
  <c r="M166" i="80"/>
  <c r="L166" i="80"/>
  <c r="L141" i="80" s="1"/>
  <c r="K166" i="80"/>
  <c r="J166" i="80"/>
  <c r="I166" i="80"/>
  <c r="H166" i="80"/>
  <c r="G166" i="80"/>
  <c r="AE165" i="80"/>
  <c r="AE164" i="80"/>
  <c r="AE163" i="80"/>
  <c r="AE162" i="80"/>
  <c r="AE161" i="80"/>
  <c r="AD160" i="80"/>
  <c r="AC160" i="80"/>
  <c r="AB160" i="80"/>
  <c r="AA160" i="80"/>
  <c r="Z160" i="80"/>
  <c r="Y160" i="80"/>
  <c r="X160" i="80"/>
  <c r="W160" i="80"/>
  <c r="V160" i="80"/>
  <c r="U160" i="80"/>
  <c r="T160" i="80"/>
  <c r="S160" i="80"/>
  <c r="R160" i="80"/>
  <c r="Q160" i="80"/>
  <c r="P160" i="80"/>
  <c r="O160" i="80"/>
  <c r="N160" i="80"/>
  <c r="M160" i="80"/>
  <c r="L160" i="80"/>
  <c r="K160" i="80"/>
  <c r="J160" i="80"/>
  <c r="I160" i="80"/>
  <c r="H160" i="80"/>
  <c r="G160" i="80"/>
  <c r="AE159" i="80"/>
  <c r="AE158" i="80"/>
  <c r="AE157" i="80"/>
  <c r="AE156" i="80"/>
  <c r="AE155" i="80"/>
  <c r="AD154" i="80"/>
  <c r="AC154" i="80"/>
  <c r="AB154" i="80"/>
  <c r="AA154" i="80"/>
  <c r="Z154" i="80"/>
  <c r="Y154" i="80"/>
  <c r="X154" i="80"/>
  <c r="X141" i="80" s="1"/>
  <c r="W154" i="80"/>
  <c r="V154" i="80"/>
  <c r="V141" i="80" s="1"/>
  <c r="U154" i="80"/>
  <c r="T154" i="80"/>
  <c r="S154" i="80"/>
  <c r="R154" i="80"/>
  <c r="Q154" i="80"/>
  <c r="P154" i="80"/>
  <c r="O154" i="80"/>
  <c r="N154" i="80"/>
  <c r="M154" i="80"/>
  <c r="L154" i="80"/>
  <c r="K154" i="80"/>
  <c r="J154" i="80"/>
  <c r="J141" i="80" s="1"/>
  <c r="I154" i="80"/>
  <c r="H154" i="80"/>
  <c r="G154" i="80"/>
  <c r="AE153" i="80"/>
  <c r="AE152" i="80"/>
  <c r="AE151" i="80"/>
  <c r="AE150" i="80"/>
  <c r="AE149" i="80"/>
  <c r="AD148" i="80"/>
  <c r="AC148" i="80"/>
  <c r="AC141" i="80" s="1"/>
  <c r="AB148" i="80"/>
  <c r="AB141" i="80" s="1"/>
  <c r="AA148" i="80"/>
  <c r="AA141" i="80" s="1"/>
  <c r="Z148" i="80"/>
  <c r="Z141" i="80" s="1"/>
  <c r="Y148" i="80"/>
  <c r="X148" i="80"/>
  <c r="W148" i="80"/>
  <c r="V148" i="80"/>
  <c r="U148" i="80"/>
  <c r="T148" i="80"/>
  <c r="S148" i="80"/>
  <c r="R148" i="80"/>
  <c r="Q148" i="80"/>
  <c r="Q141" i="80" s="1"/>
  <c r="P148" i="80"/>
  <c r="P141" i="80" s="1"/>
  <c r="O148" i="80"/>
  <c r="O141" i="80" s="1"/>
  <c r="N148" i="80"/>
  <c r="N141" i="80" s="1"/>
  <c r="M148" i="80"/>
  <c r="L148" i="80"/>
  <c r="K148" i="80"/>
  <c r="J148" i="80"/>
  <c r="I148" i="80"/>
  <c r="H148" i="80"/>
  <c r="G148" i="80"/>
  <c r="AE147" i="80"/>
  <c r="AE146" i="80"/>
  <c r="AE145" i="80"/>
  <c r="AE144" i="80"/>
  <c r="AE143" i="80"/>
  <c r="AD142" i="80"/>
  <c r="AC142" i="80"/>
  <c r="AB142" i="80"/>
  <c r="AA142" i="80"/>
  <c r="Z142" i="80"/>
  <c r="Y142" i="80"/>
  <c r="Y141" i="80" s="1"/>
  <c r="X142" i="80"/>
  <c r="W142" i="80"/>
  <c r="V142" i="80"/>
  <c r="U142" i="80"/>
  <c r="T142" i="80"/>
  <c r="S142" i="80"/>
  <c r="R142" i="80"/>
  <c r="Q142" i="80"/>
  <c r="P142" i="80"/>
  <c r="O142" i="80"/>
  <c r="N142" i="80"/>
  <c r="M142" i="80"/>
  <c r="L142" i="80"/>
  <c r="K142" i="80"/>
  <c r="J142" i="80"/>
  <c r="I142" i="80"/>
  <c r="H142" i="80"/>
  <c r="G142" i="80"/>
  <c r="AE142" i="80" s="1"/>
  <c r="AD141" i="80"/>
  <c r="R141" i="80"/>
  <c r="AE140" i="80"/>
  <c r="AE139" i="80"/>
  <c r="AE138" i="80"/>
  <c r="AE137" i="80"/>
  <c r="AE136" i="80"/>
  <c r="AD135" i="80"/>
  <c r="AC135" i="80"/>
  <c r="AB135" i="80"/>
  <c r="AA135" i="80"/>
  <c r="Z135" i="80"/>
  <c r="Y135" i="80"/>
  <c r="X135" i="80"/>
  <c r="W135" i="80"/>
  <c r="V135" i="80"/>
  <c r="U135" i="80"/>
  <c r="T135" i="80"/>
  <c r="S135" i="80"/>
  <c r="R135" i="80"/>
  <c r="Q135" i="80"/>
  <c r="P135" i="80"/>
  <c r="O135" i="80"/>
  <c r="N135" i="80"/>
  <c r="M135" i="80"/>
  <c r="L135" i="80"/>
  <c r="K135" i="80"/>
  <c r="J135" i="80"/>
  <c r="I135" i="80"/>
  <c r="H135" i="80"/>
  <c r="G135" i="80"/>
  <c r="AE134" i="80"/>
  <c r="AE133" i="80"/>
  <c r="AE132" i="80"/>
  <c r="AE131" i="80"/>
  <c r="AE130" i="80"/>
  <c r="AD129" i="80"/>
  <c r="AC129" i="80"/>
  <c r="AB129" i="80"/>
  <c r="AA129" i="80"/>
  <c r="Z129" i="80"/>
  <c r="Y129" i="80"/>
  <c r="X129" i="80"/>
  <c r="W129" i="80"/>
  <c r="V129" i="80"/>
  <c r="U129" i="80"/>
  <c r="T129" i="80"/>
  <c r="S129" i="80"/>
  <c r="R129" i="80"/>
  <c r="Q129" i="80"/>
  <c r="P129" i="80"/>
  <c r="O129" i="80"/>
  <c r="N129" i="80"/>
  <c r="M129" i="80"/>
  <c r="L129" i="80"/>
  <c r="K129" i="80"/>
  <c r="J129" i="80"/>
  <c r="I129" i="80"/>
  <c r="H129" i="80"/>
  <c r="G129" i="80"/>
  <c r="AE128" i="80"/>
  <c r="AE127" i="80"/>
  <c r="AE126" i="80"/>
  <c r="AE125" i="80"/>
  <c r="AE124" i="80"/>
  <c r="AD123" i="80"/>
  <c r="AC123" i="80"/>
  <c r="AC110" i="80" s="1"/>
  <c r="AB123" i="80"/>
  <c r="AB110" i="80" s="1"/>
  <c r="AA123" i="80"/>
  <c r="Z123" i="80"/>
  <c r="Y123" i="80"/>
  <c r="X123" i="80"/>
  <c r="W123" i="80"/>
  <c r="V123" i="80"/>
  <c r="U123" i="80"/>
  <c r="T123" i="80"/>
  <c r="S123" i="80"/>
  <c r="S110" i="80" s="1"/>
  <c r="R123" i="80"/>
  <c r="Q123" i="80"/>
  <c r="Q110" i="80" s="1"/>
  <c r="P123" i="80"/>
  <c r="O123" i="80"/>
  <c r="N123" i="80"/>
  <c r="M123" i="80"/>
  <c r="L123" i="80"/>
  <c r="K123" i="80"/>
  <c r="J123" i="80"/>
  <c r="I123" i="80"/>
  <c r="H123" i="80"/>
  <c r="G123" i="80"/>
  <c r="AE122" i="80"/>
  <c r="AE121" i="80"/>
  <c r="AE120" i="80"/>
  <c r="AE119" i="80"/>
  <c r="AE118" i="80"/>
  <c r="AD117" i="80"/>
  <c r="AC117" i="80"/>
  <c r="AB117" i="80"/>
  <c r="AA117" i="80"/>
  <c r="Z117" i="80"/>
  <c r="Y117" i="80"/>
  <c r="X117" i="80"/>
  <c r="W117" i="80"/>
  <c r="V117" i="80"/>
  <c r="V110" i="80" s="1"/>
  <c r="U117" i="80"/>
  <c r="U110" i="80" s="1"/>
  <c r="T117" i="80"/>
  <c r="S117" i="80"/>
  <c r="R117" i="80"/>
  <c r="Q117" i="80"/>
  <c r="P117" i="80"/>
  <c r="O117" i="80"/>
  <c r="N117" i="80"/>
  <c r="M117" i="80"/>
  <c r="L117" i="80"/>
  <c r="K117" i="80"/>
  <c r="J117" i="80"/>
  <c r="J110" i="80" s="1"/>
  <c r="I117" i="80"/>
  <c r="I110" i="80" s="1"/>
  <c r="H117" i="80"/>
  <c r="G117" i="80"/>
  <c r="AE116" i="80"/>
  <c r="AE115" i="80"/>
  <c r="AE114" i="80"/>
  <c r="AE113" i="80"/>
  <c r="AE112" i="80"/>
  <c r="AD111" i="80"/>
  <c r="AC111" i="80"/>
  <c r="AB111" i="80"/>
  <c r="AA111" i="80"/>
  <c r="Z111" i="80"/>
  <c r="Z110" i="80" s="1"/>
  <c r="Y111" i="80"/>
  <c r="X111" i="80"/>
  <c r="W111" i="80"/>
  <c r="V111" i="80"/>
  <c r="U111" i="80"/>
  <c r="T111" i="80"/>
  <c r="T110" i="80" s="1"/>
  <c r="S111" i="80"/>
  <c r="R111" i="80"/>
  <c r="Q111" i="80"/>
  <c r="P111" i="80"/>
  <c r="O111" i="80"/>
  <c r="N111" i="80"/>
  <c r="N110" i="80" s="1"/>
  <c r="M111" i="80"/>
  <c r="L111" i="80"/>
  <c r="K111" i="80"/>
  <c r="J111" i="80"/>
  <c r="I111" i="80"/>
  <c r="H111" i="80"/>
  <c r="G111" i="80"/>
  <c r="Y110" i="80"/>
  <c r="X110" i="80"/>
  <c r="G110" i="80"/>
  <c r="AE109" i="80"/>
  <c r="AE108" i="80"/>
  <c r="AE107" i="80"/>
  <c r="AE106" i="80"/>
  <c r="AE105" i="80"/>
  <c r="AD104" i="80"/>
  <c r="AC104" i="80"/>
  <c r="AB104" i="80"/>
  <c r="AA104" i="80"/>
  <c r="Z104" i="80"/>
  <c r="Y104" i="80"/>
  <c r="X104" i="80"/>
  <c r="W104" i="80"/>
  <c r="V104" i="80"/>
  <c r="U104" i="80"/>
  <c r="T104" i="80"/>
  <c r="S104" i="80"/>
  <c r="R104" i="80"/>
  <c r="Q104" i="80"/>
  <c r="P104" i="80"/>
  <c r="O104" i="80"/>
  <c r="N104" i="80"/>
  <c r="M104" i="80"/>
  <c r="L104" i="80"/>
  <c r="L79" i="80" s="1"/>
  <c r="K104" i="80"/>
  <c r="J104" i="80"/>
  <c r="I104" i="80"/>
  <c r="H104" i="80"/>
  <c r="G104" i="80"/>
  <c r="AE103" i="80"/>
  <c r="AE102" i="80"/>
  <c r="AE101" i="80"/>
  <c r="AE100" i="80"/>
  <c r="AE99" i="80"/>
  <c r="AD98" i="80"/>
  <c r="AC98" i="80"/>
  <c r="AC79" i="80" s="1"/>
  <c r="AB98" i="80"/>
  <c r="AA98" i="80"/>
  <c r="Z98" i="80"/>
  <c r="Y98" i="80"/>
  <c r="X98" i="80"/>
  <c r="W98" i="80"/>
  <c r="V98" i="80"/>
  <c r="U98" i="80"/>
  <c r="T98" i="80"/>
  <c r="S98" i="80"/>
  <c r="R98" i="80"/>
  <c r="Q98" i="80"/>
  <c r="Q79" i="80" s="1"/>
  <c r="P98" i="80"/>
  <c r="O98" i="80"/>
  <c r="N98" i="80"/>
  <c r="M98" i="80"/>
  <c r="L98" i="80"/>
  <c r="K98" i="80"/>
  <c r="J98" i="80"/>
  <c r="I98" i="80"/>
  <c r="H98" i="80"/>
  <c r="G98" i="80"/>
  <c r="AE97" i="80"/>
  <c r="AE96" i="80"/>
  <c r="AE95" i="80"/>
  <c r="AE94" i="80"/>
  <c r="AE93" i="80"/>
  <c r="AD92" i="80"/>
  <c r="AC92" i="80"/>
  <c r="AB92" i="80"/>
  <c r="AA92" i="80"/>
  <c r="Z92" i="80"/>
  <c r="Y92" i="80"/>
  <c r="X92" i="80"/>
  <c r="X79" i="80" s="1"/>
  <c r="W92" i="80"/>
  <c r="V92" i="80"/>
  <c r="U92" i="80"/>
  <c r="T92" i="80"/>
  <c r="S92" i="80"/>
  <c r="R92" i="80"/>
  <c r="Q92" i="80"/>
  <c r="P92" i="80"/>
  <c r="O92" i="80"/>
  <c r="N92" i="80"/>
  <c r="M92" i="80"/>
  <c r="L92" i="80"/>
  <c r="K92" i="80"/>
  <c r="J92" i="80"/>
  <c r="I92" i="80"/>
  <c r="H92" i="80"/>
  <c r="G92" i="80"/>
  <c r="AE91" i="80"/>
  <c r="AE90" i="80"/>
  <c r="AE89" i="80"/>
  <c r="AE88" i="80"/>
  <c r="AE87" i="80"/>
  <c r="AD86" i="80"/>
  <c r="AC86" i="80"/>
  <c r="AB86" i="80"/>
  <c r="AA86" i="80"/>
  <c r="Z86" i="80"/>
  <c r="Z79" i="80" s="1"/>
  <c r="Y86" i="80"/>
  <c r="X86" i="80"/>
  <c r="W86" i="80"/>
  <c r="V86" i="80"/>
  <c r="U86" i="80"/>
  <c r="T86" i="80"/>
  <c r="S86" i="80"/>
  <c r="R86" i="80"/>
  <c r="Q86" i="80"/>
  <c r="P86" i="80"/>
  <c r="O86" i="80"/>
  <c r="N86" i="80"/>
  <c r="N79" i="80" s="1"/>
  <c r="M86" i="80"/>
  <c r="L86" i="80"/>
  <c r="K86" i="80"/>
  <c r="J86" i="80"/>
  <c r="I86" i="80"/>
  <c r="H86" i="80"/>
  <c r="G86" i="80"/>
  <c r="AE85" i="80"/>
  <c r="AE84" i="80"/>
  <c r="AE83" i="80"/>
  <c r="AE82" i="80"/>
  <c r="AE81" i="80"/>
  <c r="AD80" i="80"/>
  <c r="AC80" i="80"/>
  <c r="AB80" i="80"/>
  <c r="AA80" i="80"/>
  <c r="Z80" i="80"/>
  <c r="Y80" i="80"/>
  <c r="X80" i="80"/>
  <c r="W80" i="80"/>
  <c r="V80" i="80"/>
  <c r="U80" i="80"/>
  <c r="T80" i="80"/>
  <c r="T79" i="80" s="1"/>
  <c r="S80" i="80"/>
  <c r="S79" i="80" s="1"/>
  <c r="R80" i="80"/>
  <c r="Q80" i="80"/>
  <c r="P80" i="80"/>
  <c r="O80" i="80"/>
  <c r="N80" i="80"/>
  <c r="M80" i="80"/>
  <c r="L80" i="80"/>
  <c r="B80" i="80"/>
  <c r="B79" i="80" s="1"/>
  <c r="Y79" i="80"/>
  <c r="C79" i="80"/>
  <c r="AE78" i="80"/>
  <c r="AE77" i="80"/>
  <c r="AE76" i="80"/>
  <c r="AE75" i="80"/>
  <c r="AE74" i="80"/>
  <c r="AD73" i="80"/>
  <c r="AC73" i="80"/>
  <c r="AB73" i="80"/>
  <c r="AA73" i="80"/>
  <c r="Z73" i="80"/>
  <c r="Y73" i="80"/>
  <c r="X73" i="80"/>
  <c r="W73" i="80"/>
  <c r="V73" i="80"/>
  <c r="U73" i="80"/>
  <c r="T73" i="80"/>
  <c r="S73" i="80"/>
  <c r="R73" i="80"/>
  <c r="Q73" i="80"/>
  <c r="P73" i="80"/>
  <c r="O73" i="80"/>
  <c r="N73" i="80"/>
  <c r="M73" i="80"/>
  <c r="L73" i="80"/>
  <c r="K73" i="80"/>
  <c r="J73" i="80"/>
  <c r="I73" i="80"/>
  <c r="H73" i="80"/>
  <c r="G73" i="80"/>
  <c r="AE72" i="80"/>
  <c r="AE71" i="80"/>
  <c r="AE70" i="80"/>
  <c r="AE69" i="80"/>
  <c r="AE68" i="80"/>
  <c r="AD67" i="80"/>
  <c r="AC67" i="80"/>
  <c r="AB67" i="80"/>
  <c r="AA67" i="80"/>
  <c r="Z67" i="80"/>
  <c r="Y67" i="80"/>
  <c r="X67" i="80"/>
  <c r="W67" i="80"/>
  <c r="V67" i="80"/>
  <c r="U67" i="80"/>
  <c r="T67" i="80"/>
  <c r="S67" i="80"/>
  <c r="R67" i="80"/>
  <c r="Q67" i="80"/>
  <c r="P67" i="80"/>
  <c r="O67" i="80"/>
  <c r="N67" i="80"/>
  <c r="M67" i="80"/>
  <c r="L67" i="80"/>
  <c r="K67" i="80"/>
  <c r="J67" i="80"/>
  <c r="I67" i="80"/>
  <c r="H67" i="80"/>
  <c r="G67" i="80"/>
  <c r="AE66" i="80"/>
  <c r="AE65" i="80"/>
  <c r="AE64" i="80"/>
  <c r="AE63" i="80"/>
  <c r="AE62" i="80"/>
  <c r="AD61" i="80"/>
  <c r="AC61" i="80"/>
  <c r="AB61" i="80"/>
  <c r="AA61" i="80"/>
  <c r="Z61" i="80"/>
  <c r="Y61" i="80"/>
  <c r="X61" i="80"/>
  <c r="W61" i="80"/>
  <c r="V61" i="80"/>
  <c r="U61" i="80"/>
  <c r="T61" i="80"/>
  <c r="S61" i="80"/>
  <c r="R61" i="80"/>
  <c r="Q61" i="80"/>
  <c r="P61" i="80"/>
  <c r="O61" i="80"/>
  <c r="N61" i="80"/>
  <c r="M61" i="80"/>
  <c r="L61" i="80"/>
  <c r="K61" i="80"/>
  <c r="J61" i="80"/>
  <c r="I61" i="80"/>
  <c r="H61" i="80"/>
  <c r="G61" i="80"/>
  <c r="AE60" i="80"/>
  <c r="AE59" i="80"/>
  <c r="AE58" i="80"/>
  <c r="AE57" i="80"/>
  <c r="AE56" i="80"/>
  <c r="AD55" i="80"/>
  <c r="AC55" i="80"/>
  <c r="AB55" i="80"/>
  <c r="AA55" i="80"/>
  <c r="Z55" i="80"/>
  <c r="Y55" i="80"/>
  <c r="X55" i="80"/>
  <c r="W55" i="80"/>
  <c r="V55" i="80"/>
  <c r="U55" i="80"/>
  <c r="T55" i="80"/>
  <c r="S55" i="80"/>
  <c r="R55" i="80"/>
  <c r="Q55" i="80"/>
  <c r="P55" i="80"/>
  <c r="O55" i="80"/>
  <c r="N55" i="80"/>
  <c r="M55" i="80"/>
  <c r="L55" i="80"/>
  <c r="K55" i="80"/>
  <c r="J55" i="80"/>
  <c r="I55" i="80"/>
  <c r="H55" i="80"/>
  <c r="G55" i="80"/>
  <c r="AE54" i="80"/>
  <c r="AE53" i="80"/>
  <c r="AE52" i="80"/>
  <c r="AE51" i="80"/>
  <c r="C48" i="80"/>
  <c r="C17" i="80"/>
  <c r="J10" i="80"/>
  <c r="J10" i="79"/>
  <c r="H226" i="79"/>
  <c r="I226" i="79"/>
  <c r="I225" i="79"/>
  <c r="H225" i="79"/>
  <c r="E210" i="79"/>
  <c r="E220" i="79"/>
  <c r="AB214" i="79"/>
  <c r="J221" i="79"/>
  <c r="I221" i="79"/>
  <c r="H221" i="79"/>
  <c r="J211" i="79"/>
  <c r="I211" i="79"/>
  <c r="H211" i="79"/>
  <c r="G211" i="79"/>
  <c r="C79" i="79"/>
  <c r="C48" i="79"/>
  <c r="C17" i="79"/>
  <c r="B80" i="79"/>
  <c r="B79" i="79" s="1"/>
  <c r="AD220" i="79"/>
  <c r="AC220" i="79"/>
  <c r="AB220" i="79"/>
  <c r="AA220" i="79"/>
  <c r="Z220" i="79"/>
  <c r="Y220" i="79"/>
  <c r="X220" i="79"/>
  <c r="W220" i="79"/>
  <c r="V220" i="79"/>
  <c r="U220" i="79"/>
  <c r="T220" i="79"/>
  <c r="S220" i="79"/>
  <c r="R220" i="79"/>
  <c r="Q220" i="79"/>
  <c r="P220" i="79"/>
  <c r="O220" i="79"/>
  <c r="N220" i="79"/>
  <c r="M220" i="79"/>
  <c r="L220" i="79"/>
  <c r="K220" i="79"/>
  <c r="J220" i="79"/>
  <c r="I220" i="79"/>
  <c r="H220" i="79"/>
  <c r="AE220" i="79"/>
  <c r="U214" i="79"/>
  <c r="T214" i="79"/>
  <c r="I214" i="79"/>
  <c r="G212" i="79"/>
  <c r="AE202" i="79"/>
  <c r="D202" i="79"/>
  <c r="AE201" i="79"/>
  <c r="D201" i="79"/>
  <c r="AE200" i="79"/>
  <c r="D200" i="79"/>
  <c r="AE199" i="79"/>
  <c r="D199" i="79"/>
  <c r="AE198" i="79"/>
  <c r="D198" i="79"/>
  <c r="AD197" i="79"/>
  <c r="AC197" i="79"/>
  <c r="AB197" i="79"/>
  <c r="AA197" i="79"/>
  <c r="Z197" i="79"/>
  <c r="Y197" i="79"/>
  <c r="X197" i="79"/>
  <c r="W197" i="79"/>
  <c r="V197" i="79"/>
  <c r="U197" i="79"/>
  <c r="T197" i="79"/>
  <c r="S197" i="79"/>
  <c r="R197" i="79"/>
  <c r="Q197" i="79"/>
  <c r="P197" i="79"/>
  <c r="O197" i="79"/>
  <c r="N197" i="79"/>
  <c r="M197" i="79"/>
  <c r="L197" i="79"/>
  <c r="K197" i="79"/>
  <c r="J197" i="79"/>
  <c r="I197" i="79"/>
  <c r="H197" i="79"/>
  <c r="G197" i="79"/>
  <c r="AE196" i="79"/>
  <c r="D196" i="79"/>
  <c r="AE195" i="79"/>
  <c r="D195" i="79"/>
  <c r="AE194" i="79"/>
  <c r="D194" i="79"/>
  <c r="AE193" i="79"/>
  <c r="D193" i="79"/>
  <c r="AE192" i="79"/>
  <c r="D192" i="79"/>
  <c r="AD191" i="79"/>
  <c r="AC191" i="79"/>
  <c r="AB191" i="79"/>
  <c r="AA191" i="79"/>
  <c r="Z191" i="79"/>
  <c r="Y191" i="79"/>
  <c r="X191" i="79"/>
  <c r="W191" i="79"/>
  <c r="V191" i="79"/>
  <c r="U191" i="79"/>
  <c r="T191" i="79"/>
  <c r="S191" i="79"/>
  <c r="R191" i="79"/>
  <c r="Q191" i="79"/>
  <c r="P191" i="79"/>
  <c r="O191" i="79"/>
  <c r="N191" i="79"/>
  <c r="M191" i="79"/>
  <c r="L191" i="79"/>
  <c r="K191" i="79"/>
  <c r="J191" i="79"/>
  <c r="I191" i="79"/>
  <c r="H191" i="79"/>
  <c r="G191" i="79"/>
  <c r="AE190" i="79"/>
  <c r="D190" i="79"/>
  <c r="AE189" i="79"/>
  <c r="D189" i="79"/>
  <c r="AE188" i="79"/>
  <c r="D188" i="79"/>
  <c r="AE187" i="79"/>
  <c r="D187" i="79"/>
  <c r="AE186" i="79"/>
  <c r="D186" i="79"/>
  <c r="AD185" i="79"/>
  <c r="AC185" i="79"/>
  <c r="AC172" i="79" s="1"/>
  <c r="AB185" i="79"/>
  <c r="AA185" i="79"/>
  <c r="Z185" i="79"/>
  <c r="Y185" i="79"/>
  <c r="X185" i="79"/>
  <c r="W185" i="79"/>
  <c r="V185" i="79"/>
  <c r="U185" i="79"/>
  <c r="U172" i="79" s="1"/>
  <c r="T185" i="79"/>
  <c r="S185" i="79"/>
  <c r="R185" i="79"/>
  <c r="Q185" i="79"/>
  <c r="P185" i="79"/>
  <c r="O185" i="79"/>
  <c r="N185" i="79"/>
  <c r="M185" i="79"/>
  <c r="L185" i="79"/>
  <c r="K185" i="79"/>
  <c r="J185" i="79"/>
  <c r="I185" i="79"/>
  <c r="H185" i="79"/>
  <c r="G185" i="79"/>
  <c r="AE184" i="79"/>
  <c r="D184" i="79"/>
  <c r="AE183" i="79"/>
  <c r="D183" i="79"/>
  <c r="AE182" i="79"/>
  <c r="D182" i="79"/>
  <c r="AE181" i="79"/>
  <c r="D181" i="79"/>
  <c r="AE180" i="79"/>
  <c r="D180" i="79"/>
  <c r="AD179" i="79"/>
  <c r="AC179" i="79"/>
  <c r="AB179" i="79"/>
  <c r="AA179" i="79"/>
  <c r="Z179" i="79"/>
  <c r="Y179" i="79"/>
  <c r="X179" i="79"/>
  <c r="W179" i="79"/>
  <c r="W172" i="79" s="1"/>
  <c r="V179" i="79"/>
  <c r="U179" i="79"/>
  <c r="T179" i="79"/>
  <c r="S179" i="79"/>
  <c r="R179" i="79"/>
  <c r="Q179" i="79"/>
  <c r="P179" i="79"/>
  <c r="O179" i="79"/>
  <c r="O172" i="79" s="1"/>
  <c r="N179" i="79"/>
  <c r="M179" i="79"/>
  <c r="L179" i="79"/>
  <c r="K179" i="79"/>
  <c r="J179" i="79"/>
  <c r="I179" i="79"/>
  <c r="H179" i="79"/>
  <c r="G179" i="79"/>
  <c r="G172" i="79" s="1"/>
  <c r="AE178" i="79"/>
  <c r="D178" i="79"/>
  <c r="AE177" i="79"/>
  <c r="D177" i="79"/>
  <c r="AE176" i="79"/>
  <c r="D176" i="79"/>
  <c r="AE175" i="79"/>
  <c r="D175" i="79"/>
  <c r="AE174" i="79"/>
  <c r="D174" i="79"/>
  <c r="AD173" i="79"/>
  <c r="AC173" i="79"/>
  <c r="AB173" i="79"/>
  <c r="AB172" i="79" s="1"/>
  <c r="AA173" i="79"/>
  <c r="Z173" i="79"/>
  <c r="Z172" i="79" s="1"/>
  <c r="Y173" i="79"/>
  <c r="Y172" i="79" s="1"/>
  <c r="X173" i="79"/>
  <c r="W173" i="79"/>
  <c r="V173" i="79"/>
  <c r="U173" i="79"/>
  <c r="T173" i="79"/>
  <c r="T172" i="79" s="1"/>
  <c r="S173" i="79"/>
  <c r="R173" i="79"/>
  <c r="Q173" i="79"/>
  <c r="Q172" i="79" s="1"/>
  <c r="P173" i="79"/>
  <c r="O173" i="79"/>
  <c r="N173" i="79"/>
  <c r="M173" i="79"/>
  <c r="L173" i="79"/>
  <c r="L172" i="79" s="1"/>
  <c r="K173" i="79"/>
  <c r="J173" i="79"/>
  <c r="J172" i="79" s="1"/>
  <c r="I173" i="79"/>
  <c r="I172" i="79" s="1"/>
  <c r="H173" i="79"/>
  <c r="G173" i="79"/>
  <c r="AE171" i="79"/>
  <c r="D171" i="79"/>
  <c r="AE170" i="79"/>
  <c r="D170" i="79"/>
  <c r="AE169" i="79"/>
  <c r="D169" i="79"/>
  <c r="AE168" i="79"/>
  <c r="D168" i="79"/>
  <c r="AE167" i="79"/>
  <c r="D167" i="79"/>
  <c r="AD166" i="79"/>
  <c r="AC166" i="79"/>
  <c r="AB166" i="79"/>
  <c r="AA166" i="79"/>
  <c r="Z166" i="79"/>
  <c r="Y166" i="79"/>
  <c r="X166" i="79"/>
  <c r="W166" i="79"/>
  <c r="V166" i="79"/>
  <c r="U166" i="79"/>
  <c r="T166" i="79"/>
  <c r="S166" i="79"/>
  <c r="R166" i="79"/>
  <c r="Q166" i="79"/>
  <c r="P166" i="79"/>
  <c r="O166" i="79"/>
  <c r="N166" i="79"/>
  <c r="M166" i="79"/>
  <c r="L166" i="79"/>
  <c r="K166" i="79"/>
  <c r="J166" i="79"/>
  <c r="I166" i="79"/>
  <c r="H166" i="79"/>
  <c r="G166" i="79"/>
  <c r="AE165" i="79"/>
  <c r="D165" i="79"/>
  <c r="AE164" i="79"/>
  <c r="D164" i="79"/>
  <c r="AE163" i="79"/>
  <c r="D163" i="79"/>
  <c r="AE162" i="79"/>
  <c r="D162" i="79"/>
  <c r="AE161" i="79"/>
  <c r="D161" i="79"/>
  <c r="AD160" i="79"/>
  <c r="AC160" i="79"/>
  <c r="AB160" i="79"/>
  <c r="AA160" i="79"/>
  <c r="Z160" i="79"/>
  <c r="Y160" i="79"/>
  <c r="X160" i="79"/>
  <c r="W160" i="79"/>
  <c r="V160" i="79"/>
  <c r="U160" i="79"/>
  <c r="T160" i="79"/>
  <c r="S160" i="79"/>
  <c r="R160" i="79"/>
  <c r="Q160" i="79"/>
  <c r="P160" i="79"/>
  <c r="O160" i="79"/>
  <c r="N160" i="79"/>
  <c r="M160" i="79"/>
  <c r="L160" i="79"/>
  <c r="K160" i="79"/>
  <c r="J160" i="79"/>
  <c r="I160" i="79"/>
  <c r="H160" i="79"/>
  <c r="G160" i="79"/>
  <c r="AE159" i="79"/>
  <c r="D159" i="79"/>
  <c r="AE158" i="79"/>
  <c r="D158" i="79"/>
  <c r="AE157" i="79"/>
  <c r="D157" i="79"/>
  <c r="AE156" i="79"/>
  <c r="D156" i="79"/>
  <c r="AE155" i="79"/>
  <c r="D155" i="79"/>
  <c r="AD154" i="79"/>
  <c r="AC154" i="79"/>
  <c r="AB154" i="79"/>
  <c r="AA154" i="79"/>
  <c r="Z154" i="79"/>
  <c r="Y154" i="79"/>
  <c r="X154" i="79"/>
  <c r="W154" i="79"/>
  <c r="V154" i="79"/>
  <c r="U154" i="79"/>
  <c r="T154" i="79"/>
  <c r="S154" i="79"/>
  <c r="R154" i="79"/>
  <c r="Q154" i="79"/>
  <c r="P154" i="79"/>
  <c r="O154" i="79"/>
  <c r="N154" i="79"/>
  <c r="M154" i="79"/>
  <c r="L154" i="79"/>
  <c r="K154" i="79"/>
  <c r="J154" i="79"/>
  <c r="I154" i="79"/>
  <c r="H154" i="79"/>
  <c r="G154" i="79"/>
  <c r="AE153" i="79"/>
  <c r="D153" i="79"/>
  <c r="AE152" i="79"/>
  <c r="D152" i="79"/>
  <c r="AE151" i="79"/>
  <c r="D151" i="79"/>
  <c r="AE150" i="79"/>
  <c r="D150" i="79"/>
  <c r="AE149" i="79"/>
  <c r="D149" i="79"/>
  <c r="AD148" i="79"/>
  <c r="AC148" i="79"/>
  <c r="AB148" i="79"/>
  <c r="AA148" i="79"/>
  <c r="Z148" i="79"/>
  <c r="Y148" i="79"/>
  <c r="X148" i="79"/>
  <c r="W148" i="79"/>
  <c r="V148" i="79"/>
  <c r="U148" i="79"/>
  <c r="T148" i="79"/>
  <c r="S148" i="79"/>
  <c r="R148" i="79"/>
  <c r="Q148" i="79"/>
  <c r="P148" i="79"/>
  <c r="O148" i="79"/>
  <c r="N148" i="79"/>
  <c r="M148" i="79"/>
  <c r="L148" i="79"/>
  <c r="K148" i="79"/>
  <c r="J148" i="79"/>
  <c r="I148" i="79"/>
  <c r="H148" i="79"/>
  <c r="G148" i="79"/>
  <c r="AE147" i="79"/>
  <c r="D147" i="79"/>
  <c r="AE146" i="79"/>
  <c r="D146" i="79"/>
  <c r="AE145" i="79"/>
  <c r="D145" i="79"/>
  <c r="AE144" i="79"/>
  <c r="D144" i="79"/>
  <c r="AE143" i="79"/>
  <c r="D143" i="79"/>
  <c r="AD142" i="79"/>
  <c r="AC142" i="79"/>
  <c r="AC141" i="79" s="1"/>
  <c r="AB142" i="79"/>
  <c r="AA142" i="79"/>
  <c r="Z142" i="79"/>
  <c r="Y142" i="79"/>
  <c r="X142" i="79"/>
  <c r="W142" i="79"/>
  <c r="V142" i="79"/>
  <c r="U142" i="79"/>
  <c r="U141" i="79" s="1"/>
  <c r="T142" i="79"/>
  <c r="S142" i="79"/>
  <c r="R142" i="79"/>
  <c r="Q142" i="79"/>
  <c r="P142" i="79"/>
  <c r="O142" i="79"/>
  <c r="N142" i="79"/>
  <c r="M142" i="79"/>
  <c r="L142" i="79"/>
  <c r="K142" i="79"/>
  <c r="J142" i="79"/>
  <c r="I142" i="79"/>
  <c r="H142" i="79"/>
  <c r="G142" i="79"/>
  <c r="W141" i="79"/>
  <c r="O141" i="79"/>
  <c r="G141" i="79"/>
  <c r="AE140" i="79"/>
  <c r="D140" i="79"/>
  <c r="AE139" i="79"/>
  <c r="D139" i="79"/>
  <c r="AE138" i="79"/>
  <c r="D138" i="79"/>
  <c r="AE137" i="79"/>
  <c r="D137" i="79"/>
  <c r="AE136" i="79"/>
  <c r="D136" i="79"/>
  <c r="AD135" i="79"/>
  <c r="AC135" i="79"/>
  <c r="AB135" i="79"/>
  <c r="AA135" i="79"/>
  <c r="Z135" i="79"/>
  <c r="Y135" i="79"/>
  <c r="X135" i="79"/>
  <c r="W135" i="79"/>
  <c r="V135" i="79"/>
  <c r="U135" i="79"/>
  <c r="T135" i="79"/>
  <c r="S135" i="79"/>
  <c r="R135" i="79"/>
  <c r="Q135" i="79"/>
  <c r="P135" i="79"/>
  <c r="O135" i="79"/>
  <c r="N135" i="79"/>
  <c r="M135" i="79"/>
  <c r="L135" i="79"/>
  <c r="K135" i="79"/>
  <c r="J135" i="79"/>
  <c r="I135" i="79"/>
  <c r="H135" i="79"/>
  <c r="G135" i="79"/>
  <c r="AE134" i="79"/>
  <c r="D134" i="79"/>
  <c r="AE133" i="79"/>
  <c r="D133" i="79"/>
  <c r="AE132" i="79"/>
  <c r="D132" i="79"/>
  <c r="AE131" i="79"/>
  <c r="D131" i="79"/>
  <c r="AE130" i="79"/>
  <c r="D130" i="79"/>
  <c r="AD129" i="79"/>
  <c r="AC129" i="79"/>
  <c r="AB129" i="79"/>
  <c r="AA129" i="79"/>
  <c r="Z129" i="79"/>
  <c r="Y129" i="79"/>
  <c r="X129" i="79"/>
  <c r="W129" i="79"/>
  <c r="V129" i="79"/>
  <c r="U129" i="79"/>
  <c r="T129" i="79"/>
  <c r="S129" i="79"/>
  <c r="R129" i="79"/>
  <c r="Q129" i="79"/>
  <c r="P129" i="79"/>
  <c r="O129" i="79"/>
  <c r="N129" i="79"/>
  <c r="M129" i="79"/>
  <c r="L129" i="79"/>
  <c r="K129" i="79"/>
  <c r="J129" i="79"/>
  <c r="I129" i="79"/>
  <c r="H129" i="79"/>
  <c r="G129" i="79"/>
  <c r="AE128" i="79"/>
  <c r="D128" i="79"/>
  <c r="AE127" i="79"/>
  <c r="D127" i="79"/>
  <c r="AE126" i="79"/>
  <c r="D126" i="79"/>
  <c r="AE125" i="79"/>
  <c r="D125" i="79"/>
  <c r="AE124" i="79"/>
  <c r="D124" i="79"/>
  <c r="AD123" i="79"/>
  <c r="AC123" i="79"/>
  <c r="AC110" i="79" s="1"/>
  <c r="AB123" i="79"/>
  <c r="AA123" i="79"/>
  <c r="Z123" i="79"/>
  <c r="Y123" i="79"/>
  <c r="X123" i="79"/>
  <c r="W123" i="79"/>
  <c r="V123" i="79"/>
  <c r="U123" i="79"/>
  <c r="U110" i="79" s="1"/>
  <c r="T123" i="79"/>
  <c r="S123" i="79"/>
  <c r="R123" i="79"/>
  <c r="Q123" i="79"/>
  <c r="P123" i="79"/>
  <c r="O123" i="79"/>
  <c r="N123" i="79"/>
  <c r="M123" i="79"/>
  <c r="L123" i="79"/>
  <c r="K123" i="79"/>
  <c r="J123" i="79"/>
  <c r="I123" i="79"/>
  <c r="H123" i="79"/>
  <c r="G123" i="79"/>
  <c r="AE122" i="79"/>
  <c r="D122" i="79"/>
  <c r="AE121" i="79"/>
  <c r="D121" i="79"/>
  <c r="AE120" i="79"/>
  <c r="D120" i="79"/>
  <c r="AE119" i="79"/>
  <c r="D119" i="79"/>
  <c r="AE118" i="79"/>
  <c r="D118" i="79"/>
  <c r="AD117" i="79"/>
  <c r="AC117" i="79"/>
  <c r="AB117" i="79"/>
  <c r="AA117" i="79"/>
  <c r="Z117" i="79"/>
  <c r="Y117" i="79"/>
  <c r="X117" i="79"/>
  <c r="W117" i="79"/>
  <c r="W110" i="79" s="1"/>
  <c r="V117" i="79"/>
  <c r="U117" i="79"/>
  <c r="T117" i="79"/>
  <c r="S117" i="79"/>
  <c r="R117" i="79"/>
  <c r="Q117" i="79"/>
  <c r="P117" i="79"/>
  <c r="O117" i="79"/>
  <c r="O110" i="79" s="1"/>
  <c r="N117" i="79"/>
  <c r="M117" i="79"/>
  <c r="L117" i="79"/>
  <c r="K117" i="79"/>
  <c r="J117" i="79"/>
  <c r="I117" i="79"/>
  <c r="H117" i="79"/>
  <c r="G117" i="79"/>
  <c r="G110" i="79" s="1"/>
  <c r="AE116" i="79"/>
  <c r="D116" i="79"/>
  <c r="AE115" i="79"/>
  <c r="D115" i="79"/>
  <c r="AE114" i="79"/>
  <c r="D114" i="79"/>
  <c r="AE113" i="79"/>
  <c r="D113" i="79"/>
  <c r="AE112" i="79"/>
  <c r="D112" i="79"/>
  <c r="AD111" i="79"/>
  <c r="AC111" i="79"/>
  <c r="AB111" i="79"/>
  <c r="AB110" i="79" s="1"/>
  <c r="AA111" i="79"/>
  <c r="Z111" i="79"/>
  <c r="Z110" i="79" s="1"/>
  <c r="Y111" i="79"/>
  <c r="Y110" i="79" s="1"/>
  <c r="X111" i="79"/>
  <c r="X110" i="79" s="1"/>
  <c r="W111" i="79"/>
  <c r="V111" i="79"/>
  <c r="U111" i="79"/>
  <c r="T111" i="79"/>
  <c r="T110" i="79" s="1"/>
  <c r="S111" i="79"/>
  <c r="R111" i="79"/>
  <c r="Q111" i="79"/>
  <c r="Q110" i="79" s="1"/>
  <c r="P111" i="79"/>
  <c r="O111" i="79"/>
  <c r="N111" i="79"/>
  <c r="M111" i="79"/>
  <c r="L111" i="79"/>
  <c r="L110" i="79" s="1"/>
  <c r="K111" i="79"/>
  <c r="J111" i="79"/>
  <c r="I111" i="79"/>
  <c r="I110" i="79" s="1"/>
  <c r="H111" i="79"/>
  <c r="G111" i="79"/>
  <c r="AE109" i="79"/>
  <c r="D109" i="79"/>
  <c r="AE108" i="79"/>
  <c r="D108" i="79"/>
  <c r="AE107" i="79"/>
  <c r="D107" i="79"/>
  <c r="AE106" i="79"/>
  <c r="D106" i="79"/>
  <c r="AE105" i="79"/>
  <c r="D105" i="79"/>
  <c r="AD104" i="79"/>
  <c r="AC104" i="79"/>
  <c r="AB104" i="79"/>
  <c r="AA104" i="79"/>
  <c r="Z104" i="79"/>
  <c r="Y104" i="79"/>
  <c r="X104" i="79"/>
  <c r="W104" i="79"/>
  <c r="V104" i="79"/>
  <c r="U104" i="79"/>
  <c r="T104" i="79"/>
  <c r="S104" i="79"/>
  <c r="R104" i="79"/>
  <c r="Q104" i="79"/>
  <c r="P104" i="79"/>
  <c r="O104" i="79"/>
  <c r="N104" i="79"/>
  <c r="M104" i="79"/>
  <c r="L104" i="79"/>
  <c r="K104" i="79"/>
  <c r="J104" i="79"/>
  <c r="I104" i="79"/>
  <c r="H104" i="79"/>
  <c r="G104" i="79"/>
  <c r="AE103" i="79"/>
  <c r="D103" i="79"/>
  <c r="AE102" i="79"/>
  <c r="D102" i="79"/>
  <c r="AE101" i="79"/>
  <c r="D101" i="79"/>
  <c r="AE100" i="79"/>
  <c r="D100" i="79"/>
  <c r="AE99" i="79"/>
  <c r="D99" i="79"/>
  <c r="AD98" i="79"/>
  <c r="AC98" i="79"/>
  <c r="AB98" i="79"/>
  <c r="AA98" i="79"/>
  <c r="Z98" i="79"/>
  <c r="Y98" i="79"/>
  <c r="X98" i="79"/>
  <c r="W98" i="79"/>
  <c r="W79" i="79" s="1"/>
  <c r="V98" i="79"/>
  <c r="U98" i="79"/>
  <c r="T98" i="79"/>
  <c r="S98" i="79"/>
  <c r="R98" i="79"/>
  <c r="Q98" i="79"/>
  <c r="P98" i="79"/>
  <c r="O98" i="79"/>
  <c r="O79" i="79" s="1"/>
  <c r="N98" i="79"/>
  <c r="M98" i="79"/>
  <c r="L98" i="79"/>
  <c r="K98" i="79"/>
  <c r="J98" i="79"/>
  <c r="I98" i="79"/>
  <c r="H98" i="79"/>
  <c r="G98" i="79"/>
  <c r="AE97" i="79"/>
  <c r="D97" i="79"/>
  <c r="AE96" i="79"/>
  <c r="D96" i="79"/>
  <c r="AE95" i="79"/>
  <c r="D95" i="79"/>
  <c r="AE94" i="79"/>
  <c r="D94" i="79"/>
  <c r="AE93" i="79"/>
  <c r="D93" i="79"/>
  <c r="AD92" i="79"/>
  <c r="AC92" i="79"/>
  <c r="AB92" i="79"/>
  <c r="AA92" i="79"/>
  <c r="Z92" i="79"/>
  <c r="Y92" i="79"/>
  <c r="X92" i="79"/>
  <c r="W92" i="79"/>
  <c r="V92" i="79"/>
  <c r="U92" i="79"/>
  <c r="T92" i="79"/>
  <c r="S92" i="79"/>
  <c r="R92" i="79"/>
  <c r="Q92" i="79"/>
  <c r="P92" i="79"/>
  <c r="O92" i="79"/>
  <c r="N92" i="79"/>
  <c r="M92" i="79"/>
  <c r="L92" i="79"/>
  <c r="K92" i="79"/>
  <c r="J92" i="79"/>
  <c r="I92" i="79"/>
  <c r="H92" i="79"/>
  <c r="G92" i="79"/>
  <c r="AE91" i="79"/>
  <c r="D91" i="79"/>
  <c r="AE90" i="79"/>
  <c r="D90" i="79"/>
  <c r="AE89" i="79"/>
  <c r="D89" i="79"/>
  <c r="AE88" i="79"/>
  <c r="D88" i="79"/>
  <c r="AE87" i="79"/>
  <c r="D87" i="79"/>
  <c r="AD86" i="79"/>
  <c r="AC86" i="79"/>
  <c r="AB86" i="79"/>
  <c r="AA86" i="79"/>
  <c r="Z86" i="79"/>
  <c r="Y86" i="79"/>
  <c r="X86" i="79"/>
  <c r="W86" i="79"/>
  <c r="V86" i="79"/>
  <c r="U86" i="79"/>
  <c r="T86" i="79"/>
  <c r="S86" i="79"/>
  <c r="R86" i="79"/>
  <c r="Q86" i="79"/>
  <c r="P86" i="79"/>
  <c r="O86" i="79"/>
  <c r="N86" i="79"/>
  <c r="M86" i="79"/>
  <c r="L86" i="79"/>
  <c r="K86" i="79"/>
  <c r="J86" i="79"/>
  <c r="I86" i="79"/>
  <c r="H86" i="79"/>
  <c r="G86" i="79"/>
  <c r="AE85" i="79"/>
  <c r="D85" i="79"/>
  <c r="AE84" i="79"/>
  <c r="D84" i="79"/>
  <c r="AE83" i="79"/>
  <c r="D83" i="79"/>
  <c r="AE82" i="79"/>
  <c r="D82" i="79"/>
  <c r="AE81" i="79"/>
  <c r="D81" i="79"/>
  <c r="AD80" i="79"/>
  <c r="AC80" i="79"/>
  <c r="AC79" i="79" s="1"/>
  <c r="AB80" i="79"/>
  <c r="AA80" i="79"/>
  <c r="Z80" i="79"/>
  <c r="Z79" i="79" s="1"/>
  <c r="Y80" i="79"/>
  <c r="X80" i="79"/>
  <c r="W80" i="79"/>
  <c r="V80" i="79"/>
  <c r="U80" i="79"/>
  <c r="U79" i="79" s="1"/>
  <c r="T80" i="79"/>
  <c r="S80" i="79"/>
  <c r="R80" i="79"/>
  <c r="Q80" i="79"/>
  <c r="P80" i="79"/>
  <c r="O80" i="79"/>
  <c r="N80" i="79"/>
  <c r="M80" i="79"/>
  <c r="M79" i="79" s="1"/>
  <c r="L80" i="79"/>
  <c r="T79" i="79"/>
  <c r="AE78" i="79"/>
  <c r="D78" i="79"/>
  <c r="AE77" i="79"/>
  <c r="D77" i="79"/>
  <c r="AE76" i="79"/>
  <c r="D76" i="79"/>
  <c r="AE75" i="79"/>
  <c r="D75" i="79"/>
  <c r="AE74" i="79"/>
  <c r="D74" i="79"/>
  <c r="AD73" i="79"/>
  <c r="AC73" i="79"/>
  <c r="AB73" i="79"/>
  <c r="AA73" i="79"/>
  <c r="Z73" i="79"/>
  <c r="Y73" i="79"/>
  <c r="X73" i="79"/>
  <c r="W73" i="79"/>
  <c r="V73" i="79"/>
  <c r="U73" i="79"/>
  <c r="T73" i="79"/>
  <c r="S73" i="79"/>
  <c r="R73" i="79"/>
  <c r="Q73" i="79"/>
  <c r="P73" i="79"/>
  <c r="O73" i="79"/>
  <c r="N73" i="79"/>
  <c r="M73" i="79"/>
  <c r="L73" i="79"/>
  <c r="K73" i="79"/>
  <c r="J73" i="79"/>
  <c r="I73" i="79"/>
  <c r="H73" i="79"/>
  <c r="G73" i="79"/>
  <c r="AE72" i="79"/>
  <c r="D72" i="79"/>
  <c r="AE71" i="79"/>
  <c r="D71" i="79"/>
  <c r="AE70" i="79"/>
  <c r="D70" i="79"/>
  <c r="AE69" i="79"/>
  <c r="D69" i="79"/>
  <c r="AE68" i="79"/>
  <c r="D68" i="79"/>
  <c r="AD67" i="79"/>
  <c r="AC67" i="79"/>
  <c r="AB67" i="79"/>
  <c r="AA67" i="79"/>
  <c r="Z67" i="79"/>
  <c r="Y67" i="79"/>
  <c r="X67" i="79"/>
  <c r="W67" i="79"/>
  <c r="V67" i="79"/>
  <c r="U67" i="79"/>
  <c r="T67" i="79"/>
  <c r="S67" i="79"/>
  <c r="R67" i="79"/>
  <c r="Q67" i="79"/>
  <c r="P67" i="79"/>
  <c r="O67" i="79"/>
  <c r="N67" i="79"/>
  <c r="M67" i="79"/>
  <c r="L67" i="79"/>
  <c r="K67" i="79"/>
  <c r="J67" i="79"/>
  <c r="I67" i="79"/>
  <c r="H67" i="79"/>
  <c r="G67" i="79"/>
  <c r="AE66" i="79"/>
  <c r="D66" i="79"/>
  <c r="AE65" i="79"/>
  <c r="D65" i="79"/>
  <c r="AE64" i="79"/>
  <c r="D64" i="79"/>
  <c r="AE63" i="79"/>
  <c r="D63" i="79"/>
  <c r="AE62" i="79"/>
  <c r="D62" i="79"/>
  <c r="AD61" i="79"/>
  <c r="AC61" i="79"/>
  <c r="AB61" i="79"/>
  <c r="AA61" i="79"/>
  <c r="Z61" i="79"/>
  <c r="Y61" i="79"/>
  <c r="X61" i="79"/>
  <c r="W61" i="79"/>
  <c r="V61" i="79"/>
  <c r="U61" i="79"/>
  <c r="T61" i="79"/>
  <c r="S61" i="79"/>
  <c r="R61" i="79"/>
  <c r="Q61" i="79"/>
  <c r="P61" i="79"/>
  <c r="O61" i="79"/>
  <c r="N61" i="79"/>
  <c r="M61" i="79"/>
  <c r="L61" i="79"/>
  <c r="K61" i="79"/>
  <c r="J61" i="79"/>
  <c r="I61" i="79"/>
  <c r="H61" i="79"/>
  <c r="G61" i="79"/>
  <c r="AE60" i="79"/>
  <c r="D60" i="79"/>
  <c r="AE59" i="79"/>
  <c r="D59" i="79"/>
  <c r="AE58" i="79"/>
  <c r="D58" i="79"/>
  <c r="AE57" i="79"/>
  <c r="D57" i="79"/>
  <c r="AE56" i="79"/>
  <c r="D56" i="79"/>
  <c r="AD55" i="79"/>
  <c r="AC55" i="79"/>
  <c r="AB55" i="79"/>
  <c r="AA55" i="79"/>
  <c r="Z55" i="79"/>
  <c r="Y55" i="79"/>
  <c r="X55" i="79"/>
  <c r="W55" i="79"/>
  <c r="V55" i="79"/>
  <c r="U55" i="79"/>
  <c r="T55" i="79"/>
  <c r="S55" i="79"/>
  <c r="R55" i="79"/>
  <c r="Q55" i="79"/>
  <c r="P55" i="79"/>
  <c r="O55" i="79"/>
  <c r="N55" i="79"/>
  <c r="M55" i="79"/>
  <c r="L55" i="79"/>
  <c r="K55" i="79"/>
  <c r="J55" i="79"/>
  <c r="I55" i="79"/>
  <c r="H55" i="79"/>
  <c r="G55" i="79"/>
  <c r="AE54" i="79"/>
  <c r="D54" i="79"/>
  <c r="AE53" i="79"/>
  <c r="D53" i="79"/>
  <c r="AE52" i="79"/>
  <c r="D52" i="79"/>
  <c r="AE51" i="79"/>
  <c r="D51" i="79"/>
  <c r="D50" i="79"/>
  <c r="D47" i="79"/>
  <c r="D46" i="79"/>
  <c r="D45" i="79"/>
  <c r="D44" i="79"/>
  <c r="D43" i="79"/>
  <c r="D41" i="79"/>
  <c r="D40" i="79"/>
  <c r="D39" i="79"/>
  <c r="D38" i="79"/>
  <c r="D37" i="79"/>
  <c r="D35" i="79"/>
  <c r="D34" i="79"/>
  <c r="D33" i="79"/>
  <c r="D32" i="79"/>
  <c r="D31" i="79"/>
  <c r="D29" i="79"/>
  <c r="D28" i="79"/>
  <c r="D27" i="79"/>
  <c r="D26" i="79"/>
  <c r="D25" i="79"/>
  <c r="D23" i="79"/>
  <c r="D22" i="79"/>
  <c r="D21" i="79"/>
  <c r="D20" i="79"/>
  <c r="D19" i="79"/>
  <c r="AE6" i="79"/>
  <c r="AE5" i="79"/>
  <c r="C166" i="78"/>
  <c r="E165" i="78"/>
  <c r="E164" i="78"/>
  <c r="E163" i="78"/>
  <c r="E162" i="78"/>
  <c r="E161" i="78"/>
  <c r="E160" i="78"/>
  <c r="E159" i="78"/>
  <c r="E158" i="78"/>
  <c r="E157" i="78"/>
  <c r="E156" i="78"/>
  <c r="E155" i="78"/>
  <c r="E154" i="78"/>
  <c r="E153" i="78"/>
  <c r="E152" i="78"/>
  <c r="E151" i="78"/>
  <c r="E150" i="78"/>
  <c r="E149" i="78"/>
  <c r="A148" i="78"/>
  <c r="A147" i="78"/>
  <c r="A146" i="78"/>
  <c r="A141" i="78"/>
  <c r="A140" i="78"/>
  <c r="A139" i="78"/>
  <c r="A138" i="78"/>
  <c r="A137" i="78"/>
  <c r="O127" i="78"/>
  <c r="N127" i="78"/>
  <c r="M127" i="78"/>
  <c r="L127" i="78"/>
  <c r="K127" i="78"/>
  <c r="J127" i="78"/>
  <c r="H125" i="78"/>
  <c r="P125" i="78" s="1"/>
  <c r="H124" i="78"/>
  <c r="P124" i="78" s="1"/>
  <c r="P123" i="78"/>
  <c r="H123" i="78"/>
  <c r="P122" i="78"/>
  <c r="H122" i="78"/>
  <c r="H121" i="78"/>
  <c r="P121" i="78" s="1"/>
  <c r="P120" i="78"/>
  <c r="H120" i="78"/>
  <c r="P119" i="78"/>
  <c r="H119" i="78"/>
  <c r="P118" i="78"/>
  <c r="H118" i="78"/>
  <c r="H117" i="78"/>
  <c r="P117" i="78" s="1"/>
  <c r="H116" i="78"/>
  <c r="P116" i="78" s="1"/>
  <c r="P115" i="78"/>
  <c r="H115" i="78"/>
  <c r="P114" i="78"/>
  <c r="H114" i="78"/>
  <c r="H113" i="78"/>
  <c r="P113" i="78" s="1"/>
  <c r="P112" i="78"/>
  <c r="H112" i="78"/>
  <c r="P111" i="78"/>
  <c r="H111" i="78"/>
  <c r="P110" i="78"/>
  <c r="H110" i="78"/>
  <c r="H109" i="78"/>
  <c r="P109" i="78" s="1"/>
  <c r="H108" i="78"/>
  <c r="P108" i="78" s="1"/>
  <c r="P107" i="78"/>
  <c r="H107" i="78"/>
  <c r="P106" i="78"/>
  <c r="H106" i="78"/>
  <c r="H105" i="78"/>
  <c r="P105" i="78" s="1"/>
  <c r="P104" i="78"/>
  <c r="H104" i="78"/>
  <c r="P103" i="78"/>
  <c r="H103" i="78"/>
  <c r="P102" i="78"/>
  <c r="H102" i="78"/>
  <c r="H101" i="78"/>
  <c r="P101" i="78" s="1"/>
  <c r="H100" i="78"/>
  <c r="P100" i="78" s="1"/>
  <c r="P99" i="78"/>
  <c r="H99" i="78"/>
  <c r="P98" i="78"/>
  <c r="H98" i="78"/>
  <c r="H97" i="78"/>
  <c r="P97" i="78" s="1"/>
  <c r="P96" i="78"/>
  <c r="H96" i="78"/>
  <c r="P95" i="78"/>
  <c r="H95" i="78"/>
  <c r="P94" i="78"/>
  <c r="H94" i="78"/>
  <c r="H93" i="78"/>
  <c r="P93" i="78" s="1"/>
  <c r="H92" i="78"/>
  <c r="P92" i="78" s="1"/>
  <c r="P91" i="78"/>
  <c r="H91" i="78"/>
  <c r="P90" i="78"/>
  <c r="H90" i="78"/>
  <c r="H89" i="78"/>
  <c r="P89" i="78" s="1"/>
  <c r="P88" i="78"/>
  <c r="H88" i="78"/>
  <c r="P87" i="78"/>
  <c r="H87" i="78"/>
  <c r="H86" i="78"/>
  <c r="B148" i="78" s="1"/>
  <c r="H85" i="78"/>
  <c r="P85" i="78" s="1"/>
  <c r="H84" i="78"/>
  <c r="B146" i="78" s="1"/>
  <c r="P78" i="78"/>
  <c r="H78" i="78"/>
  <c r="P77" i="78"/>
  <c r="H77" i="78"/>
  <c r="H76" i="78"/>
  <c r="P76" i="78" s="1"/>
  <c r="H75" i="78"/>
  <c r="P75" i="78" s="1"/>
  <c r="P74" i="78"/>
  <c r="H74" i="78"/>
  <c r="P73" i="78"/>
  <c r="H73" i="78"/>
  <c r="H72" i="78"/>
  <c r="P72" i="78" s="1"/>
  <c r="P71" i="78"/>
  <c r="H71" i="78"/>
  <c r="P70" i="78"/>
  <c r="H70" i="78"/>
  <c r="P69" i="78"/>
  <c r="H69" i="78"/>
  <c r="H68" i="78"/>
  <c r="P68" i="78" s="1"/>
  <c r="H67" i="78"/>
  <c r="P67" i="78" s="1"/>
  <c r="P66" i="78"/>
  <c r="H66" i="78"/>
  <c r="P65" i="78"/>
  <c r="H65" i="78"/>
  <c r="H64" i="78"/>
  <c r="P64" i="78" s="1"/>
  <c r="P63" i="78"/>
  <c r="H63" i="78"/>
  <c r="P62" i="78"/>
  <c r="H62" i="78"/>
  <c r="P61" i="78"/>
  <c r="H61" i="78"/>
  <c r="H60" i="78"/>
  <c r="P60" i="78" s="1"/>
  <c r="H59" i="78"/>
  <c r="P59" i="78" s="1"/>
  <c r="P58" i="78"/>
  <c r="H58" i="78"/>
  <c r="P57" i="78"/>
  <c r="H57" i="78"/>
  <c r="H56" i="78"/>
  <c r="P56" i="78" s="1"/>
  <c r="P55" i="78"/>
  <c r="H55" i="78"/>
  <c r="P54" i="78"/>
  <c r="H54" i="78"/>
  <c r="H79" i="78" s="1"/>
  <c r="G51" i="78"/>
  <c r="F51" i="78"/>
  <c r="H51" i="78" s="1"/>
  <c r="H50" i="78"/>
  <c r="G50" i="78"/>
  <c r="F50" i="78"/>
  <c r="G49" i="78"/>
  <c r="F49" i="78"/>
  <c r="H49" i="78" s="1"/>
  <c r="G48" i="78"/>
  <c r="F48" i="78"/>
  <c r="H48" i="78" s="1"/>
  <c r="G47" i="78"/>
  <c r="H47" i="78" s="1"/>
  <c r="F47" i="78"/>
  <c r="H46" i="78"/>
  <c r="P46" i="78" s="1"/>
  <c r="G46" i="78"/>
  <c r="F46" i="78"/>
  <c r="P45" i="78"/>
  <c r="H45" i="78"/>
  <c r="G45" i="78"/>
  <c r="F45" i="78"/>
  <c r="G44" i="78"/>
  <c r="F44" i="78"/>
  <c r="H44" i="78" s="1"/>
  <c r="G43" i="78"/>
  <c r="F43" i="78"/>
  <c r="H43" i="78" s="1"/>
  <c r="H42" i="78"/>
  <c r="G42" i="78"/>
  <c r="F42" i="78"/>
  <c r="G41" i="78"/>
  <c r="F41" i="78"/>
  <c r="H41" i="78" s="1"/>
  <c r="G40" i="78"/>
  <c r="F40" i="78"/>
  <c r="H40" i="78" s="1"/>
  <c r="G39" i="78"/>
  <c r="H39" i="78" s="1"/>
  <c r="F39" i="78"/>
  <c r="H38" i="78"/>
  <c r="P38" i="78" s="1"/>
  <c r="G38" i="78"/>
  <c r="F38" i="78"/>
  <c r="P37" i="78"/>
  <c r="H37" i="78"/>
  <c r="G37" i="78"/>
  <c r="F37" i="78"/>
  <c r="G36" i="78"/>
  <c r="F36" i="78"/>
  <c r="H36" i="78" s="1"/>
  <c r="G35" i="78"/>
  <c r="F35" i="78"/>
  <c r="H35" i="78" s="1"/>
  <c r="H34" i="78"/>
  <c r="G34" i="78"/>
  <c r="F34" i="78"/>
  <c r="G33" i="78"/>
  <c r="F33" i="78"/>
  <c r="H33" i="78" s="1"/>
  <c r="G32" i="78"/>
  <c r="F32" i="78"/>
  <c r="H32" i="78" s="1"/>
  <c r="G31" i="78"/>
  <c r="H31" i="78" s="1"/>
  <c r="F31" i="78"/>
  <c r="H30" i="78"/>
  <c r="P30" i="78" s="1"/>
  <c r="G30" i="78"/>
  <c r="F30" i="78"/>
  <c r="P29" i="78"/>
  <c r="H29" i="78"/>
  <c r="G29" i="78"/>
  <c r="F29" i="78"/>
  <c r="G28" i="78"/>
  <c r="F28" i="78"/>
  <c r="H28" i="78" s="1"/>
  <c r="G27" i="78"/>
  <c r="F27" i="78"/>
  <c r="H27" i="78" s="1"/>
  <c r="H26" i="78"/>
  <c r="G26" i="78"/>
  <c r="F26" i="78"/>
  <c r="G25" i="78"/>
  <c r="F25" i="78"/>
  <c r="H25" i="78" s="1"/>
  <c r="G24" i="78"/>
  <c r="F24" i="78"/>
  <c r="H24" i="78" s="1"/>
  <c r="G23" i="78"/>
  <c r="H23" i="78" s="1"/>
  <c r="F23" i="78"/>
  <c r="H22" i="78"/>
  <c r="P22" i="78" s="1"/>
  <c r="G22" i="78"/>
  <c r="F22" i="78"/>
  <c r="P21" i="78"/>
  <c r="H21" i="78"/>
  <c r="G21" i="78"/>
  <c r="F21" i="78"/>
  <c r="G20" i="78"/>
  <c r="F20" i="78"/>
  <c r="H20" i="78" s="1"/>
  <c r="G19" i="78"/>
  <c r="F19" i="78"/>
  <c r="H19" i="78" s="1"/>
  <c r="H18" i="78"/>
  <c r="G18" i="78"/>
  <c r="F18" i="78"/>
  <c r="G17" i="78"/>
  <c r="F17" i="78"/>
  <c r="H17" i="78" s="1"/>
  <c r="G16" i="78"/>
  <c r="F16" i="78"/>
  <c r="H16" i="78" s="1"/>
  <c r="G15" i="78"/>
  <c r="H15" i="78" s="1"/>
  <c r="F15" i="78"/>
  <c r="H14" i="78"/>
  <c r="P14" i="78" s="1"/>
  <c r="G14" i="78"/>
  <c r="F14" i="78"/>
  <c r="P13" i="78"/>
  <c r="H13" i="78"/>
  <c r="G13" i="78"/>
  <c r="F13" i="78"/>
  <c r="G12" i="78"/>
  <c r="F12" i="78"/>
  <c r="H12" i="78" s="1"/>
  <c r="G11" i="78"/>
  <c r="F11" i="78"/>
  <c r="H11" i="78" s="1"/>
  <c r="C6" i="78"/>
  <c r="C5" i="78"/>
  <c r="J204" i="80" l="1"/>
  <c r="G210" i="80"/>
  <c r="W79" i="80"/>
  <c r="M79" i="80"/>
  <c r="P110" i="80"/>
  <c r="R110" i="80"/>
  <c r="AD110" i="80"/>
  <c r="M110" i="80"/>
  <c r="I141" i="80"/>
  <c r="U141" i="80"/>
  <c r="K141" i="80"/>
  <c r="W141" i="80"/>
  <c r="Q172" i="80"/>
  <c r="L110" i="80"/>
  <c r="AE110" i="80" s="1"/>
  <c r="AE179" i="80"/>
  <c r="S172" i="80"/>
  <c r="O172" i="80"/>
  <c r="AA172" i="80"/>
  <c r="J172" i="80"/>
  <c r="AE73" i="80"/>
  <c r="G172" i="80"/>
  <c r="AE98" i="80"/>
  <c r="AE123" i="80"/>
  <c r="AE160" i="80"/>
  <c r="AE197" i="80"/>
  <c r="Q221" i="80"/>
  <c r="AC221" i="80"/>
  <c r="R221" i="80"/>
  <c r="AD221" i="80"/>
  <c r="AE135" i="80"/>
  <c r="AE61" i="80"/>
  <c r="AE80" i="80"/>
  <c r="AE86" i="80"/>
  <c r="AE111" i="80"/>
  <c r="AE148" i="80"/>
  <c r="S141" i="80"/>
  <c r="L172" i="80"/>
  <c r="X172" i="80"/>
  <c r="AE185" i="80"/>
  <c r="H215" i="80"/>
  <c r="I215" i="80" s="1"/>
  <c r="J215" i="80" s="1"/>
  <c r="K215" i="80" s="1"/>
  <c r="L215" i="80" s="1"/>
  <c r="M215" i="80" s="1"/>
  <c r="N215" i="80" s="1"/>
  <c r="O215" i="80" s="1"/>
  <c r="P215" i="80" s="1"/>
  <c r="Q215" i="80" s="1"/>
  <c r="R215" i="80" s="1"/>
  <c r="S215" i="80" s="1"/>
  <c r="T215" i="80" s="1"/>
  <c r="U215" i="80" s="1"/>
  <c r="V215" i="80" s="1"/>
  <c r="W215" i="80" s="1"/>
  <c r="X215" i="80" s="1"/>
  <c r="Y215" i="80" s="1"/>
  <c r="Z215" i="80" s="1"/>
  <c r="AA215" i="80" s="1"/>
  <c r="AB215" i="80" s="1"/>
  <c r="AC215" i="80" s="1"/>
  <c r="AD215" i="80" s="1"/>
  <c r="S221" i="80"/>
  <c r="H110" i="80"/>
  <c r="O110" i="80"/>
  <c r="AA110" i="80"/>
  <c r="M141" i="80"/>
  <c r="H141" i="80"/>
  <c r="T141" i="80"/>
  <c r="R172" i="80"/>
  <c r="M172" i="80"/>
  <c r="Y172" i="80"/>
  <c r="AE220" i="80"/>
  <c r="T221" i="80"/>
  <c r="AE67" i="80"/>
  <c r="U79" i="80"/>
  <c r="U221" i="80"/>
  <c r="K224" i="80"/>
  <c r="O79" i="80"/>
  <c r="AA79" i="80"/>
  <c r="V79" i="80"/>
  <c r="AE104" i="80"/>
  <c r="AE129" i="80"/>
  <c r="AE166" i="80"/>
  <c r="L224" i="80"/>
  <c r="AE55" i="80"/>
  <c r="P79" i="80"/>
  <c r="AB79" i="80"/>
  <c r="K110" i="80"/>
  <c r="W110" i="80"/>
  <c r="W221" i="80"/>
  <c r="V224" i="80"/>
  <c r="AE92" i="80"/>
  <c r="AE117" i="80"/>
  <c r="AE154" i="80"/>
  <c r="AE191" i="80"/>
  <c r="N212" i="80"/>
  <c r="O212" i="80" s="1"/>
  <c r="P212" i="80" s="1"/>
  <c r="Q212" i="80" s="1"/>
  <c r="R212" i="80" s="1"/>
  <c r="S212" i="80" s="1"/>
  <c r="T212" i="80" s="1"/>
  <c r="U212" i="80" s="1"/>
  <c r="V212" i="80" s="1"/>
  <c r="W212" i="80" s="1"/>
  <c r="X212" i="80" s="1"/>
  <c r="Y212" i="80" s="1"/>
  <c r="Z212" i="80" s="1"/>
  <c r="AA212" i="80" s="1"/>
  <c r="AB212" i="80" s="1"/>
  <c r="AC212" i="80" s="1"/>
  <c r="AD212" i="80" s="1"/>
  <c r="L221" i="80"/>
  <c r="X221" i="80"/>
  <c r="W224" i="80"/>
  <c r="R79" i="80"/>
  <c r="AD79" i="80"/>
  <c r="Y221" i="80"/>
  <c r="H224" i="80"/>
  <c r="M224" i="80"/>
  <c r="Y224" i="80"/>
  <c r="N224" i="80"/>
  <c r="Z224" i="80"/>
  <c r="AE173" i="80"/>
  <c r="G141" i="80"/>
  <c r="G221" i="80"/>
  <c r="G222" i="80" s="1"/>
  <c r="O224" i="80"/>
  <c r="AA224" i="80"/>
  <c r="P224" i="80"/>
  <c r="AB224" i="80"/>
  <c r="J223" i="80"/>
  <c r="J224" i="80" s="1"/>
  <c r="J225" i="80" s="1"/>
  <c r="K225" i="80" s="1"/>
  <c r="Q224" i="80"/>
  <c r="AC224" i="80"/>
  <c r="V221" i="80"/>
  <c r="R224" i="80"/>
  <c r="AD224" i="80"/>
  <c r="G224" i="80"/>
  <c r="G225" i="80" s="1"/>
  <c r="S224" i="80"/>
  <c r="T224" i="80"/>
  <c r="U224" i="80"/>
  <c r="J223" i="79"/>
  <c r="H223" i="79"/>
  <c r="H224" i="79" s="1"/>
  <c r="I223" i="79"/>
  <c r="I224" i="79" s="1"/>
  <c r="K214" i="79"/>
  <c r="L214" i="79"/>
  <c r="X214" i="79"/>
  <c r="M214" i="79"/>
  <c r="Y214" i="79"/>
  <c r="G210" i="79"/>
  <c r="O214" i="79"/>
  <c r="AC214" i="79"/>
  <c r="P214" i="79"/>
  <c r="G214" i="79"/>
  <c r="G215" i="79" s="1"/>
  <c r="H215" i="79" s="1"/>
  <c r="I215" i="79" s="1"/>
  <c r="J215" i="79" s="1"/>
  <c r="K215" i="79" s="1"/>
  <c r="L215" i="79" s="1"/>
  <c r="M215" i="79" s="1"/>
  <c r="N215" i="79" s="1"/>
  <c r="O215" i="79" s="1"/>
  <c r="P215" i="79" s="1"/>
  <c r="Q215" i="79" s="1"/>
  <c r="R215" i="79" s="1"/>
  <c r="S215" i="79" s="1"/>
  <c r="T215" i="79" s="1"/>
  <c r="U215" i="79" s="1"/>
  <c r="V215" i="79" s="1"/>
  <c r="W215" i="79" s="1"/>
  <c r="X215" i="79" s="1"/>
  <c r="Y215" i="79" s="1"/>
  <c r="Z215" i="79" s="1"/>
  <c r="AA215" i="79" s="1"/>
  <c r="AB215" i="79" s="1"/>
  <c r="AC215" i="79" s="1"/>
  <c r="AD215" i="79" s="1"/>
  <c r="Q214" i="79"/>
  <c r="H214" i="79"/>
  <c r="S214" i="79"/>
  <c r="N214" i="79"/>
  <c r="V214" i="79"/>
  <c r="J214" i="79"/>
  <c r="R214" i="79"/>
  <c r="AD214" i="79"/>
  <c r="W214" i="79"/>
  <c r="K221" i="79"/>
  <c r="Z214" i="79"/>
  <c r="AA214" i="79"/>
  <c r="P221" i="79"/>
  <c r="J224" i="79"/>
  <c r="J225" i="79" s="1"/>
  <c r="J226" i="79" s="1"/>
  <c r="Q221" i="79"/>
  <c r="Y221" i="79"/>
  <c r="S221" i="79"/>
  <c r="X221" i="79"/>
  <c r="AA221" i="79"/>
  <c r="L221" i="79"/>
  <c r="T221" i="79"/>
  <c r="AB221" i="79"/>
  <c r="R224" i="79"/>
  <c r="M221" i="79"/>
  <c r="U221" i="79"/>
  <c r="AC221" i="79"/>
  <c r="Z224" i="79"/>
  <c r="N221" i="79"/>
  <c r="V221" i="79"/>
  <c r="AD221" i="79"/>
  <c r="R221" i="79"/>
  <c r="Z221" i="79"/>
  <c r="Q79" i="79"/>
  <c r="Y79" i="79"/>
  <c r="J141" i="79"/>
  <c r="R141" i="79"/>
  <c r="Z141" i="79"/>
  <c r="R110" i="79"/>
  <c r="R172" i="79"/>
  <c r="L79" i="79"/>
  <c r="AE79" i="79" s="1"/>
  <c r="AB79" i="79"/>
  <c r="L141" i="79"/>
  <c r="T141" i="79"/>
  <c r="AB141" i="79"/>
  <c r="X141" i="79"/>
  <c r="N110" i="79"/>
  <c r="V110" i="79"/>
  <c r="AD110" i="79"/>
  <c r="J110" i="79"/>
  <c r="I141" i="79"/>
  <c r="Q141" i="79"/>
  <c r="Y141" i="79"/>
  <c r="X172" i="79"/>
  <c r="R79" i="79"/>
  <c r="P79" i="79"/>
  <c r="X79" i="79"/>
  <c r="AE67" i="79"/>
  <c r="D16" i="79"/>
  <c r="J203" i="79"/>
  <c r="J210" i="79" s="1"/>
  <c r="S79" i="79"/>
  <c r="AA79" i="79"/>
  <c r="AE104" i="79"/>
  <c r="AE117" i="79"/>
  <c r="AE154" i="79"/>
  <c r="AE191" i="79"/>
  <c r="M172" i="79"/>
  <c r="Y203" i="79"/>
  <c r="Y211" i="79" s="1"/>
  <c r="Y210" i="79" s="1"/>
  <c r="AE73" i="79"/>
  <c r="N79" i="79"/>
  <c r="V79" i="79"/>
  <c r="AD79" i="79"/>
  <c r="H172" i="79"/>
  <c r="P172" i="79"/>
  <c r="AE86" i="79"/>
  <c r="AE123" i="79"/>
  <c r="AE160" i="79"/>
  <c r="M141" i="79"/>
  <c r="AE173" i="79"/>
  <c r="K172" i="79"/>
  <c r="S172" i="79"/>
  <c r="AA172" i="79"/>
  <c r="AE197" i="79"/>
  <c r="AE55" i="79"/>
  <c r="H141" i="79"/>
  <c r="P141" i="79"/>
  <c r="N172" i="79"/>
  <c r="V172" i="79"/>
  <c r="AD172" i="79"/>
  <c r="AE92" i="79"/>
  <c r="AE129" i="79"/>
  <c r="M110" i="79"/>
  <c r="AE142" i="79"/>
  <c r="K141" i="79"/>
  <c r="S141" i="79"/>
  <c r="AA141" i="79"/>
  <c r="AE166" i="79"/>
  <c r="AE179" i="79"/>
  <c r="AE61" i="79"/>
  <c r="AE80" i="79"/>
  <c r="H110" i="79"/>
  <c r="P110" i="79"/>
  <c r="N141" i="79"/>
  <c r="V141" i="79"/>
  <c r="AD141" i="79"/>
  <c r="AE98" i="79"/>
  <c r="AE111" i="79"/>
  <c r="K110" i="79"/>
  <c r="S110" i="79"/>
  <c r="AA110" i="79"/>
  <c r="AE135" i="79"/>
  <c r="AE148" i="79"/>
  <c r="AE185" i="79"/>
  <c r="R203" i="79"/>
  <c r="K203" i="79"/>
  <c r="S203" i="79"/>
  <c r="AA203" i="79"/>
  <c r="K224" i="79"/>
  <c r="S224" i="79"/>
  <c r="AA224" i="79"/>
  <c r="Z203" i="79"/>
  <c r="L203" i="79"/>
  <c r="T203" i="79"/>
  <c r="AB203" i="79"/>
  <c r="L224" i="79"/>
  <c r="T224" i="79"/>
  <c r="AB224" i="79"/>
  <c r="M203" i="79"/>
  <c r="U203" i="79"/>
  <c r="AC203" i="79"/>
  <c r="M224" i="79"/>
  <c r="U224" i="79"/>
  <c r="AC224" i="79"/>
  <c r="N203" i="79"/>
  <c r="V203" i="79"/>
  <c r="AD203" i="79"/>
  <c r="G221" i="79"/>
  <c r="G222" i="79" s="1"/>
  <c r="O221" i="79"/>
  <c r="W221" i="79"/>
  <c r="N224" i="79"/>
  <c r="V224" i="79"/>
  <c r="AD224" i="79"/>
  <c r="G203" i="79"/>
  <c r="G204" i="79" s="1"/>
  <c r="O203" i="79"/>
  <c r="W203" i="79"/>
  <c r="G224" i="79"/>
  <c r="G225" i="79" s="1"/>
  <c r="O224" i="79"/>
  <c r="W224" i="79"/>
  <c r="H203" i="79"/>
  <c r="P203" i="79"/>
  <c r="X203" i="79"/>
  <c r="P224" i="79"/>
  <c r="X224" i="79"/>
  <c r="I203" i="79"/>
  <c r="Q203" i="79"/>
  <c r="Q224" i="79"/>
  <c r="Y224" i="79"/>
  <c r="P86" i="78"/>
  <c r="P25" i="78"/>
  <c r="I25" i="78"/>
  <c r="P41" i="78"/>
  <c r="P15" i="78"/>
  <c r="P31" i="78"/>
  <c r="P35" i="78"/>
  <c r="P47" i="78"/>
  <c r="I47" i="78"/>
  <c r="P51" i="78"/>
  <c r="P28" i="78"/>
  <c r="P19" i="78"/>
  <c r="I19" i="78"/>
  <c r="P16" i="78"/>
  <c r="P32" i="78"/>
  <c r="P48" i="78"/>
  <c r="I78" i="78"/>
  <c r="P12" i="78"/>
  <c r="P20" i="78"/>
  <c r="P36" i="78"/>
  <c r="P17" i="78"/>
  <c r="P33" i="78"/>
  <c r="P49" i="78"/>
  <c r="I49" i="78"/>
  <c r="D146" i="78"/>
  <c r="E146" i="78"/>
  <c r="P44" i="78"/>
  <c r="I44" i="78"/>
  <c r="P23" i="78"/>
  <c r="P39" i="78"/>
  <c r="P43" i="78"/>
  <c r="I70" i="78"/>
  <c r="H52" i="78"/>
  <c r="H80" i="78" s="1"/>
  <c r="I15" i="78" s="1"/>
  <c r="P11" i="78"/>
  <c r="I11" i="78"/>
  <c r="P27" i="78"/>
  <c r="I27" i="78"/>
  <c r="P24" i="78"/>
  <c r="P40" i="78"/>
  <c r="D148" i="78"/>
  <c r="E148" i="78" s="1"/>
  <c r="P50" i="78"/>
  <c r="P18" i="78"/>
  <c r="P26" i="78"/>
  <c r="P34" i="78"/>
  <c r="P42" i="78"/>
  <c r="I54" i="78"/>
  <c r="P84" i="78"/>
  <c r="I14" i="78"/>
  <c r="I60" i="78"/>
  <c r="I68" i="78"/>
  <c r="I76" i="78"/>
  <c r="B147" i="78"/>
  <c r="H126" i="78"/>
  <c r="I87" i="78" s="1"/>
  <c r="G211" i="25"/>
  <c r="G212" i="25" s="1"/>
  <c r="AE172" i="80" l="1"/>
  <c r="AE79" i="80"/>
  <c r="AE141" i="80"/>
  <c r="L225" i="80"/>
  <c r="M225" i="80" s="1"/>
  <c r="N225" i="80" s="1"/>
  <c r="O225" i="80" s="1"/>
  <c r="P225" i="80" s="1"/>
  <c r="Q225" i="80" s="1"/>
  <c r="R225" i="80" s="1"/>
  <c r="S225" i="80" s="1"/>
  <c r="T225" i="80" s="1"/>
  <c r="U225" i="80" s="1"/>
  <c r="V225" i="80" s="1"/>
  <c r="W225" i="80" s="1"/>
  <c r="X225" i="80" s="1"/>
  <c r="Y225" i="80" s="1"/>
  <c r="Z225" i="80" s="1"/>
  <c r="AA225" i="80" s="1"/>
  <c r="AB225" i="80" s="1"/>
  <c r="AC225" i="80" s="1"/>
  <c r="AD225" i="80" s="1"/>
  <c r="AE223" i="80"/>
  <c r="G226" i="80"/>
  <c r="H225" i="80" s="1"/>
  <c r="H222" i="80"/>
  <c r="I222" i="80" s="1"/>
  <c r="J222" i="80" s="1"/>
  <c r="K222" i="80" s="1"/>
  <c r="AE223" i="79"/>
  <c r="AE141" i="79"/>
  <c r="AE110" i="79"/>
  <c r="AE172" i="79"/>
  <c r="P211" i="79"/>
  <c r="P210" i="79" s="1"/>
  <c r="N211" i="79"/>
  <c r="N210" i="79" s="1"/>
  <c r="X211" i="79"/>
  <c r="X210" i="79" s="1"/>
  <c r="H204" i="79"/>
  <c r="I204" i="79" s="1"/>
  <c r="J204" i="79" s="1"/>
  <c r="AA211" i="79"/>
  <c r="AA210" i="79" s="1"/>
  <c r="Q211" i="79"/>
  <c r="Q210" i="79" s="1"/>
  <c r="AB211" i="79"/>
  <c r="AB210" i="79" s="1"/>
  <c r="S211" i="79"/>
  <c r="S210" i="79" s="1"/>
  <c r="I210" i="79"/>
  <c r="T211" i="79"/>
  <c r="T210" i="79" s="1"/>
  <c r="AC211" i="79"/>
  <c r="AC210" i="79" s="1"/>
  <c r="L211" i="79"/>
  <c r="L204" i="79"/>
  <c r="M204" i="79" s="1"/>
  <c r="N204" i="79" s="1"/>
  <c r="O204" i="79" s="1"/>
  <c r="P204" i="79" s="1"/>
  <c r="Q204" i="79" s="1"/>
  <c r="R204" i="79" s="1"/>
  <c r="S204" i="79" s="1"/>
  <c r="T204" i="79" s="1"/>
  <c r="U204" i="79" s="1"/>
  <c r="V204" i="79" s="1"/>
  <c r="W204" i="79" s="1"/>
  <c r="X204" i="79" s="1"/>
  <c r="Y204" i="79" s="1"/>
  <c r="Z204" i="79" s="1"/>
  <c r="AA204" i="79" s="1"/>
  <c r="AB204" i="79" s="1"/>
  <c r="AC204" i="79" s="1"/>
  <c r="AD204" i="79" s="1"/>
  <c r="R211" i="79"/>
  <c r="R210" i="79" s="1"/>
  <c r="W211" i="79"/>
  <c r="W210" i="79" s="1"/>
  <c r="G226" i="79"/>
  <c r="H222" i="79"/>
  <c r="U211" i="79"/>
  <c r="U210" i="79" s="1"/>
  <c r="Z211" i="79"/>
  <c r="Z210" i="79" s="1"/>
  <c r="O211" i="79"/>
  <c r="O210" i="79" s="1"/>
  <c r="AD211" i="79"/>
  <c r="AD210" i="79" s="1"/>
  <c r="M211" i="79"/>
  <c r="M210" i="79" s="1"/>
  <c r="V211" i="79"/>
  <c r="V210" i="79" s="1"/>
  <c r="I116" i="78"/>
  <c r="I85" i="78"/>
  <c r="I100" i="78"/>
  <c r="I46" i="78"/>
  <c r="I84" i="78"/>
  <c r="I39" i="78"/>
  <c r="I33" i="78"/>
  <c r="I20" i="78"/>
  <c r="I109" i="78"/>
  <c r="I38" i="78"/>
  <c r="I75" i="78"/>
  <c r="I26" i="78"/>
  <c r="I32" i="78"/>
  <c r="I111" i="78"/>
  <c r="I101" i="78"/>
  <c r="I30" i="78"/>
  <c r="I67" i="78"/>
  <c r="I24" i="78"/>
  <c r="I23" i="78"/>
  <c r="D166" i="78"/>
  <c r="I17" i="78"/>
  <c r="I12" i="78"/>
  <c r="I51" i="78"/>
  <c r="I103" i="78"/>
  <c r="D147" i="78"/>
  <c r="E147" i="78" s="1"/>
  <c r="I125" i="78"/>
  <c r="I77" i="78"/>
  <c r="I69" i="78"/>
  <c r="I61" i="78"/>
  <c r="I37" i="78"/>
  <c r="H129" i="78"/>
  <c r="I74" i="78"/>
  <c r="I66" i="78"/>
  <c r="I58" i="78"/>
  <c r="I29" i="78"/>
  <c r="I13" i="78"/>
  <c r="I52" i="78" s="1"/>
  <c r="I80" i="78" s="1"/>
  <c r="I71" i="78"/>
  <c r="I63" i="78"/>
  <c r="I55" i="78"/>
  <c r="I73" i="78"/>
  <c r="I57" i="78"/>
  <c r="I79" i="78" s="1"/>
  <c r="D137" i="78"/>
  <c r="I72" i="78"/>
  <c r="I65" i="78"/>
  <c r="I64" i="78"/>
  <c r="I56" i="78"/>
  <c r="I45" i="78"/>
  <c r="I21" i="78"/>
  <c r="I119" i="78"/>
  <c r="I31" i="78"/>
  <c r="I50" i="78"/>
  <c r="I40" i="78"/>
  <c r="I41" i="78"/>
  <c r="I93" i="78"/>
  <c r="I22" i="78"/>
  <c r="I124" i="78"/>
  <c r="I59" i="78"/>
  <c r="B166" i="78"/>
  <c r="I16" i="78"/>
  <c r="I34" i="78"/>
  <c r="I95" i="78"/>
  <c r="I108" i="78"/>
  <c r="I43" i="78"/>
  <c r="I42" i="78"/>
  <c r="I36" i="78"/>
  <c r="I48" i="78"/>
  <c r="I28" i="78"/>
  <c r="I35" i="78"/>
  <c r="I18" i="78"/>
  <c r="I62" i="78"/>
  <c r="I118" i="78"/>
  <c r="I110" i="78"/>
  <c r="I102" i="78"/>
  <c r="I94" i="78"/>
  <c r="I86" i="78"/>
  <c r="I123" i="78"/>
  <c r="I115" i="78"/>
  <c r="I107" i="78"/>
  <c r="I99" i="78"/>
  <c r="I91" i="78"/>
  <c r="I120" i="78"/>
  <c r="I112" i="78"/>
  <c r="I104" i="78"/>
  <c r="I96" i="78"/>
  <c r="I88" i="78"/>
  <c r="I90" i="78"/>
  <c r="I121" i="78"/>
  <c r="I113" i="78"/>
  <c r="I105" i="78"/>
  <c r="I122" i="78"/>
  <c r="I114" i="78"/>
  <c r="I106" i="78"/>
  <c r="I98" i="78"/>
  <c r="D138" i="78"/>
  <c r="I97" i="78"/>
  <c r="I89" i="78"/>
  <c r="I92" i="78"/>
  <c r="I117" i="78"/>
  <c r="A148" i="26"/>
  <c r="A146" i="26"/>
  <c r="L222" i="80" l="1"/>
  <c r="K226" i="80"/>
  <c r="I225" i="80"/>
  <c r="H226" i="80"/>
  <c r="I226" i="80" s="1"/>
  <c r="J226" i="80" s="1"/>
  <c r="AE227" i="80"/>
  <c r="AF227" i="80" s="1"/>
  <c r="AE226" i="80"/>
  <c r="K225" i="79"/>
  <c r="L225" i="79" s="1"/>
  <c r="M225" i="79" s="1"/>
  <c r="N225" i="79" s="1"/>
  <c r="O225" i="79" s="1"/>
  <c r="P225" i="79" s="1"/>
  <c r="Q225" i="79" s="1"/>
  <c r="R225" i="79" s="1"/>
  <c r="S225" i="79" s="1"/>
  <c r="T225" i="79" s="1"/>
  <c r="U225" i="79" s="1"/>
  <c r="V225" i="79" s="1"/>
  <c r="W225" i="79" s="1"/>
  <c r="X225" i="79" s="1"/>
  <c r="Y225" i="79" s="1"/>
  <c r="Z225" i="79" s="1"/>
  <c r="AA225" i="79" s="1"/>
  <c r="AB225" i="79" s="1"/>
  <c r="AC225" i="79" s="1"/>
  <c r="AD225" i="79" s="1"/>
  <c r="AE226" i="79"/>
  <c r="AE227" i="79"/>
  <c r="AF227" i="79" s="1"/>
  <c r="H210" i="79"/>
  <c r="H212" i="79"/>
  <c r="I212" i="79" s="1"/>
  <c r="J212" i="79" s="1"/>
  <c r="L212" i="79"/>
  <c r="M212" i="79" s="1"/>
  <c r="N212" i="79" s="1"/>
  <c r="O212" i="79" s="1"/>
  <c r="P212" i="79" s="1"/>
  <c r="Q212" i="79" s="1"/>
  <c r="R212" i="79" s="1"/>
  <c r="S212" i="79" s="1"/>
  <c r="T212" i="79" s="1"/>
  <c r="U212" i="79" s="1"/>
  <c r="V212" i="79" s="1"/>
  <c r="W212" i="79" s="1"/>
  <c r="X212" i="79" s="1"/>
  <c r="Y212" i="79" s="1"/>
  <c r="Z212" i="79" s="1"/>
  <c r="AA212" i="79" s="1"/>
  <c r="AB212" i="79" s="1"/>
  <c r="AC212" i="79" s="1"/>
  <c r="AD212" i="79" s="1"/>
  <c r="L210" i="79"/>
  <c r="I222" i="79"/>
  <c r="B167" i="78"/>
  <c r="E166" i="78"/>
  <c r="E137" i="78"/>
  <c r="E138" i="78"/>
  <c r="H130" i="78"/>
  <c r="I126" i="78"/>
  <c r="D201" i="25"/>
  <c r="D199" i="25"/>
  <c r="D200" i="25"/>
  <c r="D202" i="25"/>
  <c r="D198" i="25"/>
  <c r="D196" i="25"/>
  <c r="D195" i="25"/>
  <c r="D193" i="25"/>
  <c r="D194" i="25"/>
  <c r="D192" i="25"/>
  <c r="D190" i="25"/>
  <c r="D187" i="25"/>
  <c r="D188" i="25"/>
  <c r="D189" i="25"/>
  <c r="D186" i="25"/>
  <c r="D184" i="25"/>
  <c r="D181" i="25"/>
  <c r="D182" i="25"/>
  <c r="D183" i="25"/>
  <c r="D180" i="25"/>
  <c r="D178" i="25"/>
  <c r="D177" i="25"/>
  <c r="D176" i="25"/>
  <c r="D175" i="25"/>
  <c r="D174" i="25"/>
  <c r="G173" i="25"/>
  <c r="AE202" i="25"/>
  <c r="AE201" i="25"/>
  <c r="AE200" i="25"/>
  <c r="AE199" i="25"/>
  <c r="AE198" i="25"/>
  <c r="AD197" i="25"/>
  <c r="AC197" i="25"/>
  <c r="AB197" i="25"/>
  <c r="AA197" i="25"/>
  <c r="Z197" i="25"/>
  <c r="Y197" i="25"/>
  <c r="X197" i="25"/>
  <c r="W197" i="25"/>
  <c r="V197" i="25"/>
  <c r="U197" i="25"/>
  <c r="T197" i="25"/>
  <c r="S197" i="25"/>
  <c r="R197" i="25"/>
  <c r="Q197" i="25"/>
  <c r="P197" i="25"/>
  <c r="O197" i="25"/>
  <c r="N197" i="25"/>
  <c r="M197" i="25"/>
  <c r="L197" i="25"/>
  <c r="K197" i="25"/>
  <c r="J197" i="25"/>
  <c r="I197" i="25"/>
  <c r="H197" i="25"/>
  <c r="G197" i="25"/>
  <c r="AE196" i="25"/>
  <c r="AE195" i="25"/>
  <c r="AE194" i="25"/>
  <c r="AE193" i="25"/>
  <c r="AE192" i="25"/>
  <c r="AD191" i="25"/>
  <c r="AC191" i="25"/>
  <c r="AB191" i="25"/>
  <c r="AA191" i="25"/>
  <c r="Z191" i="25"/>
  <c r="Y191" i="25"/>
  <c r="X191" i="25"/>
  <c r="W191" i="25"/>
  <c r="V191" i="25"/>
  <c r="U191" i="25"/>
  <c r="T191" i="25"/>
  <c r="S191" i="25"/>
  <c r="R191" i="25"/>
  <c r="Q191" i="25"/>
  <c r="P191" i="25"/>
  <c r="O191" i="25"/>
  <c r="N191" i="25"/>
  <c r="M191" i="25"/>
  <c r="L191" i="25"/>
  <c r="K191" i="25"/>
  <c r="J191" i="25"/>
  <c r="I191" i="25"/>
  <c r="H191" i="25"/>
  <c r="G191" i="25"/>
  <c r="AE190" i="25"/>
  <c r="AE189" i="25"/>
  <c r="AE188" i="25"/>
  <c r="AE187" i="25"/>
  <c r="AE186" i="25"/>
  <c r="AD185" i="25"/>
  <c r="AC185" i="25"/>
  <c r="AB185" i="25"/>
  <c r="AA185" i="25"/>
  <c r="Z185" i="25"/>
  <c r="Y185" i="25"/>
  <c r="X185" i="25"/>
  <c r="W185" i="25"/>
  <c r="V185" i="25"/>
  <c r="U185" i="25"/>
  <c r="T185" i="25"/>
  <c r="S185" i="25"/>
  <c r="R185" i="25"/>
  <c r="Q185" i="25"/>
  <c r="P185" i="25"/>
  <c r="O185" i="25"/>
  <c r="N185" i="25"/>
  <c r="M185" i="25"/>
  <c r="L185" i="25"/>
  <c r="K185" i="25"/>
  <c r="J185" i="25"/>
  <c r="I185" i="25"/>
  <c r="H185" i="25"/>
  <c r="G185" i="25"/>
  <c r="AE184" i="25"/>
  <c r="AE183" i="25"/>
  <c r="AE182" i="25"/>
  <c r="AE181" i="25"/>
  <c r="AE180" i="25"/>
  <c r="AD179" i="25"/>
  <c r="AC179" i="25"/>
  <c r="AB179" i="25"/>
  <c r="AA179" i="25"/>
  <c r="Z179" i="25"/>
  <c r="Y179" i="25"/>
  <c r="X179" i="25"/>
  <c r="W179" i="25"/>
  <c r="V179" i="25"/>
  <c r="U179" i="25"/>
  <c r="T179" i="25"/>
  <c r="S179" i="25"/>
  <c r="R179" i="25"/>
  <c r="Q179" i="25"/>
  <c r="P179" i="25"/>
  <c r="O179" i="25"/>
  <c r="N179" i="25"/>
  <c r="M179" i="25"/>
  <c r="L179" i="25"/>
  <c r="K179" i="25"/>
  <c r="J179" i="25"/>
  <c r="I179" i="25"/>
  <c r="H179" i="25"/>
  <c r="G179" i="25"/>
  <c r="AE178" i="25"/>
  <c r="AE177" i="25"/>
  <c r="AE176" i="25"/>
  <c r="AE175" i="25"/>
  <c r="AE174" i="25"/>
  <c r="AD173" i="25"/>
  <c r="AC173" i="25"/>
  <c r="AB173" i="25"/>
  <c r="AA173" i="25"/>
  <c r="Z173" i="25"/>
  <c r="Y173" i="25"/>
  <c r="X173" i="25"/>
  <c r="W173" i="25"/>
  <c r="V173" i="25"/>
  <c r="U173" i="25"/>
  <c r="T173" i="25"/>
  <c r="S173" i="25"/>
  <c r="R173" i="25"/>
  <c r="Q173" i="25"/>
  <c r="P173" i="25"/>
  <c r="O173" i="25"/>
  <c r="N173" i="25"/>
  <c r="M173" i="25"/>
  <c r="L173" i="25"/>
  <c r="K173" i="25"/>
  <c r="J173" i="25"/>
  <c r="I173" i="25"/>
  <c r="H173" i="25"/>
  <c r="M222" i="80" l="1"/>
  <c r="L226" i="80"/>
  <c r="J222" i="79"/>
  <c r="D139" i="78"/>
  <c r="H131" i="78"/>
  <c r="D140" i="78" s="1"/>
  <c r="E142" i="78"/>
  <c r="N172" i="25"/>
  <c r="I172" i="25"/>
  <c r="H172" i="25"/>
  <c r="P172" i="25"/>
  <c r="X172" i="25"/>
  <c r="Q172" i="25"/>
  <c r="R172" i="25"/>
  <c r="AB172" i="25"/>
  <c r="W172" i="25"/>
  <c r="J172" i="25"/>
  <c r="M172" i="25"/>
  <c r="T172" i="25"/>
  <c r="L172" i="25"/>
  <c r="O172" i="25"/>
  <c r="K172" i="25"/>
  <c r="G172" i="25"/>
  <c r="AE179" i="25"/>
  <c r="V172" i="25"/>
  <c r="AD172" i="25"/>
  <c r="Y172" i="25"/>
  <c r="S172" i="25"/>
  <c r="AA172" i="25"/>
  <c r="AE185" i="25"/>
  <c r="U172" i="25"/>
  <c r="AC172" i="25"/>
  <c r="AE191" i="25"/>
  <c r="Z172" i="25"/>
  <c r="AE173" i="25"/>
  <c r="AE197" i="25"/>
  <c r="AE51" i="25"/>
  <c r="AE52" i="25"/>
  <c r="AE53" i="25"/>
  <c r="AE54" i="25"/>
  <c r="AE56" i="25"/>
  <c r="AE57" i="25"/>
  <c r="AE58" i="25"/>
  <c r="AE59" i="25"/>
  <c r="AE60" i="25"/>
  <c r="AE62" i="25"/>
  <c r="AE63" i="25"/>
  <c r="AE64" i="25"/>
  <c r="AE65" i="25"/>
  <c r="AE66" i="25"/>
  <c r="AE68" i="25"/>
  <c r="AE69" i="25"/>
  <c r="AE70" i="25"/>
  <c r="AE71" i="25"/>
  <c r="AE72" i="25"/>
  <c r="AE74" i="25"/>
  <c r="AE75" i="25"/>
  <c r="AE76" i="25"/>
  <c r="AE77" i="25"/>
  <c r="AE78" i="25"/>
  <c r="AE81" i="25"/>
  <c r="AE82" i="25"/>
  <c r="AE83" i="25"/>
  <c r="AE84" i="25"/>
  <c r="AE85" i="25"/>
  <c r="AE87" i="25"/>
  <c r="AE88" i="25"/>
  <c r="AE89" i="25"/>
  <c r="AE90" i="25"/>
  <c r="AE91" i="25"/>
  <c r="AE93" i="25"/>
  <c r="AE94" i="25"/>
  <c r="AE95" i="25"/>
  <c r="AE96" i="25"/>
  <c r="AE97" i="25"/>
  <c r="AE99" i="25"/>
  <c r="AE100" i="25"/>
  <c r="AE101" i="25"/>
  <c r="AE102" i="25"/>
  <c r="AE103" i="25"/>
  <c r="AE105" i="25"/>
  <c r="AE106" i="25"/>
  <c r="AE107" i="25"/>
  <c r="AE108" i="25"/>
  <c r="AE109" i="25"/>
  <c r="AE112" i="25"/>
  <c r="AE113" i="25"/>
  <c r="AE114" i="25"/>
  <c r="AE115" i="25"/>
  <c r="AE116" i="25"/>
  <c r="AE118" i="25"/>
  <c r="AE119" i="25"/>
  <c r="AE120" i="25"/>
  <c r="AE121" i="25"/>
  <c r="AE122" i="25"/>
  <c r="AE124" i="25"/>
  <c r="AE125" i="25"/>
  <c r="AE126" i="25"/>
  <c r="AE127" i="25"/>
  <c r="AE128" i="25"/>
  <c r="AE130" i="25"/>
  <c r="AE131" i="25"/>
  <c r="AE132" i="25"/>
  <c r="AE133" i="25"/>
  <c r="AE134" i="25"/>
  <c r="AE136" i="25"/>
  <c r="AE137" i="25"/>
  <c r="AE138" i="25"/>
  <c r="AE139" i="25"/>
  <c r="AE140" i="25"/>
  <c r="AE143" i="25"/>
  <c r="AE144" i="25"/>
  <c r="AE145" i="25"/>
  <c r="AE146" i="25"/>
  <c r="AE147" i="25"/>
  <c r="AE149" i="25"/>
  <c r="AE150" i="25"/>
  <c r="AE151" i="25"/>
  <c r="AE152" i="25"/>
  <c r="AE153" i="25"/>
  <c r="AE155" i="25"/>
  <c r="AE156" i="25"/>
  <c r="AE157" i="25"/>
  <c r="AE158" i="25"/>
  <c r="AE159" i="25"/>
  <c r="AE161" i="25"/>
  <c r="AE162" i="25"/>
  <c r="AE163" i="25"/>
  <c r="AE164" i="25"/>
  <c r="AE165" i="25"/>
  <c r="AE167" i="25"/>
  <c r="AE168" i="25"/>
  <c r="AE169" i="25"/>
  <c r="AE170" i="25"/>
  <c r="AE171" i="25"/>
  <c r="D124" i="25"/>
  <c r="N222" i="80" l="1"/>
  <c r="M226" i="80"/>
  <c r="K222" i="79"/>
  <c r="C167" i="78"/>
  <c r="H132" i="78"/>
  <c r="H133" i="78" s="1"/>
  <c r="F140" i="78" s="1"/>
  <c r="AE172" i="25"/>
  <c r="J166" i="25"/>
  <c r="G166" i="25"/>
  <c r="D170" i="25"/>
  <c r="D168" i="25"/>
  <c r="D169" i="25"/>
  <c r="D171" i="25"/>
  <c r="D167" i="25"/>
  <c r="AD166" i="25"/>
  <c r="AC166" i="25"/>
  <c r="AB166" i="25"/>
  <c r="AA166" i="25"/>
  <c r="Z166" i="25"/>
  <c r="Y166" i="25"/>
  <c r="X166" i="25"/>
  <c r="W166" i="25"/>
  <c r="V166" i="25"/>
  <c r="U166" i="25"/>
  <c r="T166" i="25"/>
  <c r="S166" i="25"/>
  <c r="R166" i="25"/>
  <c r="Q166" i="25"/>
  <c r="P166" i="25"/>
  <c r="O166" i="25"/>
  <c r="N166" i="25"/>
  <c r="M166" i="25"/>
  <c r="L166" i="25"/>
  <c r="K166" i="25"/>
  <c r="I166" i="25"/>
  <c r="H166" i="25"/>
  <c r="H160" i="25"/>
  <c r="D165" i="25"/>
  <c r="D162" i="25"/>
  <c r="D163" i="25"/>
  <c r="D164" i="25"/>
  <c r="D161" i="25"/>
  <c r="AD160" i="25"/>
  <c r="AC160" i="25"/>
  <c r="AB160" i="25"/>
  <c r="AA160" i="25"/>
  <c r="Z160" i="25"/>
  <c r="Y160" i="25"/>
  <c r="X160" i="25"/>
  <c r="W160" i="25"/>
  <c r="V160" i="25"/>
  <c r="U160" i="25"/>
  <c r="T160" i="25"/>
  <c r="S160" i="25"/>
  <c r="R160" i="25"/>
  <c r="Q160" i="25"/>
  <c r="P160" i="25"/>
  <c r="O160" i="25"/>
  <c r="N160" i="25"/>
  <c r="M160" i="25"/>
  <c r="L160" i="25"/>
  <c r="K160" i="25"/>
  <c r="J160" i="25"/>
  <c r="I160" i="25"/>
  <c r="G160" i="25"/>
  <c r="J154" i="25"/>
  <c r="D157" i="25"/>
  <c r="D152" i="25"/>
  <c r="D156" i="25"/>
  <c r="D158" i="25"/>
  <c r="D159" i="25"/>
  <c r="D155" i="25"/>
  <c r="J148" i="25"/>
  <c r="D150" i="25"/>
  <c r="D151" i="25"/>
  <c r="D153" i="25"/>
  <c r="D149" i="25"/>
  <c r="I142" i="25"/>
  <c r="D144" i="25"/>
  <c r="D145" i="25"/>
  <c r="D146" i="25"/>
  <c r="D147" i="25"/>
  <c r="D143" i="25"/>
  <c r="K135" i="25"/>
  <c r="D139" i="25"/>
  <c r="D137" i="25"/>
  <c r="D138" i="25"/>
  <c r="D140" i="25"/>
  <c r="D136" i="25"/>
  <c r="AD135" i="25"/>
  <c r="AC135" i="25"/>
  <c r="AB135" i="25"/>
  <c r="AA135" i="25"/>
  <c r="Z135" i="25"/>
  <c r="Y135" i="25"/>
  <c r="X135" i="25"/>
  <c r="W135" i="25"/>
  <c r="V135" i="25"/>
  <c r="U135" i="25"/>
  <c r="T135" i="25"/>
  <c r="S135" i="25"/>
  <c r="R135" i="25"/>
  <c r="Q135" i="25"/>
  <c r="P135" i="25"/>
  <c r="O135" i="25"/>
  <c r="N135" i="25"/>
  <c r="M135" i="25"/>
  <c r="L135" i="25"/>
  <c r="J135" i="25"/>
  <c r="I135" i="25"/>
  <c r="H135" i="25"/>
  <c r="G135" i="25"/>
  <c r="J129" i="25"/>
  <c r="D133" i="25"/>
  <c r="D108" i="25"/>
  <c r="D131" i="25"/>
  <c r="D132" i="25"/>
  <c r="D134" i="25"/>
  <c r="D130" i="25"/>
  <c r="AD129" i="25"/>
  <c r="AC129" i="25"/>
  <c r="AB129" i="25"/>
  <c r="AA129" i="25"/>
  <c r="Z129" i="25"/>
  <c r="Y129" i="25"/>
  <c r="X129" i="25"/>
  <c r="W129" i="25"/>
  <c r="V129" i="25"/>
  <c r="U129" i="25"/>
  <c r="T129" i="25"/>
  <c r="S129" i="25"/>
  <c r="R129" i="25"/>
  <c r="Q129" i="25"/>
  <c r="P129" i="25"/>
  <c r="O129" i="25"/>
  <c r="N129" i="25"/>
  <c r="M129" i="25"/>
  <c r="L129" i="25"/>
  <c r="K129" i="25"/>
  <c r="I129" i="25"/>
  <c r="H129" i="25"/>
  <c r="G129" i="25"/>
  <c r="I123" i="25"/>
  <c r="D128" i="25"/>
  <c r="D125" i="25"/>
  <c r="D126" i="25"/>
  <c r="D127" i="25"/>
  <c r="K111" i="25"/>
  <c r="D115" i="25"/>
  <c r="D113" i="25"/>
  <c r="O222" i="80" l="1"/>
  <c r="N226" i="80"/>
  <c r="K226" i="79"/>
  <c r="L222" i="79"/>
  <c r="D167" i="78"/>
  <c r="D141" i="78"/>
  <c r="F141" i="78" s="1"/>
  <c r="F139" i="78"/>
  <c r="G150" i="78"/>
  <c r="G154" i="78"/>
  <c r="G158" i="78"/>
  <c r="G162" i="78"/>
  <c r="G159" i="78"/>
  <c r="G156" i="78"/>
  <c r="G160" i="78"/>
  <c r="G163" i="78"/>
  <c r="G164" i="78"/>
  <c r="G152" i="78"/>
  <c r="G155" i="78"/>
  <c r="G149" i="78"/>
  <c r="G165" i="78"/>
  <c r="G157" i="78"/>
  <c r="G153" i="78"/>
  <c r="G151" i="78"/>
  <c r="G161" i="78"/>
  <c r="G146" i="78"/>
  <c r="G148" i="78"/>
  <c r="F138" i="78"/>
  <c r="G147" i="78"/>
  <c r="F137" i="78"/>
  <c r="E167" i="78"/>
  <c r="AE129" i="25"/>
  <c r="AE160" i="25"/>
  <c r="AE135" i="25"/>
  <c r="AE166" i="25"/>
  <c r="H117" i="25"/>
  <c r="D119" i="25"/>
  <c r="D120" i="25"/>
  <c r="D121" i="25"/>
  <c r="D122" i="25"/>
  <c r="D118" i="25"/>
  <c r="G111" i="25"/>
  <c r="J111" i="25"/>
  <c r="H111" i="25"/>
  <c r="D114" i="25"/>
  <c r="D116" i="25"/>
  <c r="D112" i="25"/>
  <c r="K104" i="25"/>
  <c r="G104" i="25"/>
  <c r="D107" i="25"/>
  <c r="D106" i="25"/>
  <c r="D109" i="25"/>
  <c r="D105" i="25"/>
  <c r="D99" i="25"/>
  <c r="H104" i="25"/>
  <c r="AD104" i="25"/>
  <c r="AC104" i="25"/>
  <c r="AB104" i="25"/>
  <c r="AA104" i="25"/>
  <c r="Z104" i="25"/>
  <c r="Y104" i="25"/>
  <c r="X104" i="25"/>
  <c r="W104" i="25"/>
  <c r="V104" i="25"/>
  <c r="U104" i="25"/>
  <c r="T104" i="25"/>
  <c r="S104" i="25"/>
  <c r="R104" i="25"/>
  <c r="Q104" i="25"/>
  <c r="P104" i="25"/>
  <c r="O104" i="25"/>
  <c r="N104" i="25"/>
  <c r="M104" i="25"/>
  <c r="L104" i="25"/>
  <c r="J104" i="25"/>
  <c r="I104" i="25"/>
  <c r="I98" i="25"/>
  <c r="D102" i="25"/>
  <c r="D101" i="25"/>
  <c r="D100" i="25"/>
  <c r="D103" i="25"/>
  <c r="AD98" i="25"/>
  <c r="AC98" i="25"/>
  <c r="AB98" i="25"/>
  <c r="AA98" i="25"/>
  <c r="Z98" i="25"/>
  <c r="Y98" i="25"/>
  <c r="X98" i="25"/>
  <c r="W98" i="25"/>
  <c r="V98" i="25"/>
  <c r="U98" i="25"/>
  <c r="T98" i="25"/>
  <c r="S98" i="25"/>
  <c r="R98" i="25"/>
  <c r="Q98" i="25"/>
  <c r="P98" i="25"/>
  <c r="O98" i="25"/>
  <c r="N98" i="25"/>
  <c r="M98" i="25"/>
  <c r="L98" i="25"/>
  <c r="K98" i="25"/>
  <c r="J98" i="25"/>
  <c r="H98" i="25"/>
  <c r="G98" i="25"/>
  <c r="D95" i="25"/>
  <c r="H92" i="25"/>
  <c r="J92" i="25"/>
  <c r="I92" i="25"/>
  <c r="D96" i="25"/>
  <c r="D94" i="25"/>
  <c r="D89" i="25"/>
  <c r="I86" i="25"/>
  <c r="D91" i="25"/>
  <c r="D90" i="25"/>
  <c r="D88" i="25"/>
  <c r="D84" i="25"/>
  <c r="D83" i="25"/>
  <c r="D82" i="25"/>
  <c r="K73" i="25"/>
  <c r="G73" i="25"/>
  <c r="H73" i="25"/>
  <c r="D78" i="25"/>
  <c r="D77" i="25"/>
  <c r="D75" i="25"/>
  <c r="D76" i="25"/>
  <c r="D74" i="25"/>
  <c r="AD73" i="25"/>
  <c r="AC73" i="25"/>
  <c r="AB73" i="25"/>
  <c r="AA73" i="25"/>
  <c r="Z73" i="25"/>
  <c r="Y73" i="25"/>
  <c r="X73" i="25"/>
  <c r="W73" i="25"/>
  <c r="V73" i="25"/>
  <c r="U73" i="25"/>
  <c r="T73" i="25"/>
  <c r="S73" i="25"/>
  <c r="R73" i="25"/>
  <c r="Q73" i="25"/>
  <c r="P73" i="25"/>
  <c r="O73" i="25"/>
  <c r="N73" i="25"/>
  <c r="M73" i="25"/>
  <c r="L73" i="25"/>
  <c r="J73" i="25"/>
  <c r="I73" i="25"/>
  <c r="J67" i="25"/>
  <c r="H67" i="25"/>
  <c r="D72" i="25"/>
  <c r="D69" i="25"/>
  <c r="D70" i="25"/>
  <c r="D71" i="25"/>
  <c r="D68" i="25"/>
  <c r="AD67" i="25"/>
  <c r="AC67" i="25"/>
  <c r="AB67" i="25"/>
  <c r="AA67" i="25"/>
  <c r="Z67" i="25"/>
  <c r="Y67" i="25"/>
  <c r="X67" i="25"/>
  <c r="W67" i="25"/>
  <c r="V67" i="25"/>
  <c r="U67" i="25"/>
  <c r="T67" i="25"/>
  <c r="S67" i="25"/>
  <c r="R67" i="25"/>
  <c r="Q67" i="25"/>
  <c r="P67" i="25"/>
  <c r="O67" i="25"/>
  <c r="N67" i="25"/>
  <c r="M67" i="25"/>
  <c r="L67" i="25"/>
  <c r="K67" i="25"/>
  <c r="I67" i="25"/>
  <c r="G67" i="25"/>
  <c r="K61" i="25"/>
  <c r="H61" i="25"/>
  <c r="D66" i="25"/>
  <c r="D65" i="25"/>
  <c r="D63" i="25"/>
  <c r="D64" i="25"/>
  <c r="J55" i="25"/>
  <c r="G55" i="25"/>
  <c r="D60" i="25"/>
  <c r="D57" i="25"/>
  <c r="D58" i="25"/>
  <c r="D59" i="25"/>
  <c r="D56" i="25"/>
  <c r="D54" i="25"/>
  <c r="D53" i="25"/>
  <c r="D50" i="25"/>
  <c r="D51" i="25"/>
  <c r="D52" i="25"/>
  <c r="D39" i="25"/>
  <c r="D38" i="25"/>
  <c r="D47" i="25"/>
  <c r="D44" i="25"/>
  <c r="D45" i="25"/>
  <c r="D46" i="25"/>
  <c r="D43" i="25"/>
  <c r="D40" i="25"/>
  <c r="D41" i="25"/>
  <c r="D37" i="25"/>
  <c r="D33" i="25"/>
  <c r="D32" i="25"/>
  <c r="D34" i="25"/>
  <c r="D29" i="25"/>
  <c r="D28" i="25"/>
  <c r="D27" i="25"/>
  <c r="D22" i="25"/>
  <c r="D23" i="25"/>
  <c r="D21" i="25"/>
  <c r="AE223" i="25"/>
  <c r="AD220" i="25"/>
  <c r="R220" i="25"/>
  <c r="S220" i="25"/>
  <c r="T220" i="25"/>
  <c r="U220" i="25"/>
  <c r="V220" i="25"/>
  <c r="W220" i="25"/>
  <c r="X220" i="25"/>
  <c r="Y220" i="25"/>
  <c r="Z220" i="25"/>
  <c r="AA220" i="25"/>
  <c r="AB220" i="25"/>
  <c r="AC220" i="25"/>
  <c r="AD214" i="25"/>
  <c r="R214" i="25"/>
  <c r="S214" i="25"/>
  <c r="T214" i="25"/>
  <c r="U214" i="25"/>
  <c r="V214" i="25"/>
  <c r="W214" i="25"/>
  <c r="X214" i="25"/>
  <c r="Y214" i="25"/>
  <c r="Z214" i="25"/>
  <c r="AA214" i="25"/>
  <c r="AB214" i="25"/>
  <c r="AC214" i="25"/>
  <c r="R55" i="25"/>
  <c r="S55" i="25"/>
  <c r="T55" i="25"/>
  <c r="U55" i="25"/>
  <c r="V55" i="25"/>
  <c r="W55" i="25"/>
  <c r="X55" i="25"/>
  <c r="Y55" i="25"/>
  <c r="Z55" i="25"/>
  <c r="AA55" i="25"/>
  <c r="AB55" i="25"/>
  <c r="AC55" i="25"/>
  <c r="AD55" i="25"/>
  <c r="R61" i="25"/>
  <c r="S61" i="25"/>
  <c r="T61" i="25"/>
  <c r="U61" i="25"/>
  <c r="V61" i="25"/>
  <c r="W61" i="25"/>
  <c r="X61" i="25"/>
  <c r="Y61" i="25"/>
  <c r="Z61" i="25"/>
  <c r="AA61" i="25"/>
  <c r="AB61" i="25"/>
  <c r="AC61" i="25"/>
  <c r="AD61" i="25"/>
  <c r="R80" i="25"/>
  <c r="S80" i="25"/>
  <c r="T80" i="25"/>
  <c r="U80" i="25"/>
  <c r="V80" i="25"/>
  <c r="W80" i="25"/>
  <c r="X80" i="25"/>
  <c r="Y80" i="25"/>
  <c r="Z80" i="25"/>
  <c r="AA80" i="25"/>
  <c r="AB80" i="25"/>
  <c r="AC80" i="25"/>
  <c r="AD80" i="25"/>
  <c r="R86" i="25"/>
  <c r="S86" i="25"/>
  <c r="T86" i="25"/>
  <c r="U86" i="25"/>
  <c r="V86" i="25"/>
  <c r="W86" i="25"/>
  <c r="X86" i="25"/>
  <c r="Y86" i="25"/>
  <c r="Z86" i="25"/>
  <c r="AA86" i="25"/>
  <c r="AB86" i="25"/>
  <c r="AC86" i="25"/>
  <c r="AD86" i="25"/>
  <c r="R92" i="25"/>
  <c r="S92" i="25"/>
  <c r="T92" i="25"/>
  <c r="U92" i="25"/>
  <c r="V92" i="25"/>
  <c r="W92" i="25"/>
  <c r="X92" i="25"/>
  <c r="Y92" i="25"/>
  <c r="Z92" i="25"/>
  <c r="AA92" i="25"/>
  <c r="AB92" i="25"/>
  <c r="AC92" i="25"/>
  <c r="AD92" i="25"/>
  <c r="R111" i="25"/>
  <c r="S111" i="25"/>
  <c r="T111" i="25"/>
  <c r="U111" i="25"/>
  <c r="V111" i="25"/>
  <c r="W111" i="25"/>
  <c r="X111" i="25"/>
  <c r="Y111" i="25"/>
  <c r="Z111" i="25"/>
  <c r="AA111" i="25"/>
  <c r="AB111" i="25"/>
  <c r="AC111" i="25"/>
  <c r="AD111" i="25"/>
  <c r="R117" i="25"/>
  <c r="S117" i="25"/>
  <c r="T117" i="25"/>
  <c r="U117" i="25"/>
  <c r="V117" i="25"/>
  <c r="W117" i="25"/>
  <c r="X117" i="25"/>
  <c r="Y117" i="25"/>
  <c r="Z117" i="25"/>
  <c r="AA117" i="25"/>
  <c r="AB117" i="25"/>
  <c r="AC117" i="25"/>
  <c r="AD117" i="25"/>
  <c r="R123" i="25"/>
  <c r="S123" i="25"/>
  <c r="T123" i="25"/>
  <c r="U123" i="25"/>
  <c r="V123" i="25"/>
  <c r="W123" i="25"/>
  <c r="X123" i="25"/>
  <c r="Y123" i="25"/>
  <c r="Z123" i="25"/>
  <c r="AA123" i="25"/>
  <c r="AB123" i="25"/>
  <c r="AC123" i="25"/>
  <c r="AD123" i="25"/>
  <c r="R142" i="25"/>
  <c r="S142" i="25"/>
  <c r="T142" i="25"/>
  <c r="U142" i="25"/>
  <c r="V142" i="25"/>
  <c r="W142" i="25"/>
  <c r="X142" i="25"/>
  <c r="Y142" i="25"/>
  <c r="Z142" i="25"/>
  <c r="AA142" i="25"/>
  <c r="AB142" i="25"/>
  <c r="AC142" i="25"/>
  <c r="AD142" i="25"/>
  <c r="R148" i="25"/>
  <c r="S148" i="25"/>
  <c r="T148" i="25"/>
  <c r="U148" i="25"/>
  <c r="V148" i="25"/>
  <c r="W148" i="25"/>
  <c r="X148" i="25"/>
  <c r="Y148" i="25"/>
  <c r="Z148" i="25"/>
  <c r="AA148" i="25"/>
  <c r="AB148" i="25"/>
  <c r="AC148" i="25"/>
  <c r="AD148" i="25"/>
  <c r="R154" i="25"/>
  <c r="S154" i="25"/>
  <c r="T154" i="25"/>
  <c r="U154" i="25"/>
  <c r="V154" i="25"/>
  <c r="W154" i="25"/>
  <c r="X154" i="25"/>
  <c r="Y154" i="25"/>
  <c r="Z154" i="25"/>
  <c r="AA154" i="25"/>
  <c r="AB154" i="25"/>
  <c r="AC154" i="25"/>
  <c r="AD154" i="25"/>
  <c r="O150" i="53"/>
  <c r="P150" i="53"/>
  <c r="Q150" i="53"/>
  <c r="R150" i="53"/>
  <c r="S150" i="53"/>
  <c r="T150" i="53"/>
  <c r="U12" i="53"/>
  <c r="U13" i="53"/>
  <c r="U14" i="53"/>
  <c r="U15" i="53"/>
  <c r="U16" i="53"/>
  <c r="U17" i="53"/>
  <c r="U18" i="53"/>
  <c r="U19" i="53"/>
  <c r="U20" i="53"/>
  <c r="U21" i="53"/>
  <c r="U22" i="53"/>
  <c r="U23" i="53"/>
  <c r="U24" i="53"/>
  <c r="U25" i="53"/>
  <c r="U26" i="53"/>
  <c r="U27" i="53"/>
  <c r="U28" i="53"/>
  <c r="U29" i="53"/>
  <c r="U30" i="53"/>
  <c r="U31" i="53"/>
  <c r="U32" i="53"/>
  <c r="U33" i="53"/>
  <c r="U34" i="53"/>
  <c r="U35" i="53"/>
  <c r="U36" i="53"/>
  <c r="U37" i="53"/>
  <c r="U38" i="53"/>
  <c r="U39" i="53"/>
  <c r="U40" i="53"/>
  <c r="U41" i="53"/>
  <c r="U42" i="53"/>
  <c r="U43" i="53"/>
  <c r="U44" i="53"/>
  <c r="U45" i="53"/>
  <c r="U46" i="53"/>
  <c r="U47" i="53"/>
  <c r="U48" i="53"/>
  <c r="U49" i="53"/>
  <c r="U50" i="53"/>
  <c r="U51" i="53"/>
  <c r="U52" i="53"/>
  <c r="U53" i="53"/>
  <c r="U54" i="53"/>
  <c r="U55" i="53"/>
  <c r="U56" i="53"/>
  <c r="U57" i="53"/>
  <c r="U58" i="53"/>
  <c r="U59" i="53"/>
  <c r="U60" i="53"/>
  <c r="U63" i="53"/>
  <c r="U64" i="53"/>
  <c r="U65" i="53"/>
  <c r="U66" i="53"/>
  <c r="U67" i="53"/>
  <c r="U68" i="53"/>
  <c r="U69" i="53"/>
  <c r="U70" i="53"/>
  <c r="U71" i="53"/>
  <c r="U72" i="53"/>
  <c r="U73" i="53"/>
  <c r="U74" i="53"/>
  <c r="U75" i="53"/>
  <c r="U76" i="53"/>
  <c r="U77" i="53"/>
  <c r="U78" i="53"/>
  <c r="U79" i="53"/>
  <c r="U80" i="53"/>
  <c r="U81" i="53"/>
  <c r="U82" i="53"/>
  <c r="U83" i="53"/>
  <c r="U84" i="53"/>
  <c r="U85" i="53"/>
  <c r="U86" i="53"/>
  <c r="U87" i="53"/>
  <c r="U88" i="53"/>
  <c r="U89" i="53"/>
  <c r="U90" i="53"/>
  <c r="U91" i="53"/>
  <c r="U92" i="53"/>
  <c r="U93" i="53"/>
  <c r="U94" i="53"/>
  <c r="U95" i="53"/>
  <c r="U96" i="53"/>
  <c r="U97" i="53"/>
  <c r="U98" i="53"/>
  <c r="U105" i="53"/>
  <c r="U106" i="53"/>
  <c r="U107" i="53"/>
  <c r="U108" i="53"/>
  <c r="U109" i="53"/>
  <c r="U110" i="53"/>
  <c r="U111" i="53"/>
  <c r="U112" i="53"/>
  <c r="U113" i="53"/>
  <c r="U114" i="53"/>
  <c r="U115" i="53"/>
  <c r="U116" i="53"/>
  <c r="U117" i="53"/>
  <c r="U118" i="53"/>
  <c r="U119" i="53"/>
  <c r="U120" i="53"/>
  <c r="U121" i="53"/>
  <c r="U122" i="53"/>
  <c r="U123" i="53"/>
  <c r="U124" i="53"/>
  <c r="U125" i="53"/>
  <c r="U126" i="53"/>
  <c r="U127" i="53"/>
  <c r="U128" i="53"/>
  <c r="U129" i="53"/>
  <c r="U130" i="53"/>
  <c r="U131" i="53"/>
  <c r="U132" i="53"/>
  <c r="U133" i="53"/>
  <c r="U134" i="53"/>
  <c r="U135" i="53"/>
  <c r="U136" i="53"/>
  <c r="U137" i="53"/>
  <c r="U138" i="53"/>
  <c r="U139" i="53"/>
  <c r="U140" i="53"/>
  <c r="U141" i="53"/>
  <c r="U142" i="53"/>
  <c r="U143" i="53"/>
  <c r="U144" i="53"/>
  <c r="U145" i="53"/>
  <c r="U146" i="53"/>
  <c r="U147" i="53"/>
  <c r="U148" i="53"/>
  <c r="J127" i="26"/>
  <c r="K127" i="26"/>
  <c r="L127" i="26"/>
  <c r="M127" i="26"/>
  <c r="N127" i="26"/>
  <c r="O127" i="26"/>
  <c r="O226" i="80" l="1"/>
  <c r="P222" i="80"/>
  <c r="L226" i="79"/>
  <c r="M222" i="79"/>
  <c r="F142" i="78"/>
  <c r="G166" i="78"/>
  <c r="R110" i="25"/>
  <c r="R141" i="25"/>
  <c r="AE98" i="25"/>
  <c r="AE67" i="25"/>
  <c r="AE73" i="25"/>
  <c r="AE104" i="25"/>
  <c r="R79" i="25"/>
  <c r="Z79" i="25"/>
  <c r="AA110" i="25"/>
  <c r="X141" i="25"/>
  <c r="Y79" i="25"/>
  <c r="S79" i="25"/>
  <c r="AA79" i="25"/>
  <c r="AB110" i="25"/>
  <c r="T110" i="25"/>
  <c r="T79" i="25"/>
  <c r="AB79" i="25"/>
  <c r="AB141" i="25"/>
  <c r="U79" i="25"/>
  <c r="AC79" i="25"/>
  <c r="T141" i="25"/>
  <c r="V79" i="25"/>
  <c r="AD79" i="25"/>
  <c r="W79" i="25"/>
  <c r="X79" i="25"/>
  <c r="AC110" i="25"/>
  <c r="U110" i="25"/>
  <c r="AA141" i="25"/>
  <c r="S141" i="25"/>
  <c r="S110" i="25"/>
  <c r="Y110" i="25"/>
  <c r="W141" i="25"/>
  <c r="X110" i="25"/>
  <c r="AD141" i="25"/>
  <c r="AC141" i="25"/>
  <c r="U141" i="25"/>
  <c r="AD110" i="25"/>
  <c r="V110" i="25"/>
  <c r="Z141" i="25"/>
  <c r="Y141" i="25"/>
  <c r="Z110" i="25"/>
  <c r="V141" i="25"/>
  <c r="W110" i="25"/>
  <c r="K256" i="76"/>
  <c r="K246" i="76"/>
  <c r="K247" i="76"/>
  <c r="K248" i="76"/>
  <c r="K249" i="76"/>
  <c r="K250" i="76"/>
  <c r="K251" i="76"/>
  <c r="K252" i="76"/>
  <c r="K253" i="76"/>
  <c r="K17" i="76"/>
  <c r="K18" i="76"/>
  <c r="K19" i="76"/>
  <c r="K20" i="76"/>
  <c r="K21" i="76"/>
  <c r="K22" i="76"/>
  <c r="K23" i="76"/>
  <c r="K24" i="76"/>
  <c r="K25" i="76"/>
  <c r="K26" i="76"/>
  <c r="K27" i="76"/>
  <c r="K28" i="76"/>
  <c r="K29" i="76"/>
  <c r="K30" i="76"/>
  <c r="K31" i="76"/>
  <c r="K32" i="76"/>
  <c r="K33" i="76"/>
  <c r="K34" i="76"/>
  <c r="K35" i="76"/>
  <c r="K36" i="76"/>
  <c r="K37" i="76"/>
  <c r="K38" i="76"/>
  <c r="K39" i="76"/>
  <c r="K40" i="76"/>
  <c r="K41" i="76"/>
  <c r="K42" i="76"/>
  <c r="K43" i="76"/>
  <c r="K44" i="76"/>
  <c r="K45" i="76"/>
  <c r="K46" i="76"/>
  <c r="K47" i="76"/>
  <c r="K48" i="76"/>
  <c r="K49" i="76"/>
  <c r="K50" i="76"/>
  <c r="K51" i="76"/>
  <c r="K52" i="76"/>
  <c r="K53" i="76"/>
  <c r="K54" i="76"/>
  <c r="K55" i="76"/>
  <c r="K56" i="76"/>
  <c r="K57" i="76"/>
  <c r="K58" i="76"/>
  <c r="K59" i="76"/>
  <c r="K60" i="76"/>
  <c r="K61" i="76"/>
  <c r="K62" i="76"/>
  <c r="K63" i="76"/>
  <c r="K64" i="76"/>
  <c r="K65" i="76"/>
  <c r="K66" i="76"/>
  <c r="K67" i="76"/>
  <c r="K68" i="76"/>
  <c r="K69" i="76"/>
  <c r="K70" i="76"/>
  <c r="K71" i="76"/>
  <c r="K72" i="76"/>
  <c r="K73" i="76"/>
  <c r="K74" i="76"/>
  <c r="K75" i="76"/>
  <c r="K76" i="76"/>
  <c r="K77" i="76"/>
  <c r="K78" i="76"/>
  <c r="K79" i="76"/>
  <c r="K80" i="76"/>
  <c r="K81" i="76"/>
  <c r="K82" i="76"/>
  <c r="K83" i="76"/>
  <c r="K84" i="76"/>
  <c r="K85" i="76"/>
  <c r="K86" i="76"/>
  <c r="K87" i="76"/>
  <c r="K88" i="76"/>
  <c r="K89" i="76"/>
  <c r="K90" i="76"/>
  <c r="K91" i="76"/>
  <c r="K92" i="76"/>
  <c r="K93" i="76"/>
  <c r="K94" i="76"/>
  <c r="K95" i="76"/>
  <c r="K96" i="76"/>
  <c r="K97" i="76"/>
  <c r="K98" i="76"/>
  <c r="K99" i="76"/>
  <c r="K100" i="76"/>
  <c r="K101" i="76"/>
  <c r="K102" i="76"/>
  <c r="K103" i="76"/>
  <c r="K104" i="76"/>
  <c r="K105" i="76"/>
  <c r="K106" i="76"/>
  <c r="K107" i="76"/>
  <c r="K108" i="76"/>
  <c r="K109" i="76"/>
  <c r="K110" i="76"/>
  <c r="K111" i="76"/>
  <c r="K112" i="76"/>
  <c r="K113" i="76"/>
  <c r="K114" i="76"/>
  <c r="K115" i="76"/>
  <c r="K116" i="76"/>
  <c r="K117" i="76"/>
  <c r="K118" i="76"/>
  <c r="K119" i="76"/>
  <c r="K120" i="76"/>
  <c r="K121" i="76"/>
  <c r="K122" i="76"/>
  <c r="K123" i="76"/>
  <c r="K124" i="76"/>
  <c r="K125" i="76"/>
  <c r="K126" i="76"/>
  <c r="K127" i="76"/>
  <c r="K128" i="76"/>
  <c r="K129" i="76"/>
  <c r="K130" i="76"/>
  <c r="K131" i="76"/>
  <c r="K132" i="76"/>
  <c r="K133" i="76"/>
  <c r="K134" i="76"/>
  <c r="K135" i="76"/>
  <c r="K136" i="76"/>
  <c r="K137" i="76"/>
  <c r="K138" i="76"/>
  <c r="K139" i="76"/>
  <c r="K140" i="76"/>
  <c r="K141" i="76"/>
  <c r="K142" i="76"/>
  <c r="K143" i="76"/>
  <c r="K144" i="76"/>
  <c r="K145" i="76"/>
  <c r="K146" i="76"/>
  <c r="K147" i="76"/>
  <c r="K148" i="76"/>
  <c r="K149" i="76"/>
  <c r="K150" i="76"/>
  <c r="K151" i="76"/>
  <c r="K152" i="76"/>
  <c r="K153" i="76"/>
  <c r="K154" i="76"/>
  <c r="K155" i="76"/>
  <c r="K156" i="76"/>
  <c r="K157" i="76"/>
  <c r="K158" i="76"/>
  <c r="K159" i="76"/>
  <c r="K160" i="76"/>
  <c r="K161" i="76"/>
  <c r="K162" i="76"/>
  <c r="K163" i="76"/>
  <c r="K164" i="76"/>
  <c r="K165" i="76"/>
  <c r="K166" i="76"/>
  <c r="K167" i="76"/>
  <c r="K168" i="76"/>
  <c r="K169" i="76"/>
  <c r="K170" i="76"/>
  <c r="K171" i="76"/>
  <c r="K172" i="76"/>
  <c r="K173" i="76"/>
  <c r="K174" i="76"/>
  <c r="K175" i="76"/>
  <c r="K176" i="76"/>
  <c r="K177" i="76"/>
  <c r="K178" i="76"/>
  <c r="K179" i="76"/>
  <c r="K180" i="76"/>
  <c r="K181" i="76"/>
  <c r="K182" i="76"/>
  <c r="K183" i="76"/>
  <c r="K184" i="76"/>
  <c r="K185" i="76"/>
  <c r="K186" i="76"/>
  <c r="K187" i="76"/>
  <c r="K188" i="76"/>
  <c r="K189" i="76"/>
  <c r="K190" i="76"/>
  <c r="K191" i="76"/>
  <c r="K192" i="76"/>
  <c r="K193" i="76"/>
  <c r="K194" i="76"/>
  <c r="K195" i="76"/>
  <c r="K196" i="76"/>
  <c r="K197" i="76"/>
  <c r="K198" i="76"/>
  <c r="K199" i="76"/>
  <c r="K200" i="76"/>
  <c r="K201" i="76"/>
  <c r="K202" i="76"/>
  <c r="K203" i="76"/>
  <c r="K204" i="76"/>
  <c r="K205" i="76"/>
  <c r="K206" i="76"/>
  <c r="K207" i="76"/>
  <c r="K208" i="76"/>
  <c r="K263" i="76"/>
  <c r="E14" i="23"/>
  <c r="F14" i="23" s="1"/>
  <c r="E15" i="23"/>
  <c r="F15" i="23" s="1"/>
  <c r="E16" i="23"/>
  <c r="F16" i="23" s="1"/>
  <c r="E17" i="23"/>
  <c r="F17" i="23"/>
  <c r="E18" i="23"/>
  <c r="F18" i="23" s="1"/>
  <c r="E19" i="23"/>
  <c r="F19" i="23" s="1"/>
  <c r="E20" i="23"/>
  <c r="F20" i="23" s="1"/>
  <c r="E21" i="23"/>
  <c r="F21" i="23" s="1"/>
  <c r="E22" i="23"/>
  <c r="F22" i="23" s="1"/>
  <c r="E23" i="23"/>
  <c r="F23" i="23" s="1"/>
  <c r="E24" i="23"/>
  <c r="F24" i="23" s="1"/>
  <c r="E25" i="23"/>
  <c r="F25" i="23" s="1"/>
  <c r="E26" i="23"/>
  <c r="F26" i="23" s="1"/>
  <c r="E27" i="23"/>
  <c r="F27" i="23" s="1"/>
  <c r="E28" i="23"/>
  <c r="F28" i="23" s="1"/>
  <c r="E29" i="23"/>
  <c r="F29" i="23" s="1"/>
  <c r="E30" i="23"/>
  <c r="F30" i="23" s="1"/>
  <c r="E31" i="23"/>
  <c r="F31" i="23" s="1"/>
  <c r="E32" i="23"/>
  <c r="F32" i="23" s="1"/>
  <c r="E33" i="23"/>
  <c r="F33" i="23" s="1"/>
  <c r="E34" i="23"/>
  <c r="F34" i="23" s="1"/>
  <c r="E35" i="23"/>
  <c r="F35" i="23" s="1"/>
  <c r="E36" i="23"/>
  <c r="F36" i="23" s="1"/>
  <c r="E37" i="23"/>
  <c r="F37" i="23" s="1"/>
  <c r="E38" i="23"/>
  <c r="F38" i="23" s="1"/>
  <c r="E39" i="23"/>
  <c r="F39" i="23" s="1"/>
  <c r="E40" i="23"/>
  <c r="F40" i="23" s="1"/>
  <c r="E41" i="23"/>
  <c r="F41" i="23" s="1"/>
  <c r="E42" i="23"/>
  <c r="F42" i="23" s="1"/>
  <c r="E43" i="23"/>
  <c r="F43" i="23" s="1"/>
  <c r="E44" i="23"/>
  <c r="F44" i="23" s="1"/>
  <c r="E45" i="23"/>
  <c r="F45" i="23"/>
  <c r="E46" i="23"/>
  <c r="F46" i="23" s="1"/>
  <c r="M354" i="49"/>
  <c r="M13" i="49"/>
  <c r="M14" i="49"/>
  <c r="M15" i="49"/>
  <c r="M16" i="49"/>
  <c r="M17" i="49"/>
  <c r="M18" i="49"/>
  <c r="M19" i="49"/>
  <c r="M20" i="49"/>
  <c r="M21" i="49"/>
  <c r="M22" i="49"/>
  <c r="M23" i="49"/>
  <c r="M24" i="49"/>
  <c r="M25" i="49"/>
  <c r="M26" i="49"/>
  <c r="M27" i="49"/>
  <c r="M28" i="49"/>
  <c r="M29" i="49"/>
  <c r="M30" i="49"/>
  <c r="M31" i="49"/>
  <c r="M32" i="49"/>
  <c r="M33" i="49"/>
  <c r="M34" i="49"/>
  <c r="M35" i="49"/>
  <c r="M36" i="49"/>
  <c r="M37" i="49"/>
  <c r="M38" i="49"/>
  <c r="M39" i="49"/>
  <c r="M40" i="49"/>
  <c r="M41" i="49"/>
  <c r="M42" i="49"/>
  <c r="M43" i="49"/>
  <c r="M44" i="49"/>
  <c r="M45" i="49"/>
  <c r="M46" i="49"/>
  <c r="M47" i="49"/>
  <c r="M48" i="49"/>
  <c r="M49" i="49"/>
  <c r="M50" i="49"/>
  <c r="M51" i="49"/>
  <c r="M52" i="49"/>
  <c r="M53" i="49"/>
  <c r="M54" i="49"/>
  <c r="M55" i="49"/>
  <c r="M56" i="49"/>
  <c r="M57" i="49"/>
  <c r="M58" i="49"/>
  <c r="M59" i="49"/>
  <c r="M60" i="49"/>
  <c r="M61" i="49"/>
  <c r="M62" i="49"/>
  <c r="M63" i="49"/>
  <c r="M64" i="49"/>
  <c r="M65" i="49"/>
  <c r="M66" i="49"/>
  <c r="M67" i="49"/>
  <c r="M68" i="49"/>
  <c r="M69" i="49"/>
  <c r="M70" i="49"/>
  <c r="M71" i="49"/>
  <c r="M72" i="49"/>
  <c r="M73" i="49"/>
  <c r="M74" i="49"/>
  <c r="M75" i="49"/>
  <c r="M76" i="49"/>
  <c r="M77" i="49"/>
  <c r="M78" i="49"/>
  <c r="M79" i="49"/>
  <c r="M80" i="49"/>
  <c r="M81" i="49"/>
  <c r="M82" i="49"/>
  <c r="M83" i="49"/>
  <c r="M84" i="49"/>
  <c r="M85" i="49"/>
  <c r="M86" i="49"/>
  <c r="M87" i="49"/>
  <c r="M88" i="49"/>
  <c r="M89" i="49"/>
  <c r="M90" i="49"/>
  <c r="M91" i="49"/>
  <c r="M92" i="49"/>
  <c r="M93" i="49"/>
  <c r="M94" i="49"/>
  <c r="M95" i="49"/>
  <c r="M96" i="49"/>
  <c r="M97" i="49"/>
  <c r="M98" i="49"/>
  <c r="M99" i="49"/>
  <c r="M100" i="49"/>
  <c r="M101" i="49"/>
  <c r="M102" i="49"/>
  <c r="M103" i="49"/>
  <c r="M104" i="49"/>
  <c r="M105" i="49"/>
  <c r="M106" i="49"/>
  <c r="M107" i="49"/>
  <c r="M108" i="49"/>
  <c r="M109" i="49"/>
  <c r="M110" i="49"/>
  <c r="M111" i="49"/>
  <c r="M112" i="49"/>
  <c r="M113" i="49"/>
  <c r="M114" i="49"/>
  <c r="M115" i="49"/>
  <c r="M116" i="49"/>
  <c r="M117" i="49"/>
  <c r="M118" i="49"/>
  <c r="M119" i="49"/>
  <c r="M120" i="49"/>
  <c r="M121" i="49"/>
  <c r="M122" i="49"/>
  <c r="M123" i="49"/>
  <c r="M124" i="49"/>
  <c r="M125" i="49"/>
  <c r="M126" i="49"/>
  <c r="M127" i="49"/>
  <c r="M128" i="49"/>
  <c r="M129" i="49"/>
  <c r="M130" i="49"/>
  <c r="M131" i="49"/>
  <c r="M132" i="49"/>
  <c r="M133" i="49"/>
  <c r="M134" i="49"/>
  <c r="M135" i="49"/>
  <c r="M136" i="49"/>
  <c r="M137" i="49"/>
  <c r="M138" i="49"/>
  <c r="M139" i="49"/>
  <c r="M140" i="49"/>
  <c r="M141" i="49"/>
  <c r="M142" i="49"/>
  <c r="M143" i="49"/>
  <c r="M144" i="49"/>
  <c r="M145" i="49"/>
  <c r="M146" i="49"/>
  <c r="M147" i="49"/>
  <c r="M148" i="49"/>
  <c r="M149" i="49"/>
  <c r="M150" i="49"/>
  <c r="M151" i="49"/>
  <c r="M152" i="49"/>
  <c r="M153" i="49"/>
  <c r="M154" i="49"/>
  <c r="M155" i="49"/>
  <c r="M156" i="49"/>
  <c r="M157" i="49"/>
  <c r="M158" i="49"/>
  <c r="M159" i="49"/>
  <c r="M160" i="49"/>
  <c r="M161" i="49"/>
  <c r="M162" i="49"/>
  <c r="M163" i="49"/>
  <c r="M164" i="49"/>
  <c r="M165" i="49"/>
  <c r="M166" i="49"/>
  <c r="M167" i="49"/>
  <c r="M168" i="49"/>
  <c r="M169" i="49"/>
  <c r="M170" i="49"/>
  <c r="M171" i="49"/>
  <c r="M172" i="49"/>
  <c r="M173" i="49"/>
  <c r="M174" i="49"/>
  <c r="M175" i="49"/>
  <c r="M176" i="49"/>
  <c r="M177" i="49"/>
  <c r="M178" i="49"/>
  <c r="M179" i="49"/>
  <c r="M180" i="49"/>
  <c r="M181" i="49"/>
  <c r="M182" i="49"/>
  <c r="M183" i="49"/>
  <c r="M184" i="49"/>
  <c r="M185" i="49"/>
  <c r="M186" i="49"/>
  <c r="M187" i="49"/>
  <c r="M188" i="49"/>
  <c r="M189" i="49"/>
  <c r="M190" i="49"/>
  <c r="M191" i="49"/>
  <c r="M192" i="49"/>
  <c r="M193" i="49"/>
  <c r="M194" i="49"/>
  <c r="M195" i="49"/>
  <c r="M196" i="49"/>
  <c r="M197" i="49"/>
  <c r="M198" i="49"/>
  <c r="M199" i="49"/>
  <c r="M200" i="49"/>
  <c r="M201" i="49"/>
  <c r="M202" i="49"/>
  <c r="M203" i="49"/>
  <c r="M204" i="49"/>
  <c r="M205" i="49"/>
  <c r="M206" i="49"/>
  <c r="M207" i="49"/>
  <c r="M208" i="49"/>
  <c r="M209" i="49"/>
  <c r="M210" i="49"/>
  <c r="M211" i="49"/>
  <c r="M212" i="49"/>
  <c r="M213" i="49"/>
  <c r="M214" i="49"/>
  <c r="M215" i="49"/>
  <c r="M216" i="49"/>
  <c r="M217" i="49"/>
  <c r="M218" i="49"/>
  <c r="M219" i="49"/>
  <c r="M220" i="49"/>
  <c r="M221" i="49"/>
  <c r="M222" i="49"/>
  <c r="M223" i="49"/>
  <c r="M224" i="49"/>
  <c r="M225" i="49"/>
  <c r="M226" i="49"/>
  <c r="M227" i="49"/>
  <c r="M228" i="49"/>
  <c r="M229" i="49"/>
  <c r="M230" i="49"/>
  <c r="M231" i="49"/>
  <c r="M232" i="49"/>
  <c r="M233" i="49"/>
  <c r="M234" i="49"/>
  <c r="M235" i="49"/>
  <c r="M236" i="49"/>
  <c r="M237" i="49"/>
  <c r="M238" i="49"/>
  <c r="M239" i="49"/>
  <c r="M240" i="49"/>
  <c r="M241" i="49"/>
  <c r="M242" i="49"/>
  <c r="M243" i="49"/>
  <c r="M244" i="49"/>
  <c r="M245" i="49"/>
  <c r="M246" i="49"/>
  <c r="M247" i="49"/>
  <c r="M248" i="49"/>
  <c r="M249" i="49"/>
  <c r="M250" i="49"/>
  <c r="M251" i="49"/>
  <c r="M252" i="49"/>
  <c r="M253" i="49"/>
  <c r="M254" i="49"/>
  <c r="M255" i="49"/>
  <c r="M256" i="49"/>
  <c r="M257" i="49"/>
  <c r="M258" i="49"/>
  <c r="M259" i="49"/>
  <c r="M260" i="49"/>
  <c r="M261" i="49"/>
  <c r="M262" i="49"/>
  <c r="M263" i="49"/>
  <c r="M264" i="49"/>
  <c r="M265" i="49"/>
  <c r="M266" i="49"/>
  <c r="M267" i="49"/>
  <c r="M268" i="49"/>
  <c r="M269" i="49"/>
  <c r="M270" i="49"/>
  <c r="M271" i="49"/>
  <c r="M272" i="49"/>
  <c r="M273" i="49"/>
  <c r="M274" i="49"/>
  <c r="M275" i="49"/>
  <c r="M276" i="49"/>
  <c r="M277" i="49"/>
  <c r="M278" i="49"/>
  <c r="M279" i="49"/>
  <c r="M280" i="49"/>
  <c r="M281" i="49"/>
  <c r="M282" i="49"/>
  <c r="M283" i="49"/>
  <c r="M284" i="49"/>
  <c r="M285" i="49"/>
  <c r="M286" i="49"/>
  <c r="M287" i="49"/>
  <c r="M288" i="49"/>
  <c r="M289" i="49"/>
  <c r="M290" i="49"/>
  <c r="M291" i="49"/>
  <c r="M292" i="49"/>
  <c r="M293" i="49"/>
  <c r="M294" i="49"/>
  <c r="M295" i="49"/>
  <c r="M296" i="49"/>
  <c r="M297" i="49"/>
  <c r="M298" i="49"/>
  <c r="M299" i="49"/>
  <c r="M300" i="49"/>
  <c r="M301" i="49"/>
  <c r="M302" i="49"/>
  <c r="M303" i="49"/>
  <c r="M304" i="49"/>
  <c r="M305" i="49"/>
  <c r="M306" i="49"/>
  <c r="M307" i="49"/>
  <c r="M308" i="49"/>
  <c r="M309" i="49"/>
  <c r="M310" i="49"/>
  <c r="M311" i="49"/>
  <c r="M312" i="49"/>
  <c r="M313" i="49"/>
  <c r="M314" i="49"/>
  <c r="M315" i="49"/>
  <c r="M316" i="49"/>
  <c r="M317" i="49"/>
  <c r="M318" i="49"/>
  <c r="M319" i="49"/>
  <c r="M320" i="49"/>
  <c r="M321" i="49"/>
  <c r="M322" i="49"/>
  <c r="M323" i="49"/>
  <c r="M324" i="49"/>
  <c r="M325" i="49"/>
  <c r="M326" i="49"/>
  <c r="M327" i="49"/>
  <c r="M328" i="49"/>
  <c r="M329" i="49"/>
  <c r="M330" i="49"/>
  <c r="M331" i="49"/>
  <c r="M332" i="49"/>
  <c r="M333" i="49"/>
  <c r="M334" i="49"/>
  <c r="M335" i="49"/>
  <c r="M336" i="49"/>
  <c r="M337" i="49"/>
  <c r="M338" i="49"/>
  <c r="M339" i="49"/>
  <c r="M340" i="49"/>
  <c r="M341" i="49"/>
  <c r="M342" i="49"/>
  <c r="M343" i="49"/>
  <c r="M344" i="49"/>
  <c r="M345" i="49"/>
  <c r="M346" i="49"/>
  <c r="M347" i="49"/>
  <c r="M348" i="49"/>
  <c r="M349" i="49"/>
  <c r="M350" i="49"/>
  <c r="M351" i="49"/>
  <c r="M352" i="49"/>
  <c r="M353" i="49"/>
  <c r="M12" i="49"/>
  <c r="K13" i="49"/>
  <c r="K14" i="49"/>
  <c r="K15" i="49"/>
  <c r="K16" i="49"/>
  <c r="K17" i="49"/>
  <c r="K18" i="49"/>
  <c r="K19" i="49"/>
  <c r="K20" i="49"/>
  <c r="K21" i="49"/>
  <c r="K22" i="49"/>
  <c r="K23" i="49"/>
  <c r="K24" i="49"/>
  <c r="K25" i="49"/>
  <c r="K26" i="49"/>
  <c r="K27" i="49"/>
  <c r="K28" i="49"/>
  <c r="K29" i="49"/>
  <c r="K30" i="49"/>
  <c r="K31" i="49"/>
  <c r="K32" i="49"/>
  <c r="K33" i="49"/>
  <c r="K34" i="49"/>
  <c r="K35" i="49"/>
  <c r="K36" i="49"/>
  <c r="K37" i="49"/>
  <c r="K38" i="49"/>
  <c r="K39" i="49"/>
  <c r="K40" i="49"/>
  <c r="K41" i="49"/>
  <c r="K42" i="49"/>
  <c r="K43" i="49"/>
  <c r="K44" i="49"/>
  <c r="K45" i="49"/>
  <c r="K46" i="49"/>
  <c r="K47" i="49"/>
  <c r="K48" i="49"/>
  <c r="K49" i="49"/>
  <c r="K50" i="49"/>
  <c r="K51" i="49"/>
  <c r="K52" i="49"/>
  <c r="K53" i="49"/>
  <c r="K54" i="49"/>
  <c r="K55" i="49"/>
  <c r="K56" i="49"/>
  <c r="K57" i="49"/>
  <c r="K58" i="49"/>
  <c r="K59" i="49"/>
  <c r="K60" i="49"/>
  <c r="K61" i="49"/>
  <c r="K62" i="49"/>
  <c r="K63" i="49"/>
  <c r="K64" i="49"/>
  <c r="K65" i="49"/>
  <c r="K66" i="49"/>
  <c r="K67" i="49"/>
  <c r="K68" i="49"/>
  <c r="K69" i="49"/>
  <c r="K70" i="49"/>
  <c r="K71" i="49"/>
  <c r="K72" i="49"/>
  <c r="K73" i="49"/>
  <c r="K74" i="49"/>
  <c r="K75" i="49"/>
  <c r="K76" i="49"/>
  <c r="K77" i="49"/>
  <c r="K78" i="49"/>
  <c r="K79" i="49"/>
  <c r="K80" i="49"/>
  <c r="K81" i="49"/>
  <c r="K82" i="49"/>
  <c r="K83" i="49"/>
  <c r="K84" i="49"/>
  <c r="K85" i="49"/>
  <c r="K86" i="49"/>
  <c r="K87" i="49"/>
  <c r="K88" i="49"/>
  <c r="K89" i="49"/>
  <c r="K90" i="49"/>
  <c r="K91" i="49"/>
  <c r="K92" i="49"/>
  <c r="K93" i="49"/>
  <c r="K94" i="49"/>
  <c r="K95" i="49"/>
  <c r="K96" i="49"/>
  <c r="K97" i="49"/>
  <c r="K98" i="49"/>
  <c r="K99" i="49"/>
  <c r="K100" i="49"/>
  <c r="K101" i="49"/>
  <c r="K102" i="49"/>
  <c r="K103" i="49"/>
  <c r="K104" i="49"/>
  <c r="K105" i="49"/>
  <c r="K106" i="49"/>
  <c r="K107" i="49"/>
  <c r="K108" i="49"/>
  <c r="K109" i="49"/>
  <c r="K110" i="49"/>
  <c r="K111" i="49"/>
  <c r="K112" i="49"/>
  <c r="K113" i="49"/>
  <c r="K114" i="49"/>
  <c r="K115" i="49"/>
  <c r="K116" i="49"/>
  <c r="K117" i="49"/>
  <c r="K118" i="49"/>
  <c r="K119" i="49"/>
  <c r="K120" i="49"/>
  <c r="K121" i="49"/>
  <c r="K122" i="49"/>
  <c r="K123" i="49"/>
  <c r="K124" i="49"/>
  <c r="K125" i="49"/>
  <c r="K126" i="49"/>
  <c r="K127" i="49"/>
  <c r="K128" i="49"/>
  <c r="K129" i="49"/>
  <c r="K130" i="49"/>
  <c r="K131" i="49"/>
  <c r="K132" i="49"/>
  <c r="K133" i="49"/>
  <c r="K134" i="49"/>
  <c r="K135" i="49"/>
  <c r="K136" i="49"/>
  <c r="K137" i="49"/>
  <c r="K138" i="49"/>
  <c r="K139" i="49"/>
  <c r="K140" i="49"/>
  <c r="K141" i="49"/>
  <c r="K142" i="49"/>
  <c r="K143" i="49"/>
  <c r="K144" i="49"/>
  <c r="K145" i="49"/>
  <c r="K146" i="49"/>
  <c r="K147" i="49"/>
  <c r="K148" i="49"/>
  <c r="K149" i="49"/>
  <c r="K150" i="49"/>
  <c r="K151" i="49"/>
  <c r="K152" i="49"/>
  <c r="K153" i="49"/>
  <c r="K154" i="49"/>
  <c r="K155" i="49"/>
  <c r="K156" i="49"/>
  <c r="K157" i="49"/>
  <c r="K158" i="49"/>
  <c r="K159" i="49"/>
  <c r="K160" i="49"/>
  <c r="K161" i="49"/>
  <c r="K162" i="49"/>
  <c r="K163" i="49"/>
  <c r="K164" i="49"/>
  <c r="K165" i="49"/>
  <c r="K166" i="49"/>
  <c r="K167" i="49"/>
  <c r="K168" i="49"/>
  <c r="K169" i="49"/>
  <c r="K170" i="49"/>
  <c r="K171" i="49"/>
  <c r="K172" i="49"/>
  <c r="K173" i="49"/>
  <c r="K174" i="49"/>
  <c r="K175" i="49"/>
  <c r="K176" i="49"/>
  <c r="K177" i="49"/>
  <c r="K178" i="49"/>
  <c r="K179" i="49"/>
  <c r="K180" i="49"/>
  <c r="K181" i="49"/>
  <c r="K182" i="49"/>
  <c r="K183" i="49"/>
  <c r="K184" i="49"/>
  <c r="K185" i="49"/>
  <c r="K186" i="49"/>
  <c r="K187" i="49"/>
  <c r="K188" i="49"/>
  <c r="K189" i="49"/>
  <c r="K190" i="49"/>
  <c r="K191" i="49"/>
  <c r="K192" i="49"/>
  <c r="K193" i="49"/>
  <c r="K194" i="49"/>
  <c r="K195" i="49"/>
  <c r="K196" i="49"/>
  <c r="K197" i="49"/>
  <c r="K198" i="49"/>
  <c r="K199" i="49"/>
  <c r="K200" i="49"/>
  <c r="K201" i="49"/>
  <c r="K202" i="49"/>
  <c r="K203" i="49"/>
  <c r="K204" i="49"/>
  <c r="K205" i="49"/>
  <c r="K206" i="49"/>
  <c r="K207" i="49"/>
  <c r="K208" i="49"/>
  <c r="K209" i="49"/>
  <c r="K210" i="49"/>
  <c r="K211" i="49"/>
  <c r="K212" i="49"/>
  <c r="K213" i="49"/>
  <c r="K214" i="49"/>
  <c r="K215" i="49"/>
  <c r="K216" i="49"/>
  <c r="K217" i="49"/>
  <c r="K218" i="49"/>
  <c r="K219" i="49"/>
  <c r="K220" i="49"/>
  <c r="K221" i="49"/>
  <c r="K222" i="49"/>
  <c r="K223" i="49"/>
  <c r="K224" i="49"/>
  <c r="K225" i="49"/>
  <c r="K226" i="49"/>
  <c r="K227" i="49"/>
  <c r="K228" i="49"/>
  <c r="K229" i="49"/>
  <c r="K230" i="49"/>
  <c r="K231" i="49"/>
  <c r="K232" i="49"/>
  <c r="K233" i="49"/>
  <c r="K234" i="49"/>
  <c r="K235" i="49"/>
  <c r="K236" i="49"/>
  <c r="K237" i="49"/>
  <c r="K238" i="49"/>
  <c r="K239" i="49"/>
  <c r="K240" i="49"/>
  <c r="K241" i="49"/>
  <c r="K242" i="49"/>
  <c r="K243" i="49"/>
  <c r="K244" i="49"/>
  <c r="K245" i="49"/>
  <c r="K246" i="49"/>
  <c r="K247" i="49"/>
  <c r="K248" i="49"/>
  <c r="K249" i="49"/>
  <c r="K250" i="49"/>
  <c r="K251" i="49"/>
  <c r="K252" i="49"/>
  <c r="K253" i="49"/>
  <c r="K254" i="49"/>
  <c r="K255" i="49"/>
  <c r="K256" i="49"/>
  <c r="K257" i="49"/>
  <c r="K258" i="49"/>
  <c r="K259" i="49"/>
  <c r="K260" i="49"/>
  <c r="K261" i="49"/>
  <c r="K262" i="49"/>
  <c r="K263" i="49"/>
  <c r="K264" i="49"/>
  <c r="K265" i="49"/>
  <c r="K266" i="49"/>
  <c r="K267" i="49"/>
  <c r="K268" i="49"/>
  <c r="K269" i="49"/>
  <c r="K270" i="49"/>
  <c r="K271" i="49"/>
  <c r="K272" i="49"/>
  <c r="K273" i="49"/>
  <c r="K274" i="49"/>
  <c r="K275" i="49"/>
  <c r="K276" i="49"/>
  <c r="K277" i="49"/>
  <c r="K278" i="49"/>
  <c r="K279" i="49"/>
  <c r="K280" i="49"/>
  <c r="K281" i="49"/>
  <c r="K282" i="49"/>
  <c r="K283" i="49"/>
  <c r="K284" i="49"/>
  <c r="K285" i="49"/>
  <c r="K286" i="49"/>
  <c r="K287" i="49"/>
  <c r="K288" i="49"/>
  <c r="K289" i="49"/>
  <c r="K290" i="49"/>
  <c r="K291" i="49"/>
  <c r="K292" i="49"/>
  <c r="K293" i="49"/>
  <c r="K294" i="49"/>
  <c r="K295" i="49"/>
  <c r="K296" i="49"/>
  <c r="K297" i="49"/>
  <c r="K298" i="49"/>
  <c r="K299" i="49"/>
  <c r="K300" i="49"/>
  <c r="K301" i="49"/>
  <c r="K302" i="49"/>
  <c r="K303" i="49"/>
  <c r="K304" i="49"/>
  <c r="K305" i="49"/>
  <c r="K306" i="49"/>
  <c r="K307" i="49"/>
  <c r="K308" i="49"/>
  <c r="K309" i="49"/>
  <c r="K310" i="49"/>
  <c r="K311" i="49"/>
  <c r="K312" i="49"/>
  <c r="K313" i="49"/>
  <c r="K314" i="49"/>
  <c r="K315" i="49"/>
  <c r="K316" i="49"/>
  <c r="K317" i="49"/>
  <c r="K318" i="49"/>
  <c r="K319" i="49"/>
  <c r="K320" i="49"/>
  <c r="K321" i="49"/>
  <c r="K322" i="49"/>
  <c r="K323" i="49"/>
  <c r="K324" i="49"/>
  <c r="K325" i="49"/>
  <c r="K326" i="49"/>
  <c r="K327" i="49"/>
  <c r="K328" i="49"/>
  <c r="K329" i="49"/>
  <c r="K330" i="49"/>
  <c r="K331" i="49"/>
  <c r="K332" i="49"/>
  <c r="K333" i="49"/>
  <c r="K334" i="49"/>
  <c r="K335" i="49"/>
  <c r="K336" i="49"/>
  <c r="K337" i="49"/>
  <c r="K338" i="49"/>
  <c r="K339" i="49"/>
  <c r="K340" i="49"/>
  <c r="K341" i="49"/>
  <c r="K342" i="49"/>
  <c r="K343" i="49"/>
  <c r="K344" i="49"/>
  <c r="K345" i="49"/>
  <c r="K346" i="49"/>
  <c r="K347" i="49"/>
  <c r="K348" i="49"/>
  <c r="K349" i="49"/>
  <c r="K350" i="49"/>
  <c r="K351" i="49"/>
  <c r="K352" i="49"/>
  <c r="K353" i="49"/>
  <c r="K354" i="49"/>
  <c r="H180" i="64"/>
  <c r="H181" i="64"/>
  <c r="H182" i="64"/>
  <c r="H183" i="64"/>
  <c r="H184" i="64"/>
  <c r="H185" i="64"/>
  <c r="H186" i="64"/>
  <c r="H187" i="64"/>
  <c r="H188" i="64"/>
  <c r="H189" i="64"/>
  <c r="H190" i="64"/>
  <c r="H191" i="64"/>
  <c r="H192" i="64"/>
  <c r="H193" i="64"/>
  <c r="H194" i="64"/>
  <c r="H195" i="64"/>
  <c r="H196" i="64"/>
  <c r="H197" i="64"/>
  <c r="H198" i="64"/>
  <c r="H199" i="64"/>
  <c r="H200" i="64"/>
  <c r="H201" i="64"/>
  <c r="H202" i="64"/>
  <c r="H203" i="64"/>
  <c r="H204" i="64"/>
  <c r="H205" i="64"/>
  <c r="H206" i="64"/>
  <c r="H207" i="64"/>
  <c r="H208" i="64"/>
  <c r="H209" i="64"/>
  <c r="H210" i="64"/>
  <c r="H211" i="64"/>
  <c r="H212" i="64"/>
  <c r="H213" i="64"/>
  <c r="H214" i="64"/>
  <c r="H215" i="64"/>
  <c r="H216" i="64"/>
  <c r="H217" i="64"/>
  <c r="H218" i="64"/>
  <c r="H219" i="64"/>
  <c r="I177" i="64"/>
  <c r="H123" i="64"/>
  <c r="H124" i="64"/>
  <c r="H125" i="64"/>
  <c r="H126" i="64"/>
  <c r="H127" i="64"/>
  <c r="H128" i="64"/>
  <c r="H129" i="64"/>
  <c r="H130" i="64"/>
  <c r="H131" i="64"/>
  <c r="H132" i="64"/>
  <c r="H133" i="64"/>
  <c r="H134" i="64"/>
  <c r="H135" i="64"/>
  <c r="H136" i="64"/>
  <c r="H137" i="64"/>
  <c r="H138" i="64"/>
  <c r="H139" i="64"/>
  <c r="H140" i="64"/>
  <c r="H141" i="64"/>
  <c r="H142" i="64"/>
  <c r="H143" i="64"/>
  <c r="H144" i="64"/>
  <c r="H145" i="64"/>
  <c r="H146" i="64"/>
  <c r="H147" i="64"/>
  <c r="H148" i="64"/>
  <c r="H149" i="64"/>
  <c r="H150" i="64"/>
  <c r="H152" i="64"/>
  <c r="H153" i="64"/>
  <c r="H154" i="64"/>
  <c r="H155" i="64"/>
  <c r="H156" i="64"/>
  <c r="H157" i="64"/>
  <c r="H158" i="64"/>
  <c r="H159" i="64"/>
  <c r="H160" i="64"/>
  <c r="H161" i="64"/>
  <c r="H162" i="64"/>
  <c r="H163" i="64"/>
  <c r="H164" i="64"/>
  <c r="H46" i="64"/>
  <c r="H47" i="64"/>
  <c r="H48" i="64"/>
  <c r="H49" i="64"/>
  <c r="H50" i="64"/>
  <c r="H51" i="64"/>
  <c r="H52" i="64"/>
  <c r="H53" i="64"/>
  <c r="H54" i="64"/>
  <c r="H55" i="64"/>
  <c r="H56" i="64"/>
  <c r="H57" i="64"/>
  <c r="H58" i="64"/>
  <c r="H59" i="64"/>
  <c r="H60" i="64"/>
  <c r="H61" i="64"/>
  <c r="H62" i="64"/>
  <c r="H63" i="64"/>
  <c r="H64" i="64"/>
  <c r="H65" i="64"/>
  <c r="H66" i="64"/>
  <c r="H67" i="64"/>
  <c r="H68" i="64"/>
  <c r="H69" i="64"/>
  <c r="H70" i="64"/>
  <c r="H71" i="64"/>
  <c r="H72" i="64"/>
  <c r="H73" i="64"/>
  <c r="H74" i="64"/>
  <c r="H75" i="64"/>
  <c r="H76" i="64"/>
  <c r="H77" i="64"/>
  <c r="H78" i="64"/>
  <c r="H79" i="64"/>
  <c r="H80" i="64"/>
  <c r="H81" i="64"/>
  <c r="H82" i="64"/>
  <c r="H83" i="64"/>
  <c r="H84" i="64"/>
  <c r="H85" i="64"/>
  <c r="H86" i="64"/>
  <c r="H87" i="64"/>
  <c r="H88" i="64"/>
  <c r="H89" i="64"/>
  <c r="H90" i="64"/>
  <c r="H91" i="64"/>
  <c r="H92" i="64"/>
  <c r="H93" i="64"/>
  <c r="H94" i="64"/>
  <c r="H95" i="64"/>
  <c r="H96" i="64"/>
  <c r="H97" i="64"/>
  <c r="H98" i="64"/>
  <c r="H99" i="64"/>
  <c r="H100" i="64"/>
  <c r="H101" i="64"/>
  <c r="H102" i="64"/>
  <c r="H103" i="64"/>
  <c r="H104" i="64"/>
  <c r="H105" i="64"/>
  <c r="H20" i="64"/>
  <c r="H21" i="64"/>
  <c r="H22" i="64"/>
  <c r="H23" i="64"/>
  <c r="H24" i="64"/>
  <c r="H25" i="64"/>
  <c r="H26" i="64"/>
  <c r="H27" i="64"/>
  <c r="H28" i="64"/>
  <c r="H29" i="64"/>
  <c r="H30" i="64"/>
  <c r="H31" i="64"/>
  <c r="H32" i="64"/>
  <c r="H35" i="64"/>
  <c r="P226" i="80" l="1"/>
  <c r="Q222" i="80"/>
  <c r="M226" i="79"/>
  <c r="N222" i="7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D176" i="53"/>
  <c r="D177" i="53"/>
  <c r="D178" i="53"/>
  <c r="D179" i="53"/>
  <c r="D180" i="53"/>
  <c r="D181" i="53"/>
  <c r="D182" i="53"/>
  <c r="D183" i="53"/>
  <c r="D184" i="53"/>
  <c r="D185" i="53"/>
  <c r="H115" i="53"/>
  <c r="N115" i="53" s="1"/>
  <c r="H116" i="53"/>
  <c r="N116" i="53" s="1"/>
  <c r="H117" i="53"/>
  <c r="N117" i="53" s="1"/>
  <c r="H118" i="53"/>
  <c r="N118" i="53" s="1"/>
  <c r="H119" i="53"/>
  <c r="N119" i="53" s="1"/>
  <c r="H120" i="53"/>
  <c r="N120" i="53" s="1"/>
  <c r="H121" i="53"/>
  <c r="N121" i="53" s="1"/>
  <c r="H122" i="53"/>
  <c r="N122" i="53" s="1"/>
  <c r="H123" i="53"/>
  <c r="N123" i="53" s="1"/>
  <c r="H124" i="53"/>
  <c r="N124" i="53" s="1"/>
  <c r="H125" i="53"/>
  <c r="N125" i="53" s="1"/>
  <c r="H126" i="53"/>
  <c r="N126" i="53" s="1"/>
  <c r="H127" i="53"/>
  <c r="N127" i="53" s="1"/>
  <c r="H128" i="53"/>
  <c r="N128" i="53" s="1"/>
  <c r="H129" i="53"/>
  <c r="N129" i="53" s="1"/>
  <c r="H130" i="53"/>
  <c r="N130" i="53" s="1"/>
  <c r="H131" i="53"/>
  <c r="N131" i="53" s="1"/>
  <c r="H132" i="53"/>
  <c r="N132" i="53" s="1"/>
  <c r="H133" i="53"/>
  <c r="N133" i="53" s="1"/>
  <c r="H134" i="53"/>
  <c r="N134" i="53" s="1"/>
  <c r="H135" i="53"/>
  <c r="N135" i="53" s="1"/>
  <c r="H136" i="53"/>
  <c r="N136" i="53" s="1"/>
  <c r="H137" i="53"/>
  <c r="N137" i="53" s="1"/>
  <c r="H138" i="53"/>
  <c r="N138" i="53" s="1"/>
  <c r="H66" i="53"/>
  <c r="N66" i="53" s="1"/>
  <c r="H67" i="53"/>
  <c r="N67" i="53" s="1"/>
  <c r="H68" i="53"/>
  <c r="N68" i="53" s="1"/>
  <c r="H69" i="53"/>
  <c r="N69" i="53" s="1"/>
  <c r="H70" i="53"/>
  <c r="N70" i="53" s="1"/>
  <c r="H71" i="53"/>
  <c r="N71" i="53" s="1"/>
  <c r="H72" i="53"/>
  <c r="N72" i="53" s="1"/>
  <c r="H73" i="53"/>
  <c r="N73" i="53" s="1"/>
  <c r="H74" i="53"/>
  <c r="N74" i="53" s="1"/>
  <c r="H75" i="53"/>
  <c r="N75" i="53" s="1"/>
  <c r="H76" i="53"/>
  <c r="N76" i="53" s="1"/>
  <c r="H77" i="53"/>
  <c r="N77" i="53" s="1"/>
  <c r="H78" i="53"/>
  <c r="N78" i="53" s="1"/>
  <c r="H79" i="53"/>
  <c r="N79" i="53" s="1"/>
  <c r="H80" i="53"/>
  <c r="N80" i="53" s="1"/>
  <c r="H81" i="53"/>
  <c r="N81" i="53" s="1"/>
  <c r="H82" i="53"/>
  <c r="N82" i="53" s="1"/>
  <c r="H83" i="53"/>
  <c r="N83" i="53" s="1"/>
  <c r="H84" i="53"/>
  <c r="N84" i="53" s="1"/>
  <c r="H85" i="53"/>
  <c r="N85" i="53" s="1"/>
  <c r="H86" i="53"/>
  <c r="N86" i="53" s="1"/>
  <c r="H87" i="53"/>
  <c r="N87" i="53" s="1"/>
  <c r="H88" i="53"/>
  <c r="N88" i="53" s="1"/>
  <c r="H89" i="53"/>
  <c r="N89" i="53" s="1"/>
  <c r="F44" i="53"/>
  <c r="G44" i="53"/>
  <c r="F45" i="53"/>
  <c r="G45" i="53"/>
  <c r="F46" i="53"/>
  <c r="G46" i="53"/>
  <c r="F47" i="53"/>
  <c r="G47" i="53"/>
  <c r="F48" i="53"/>
  <c r="G48" i="53"/>
  <c r="F49" i="53"/>
  <c r="G49" i="53"/>
  <c r="F50" i="53"/>
  <c r="G50" i="53"/>
  <c r="F51" i="53"/>
  <c r="G51" i="53"/>
  <c r="F52" i="53"/>
  <c r="G52" i="53"/>
  <c r="F53" i="53"/>
  <c r="G53" i="53"/>
  <c r="F54" i="53"/>
  <c r="G54" i="53"/>
  <c r="F55" i="53"/>
  <c r="G55" i="53"/>
  <c r="F56" i="53"/>
  <c r="G56" i="53"/>
  <c r="F57" i="53"/>
  <c r="G57" i="53"/>
  <c r="F58" i="53"/>
  <c r="G58" i="53"/>
  <c r="F59" i="53"/>
  <c r="G59" i="53"/>
  <c r="F14" i="53"/>
  <c r="G14" i="53"/>
  <c r="F15" i="53"/>
  <c r="G15" i="53"/>
  <c r="F16" i="53"/>
  <c r="G16" i="53"/>
  <c r="F17" i="53"/>
  <c r="G17" i="53"/>
  <c r="F18" i="53"/>
  <c r="G18" i="53"/>
  <c r="F19" i="53"/>
  <c r="G19" i="53"/>
  <c r="F20" i="53"/>
  <c r="G20" i="53"/>
  <c r="F21" i="53"/>
  <c r="G21" i="53"/>
  <c r="F22" i="53"/>
  <c r="G22" i="53"/>
  <c r="F23" i="53"/>
  <c r="G23" i="53"/>
  <c r="F24" i="53"/>
  <c r="G24" i="53"/>
  <c r="F25" i="53"/>
  <c r="G25" i="53"/>
  <c r="F26" i="53"/>
  <c r="G26" i="53"/>
  <c r="F27" i="53"/>
  <c r="G27" i="53"/>
  <c r="F28" i="53"/>
  <c r="G28" i="53"/>
  <c r="F29" i="53"/>
  <c r="G29" i="53"/>
  <c r="F30" i="53"/>
  <c r="G30" i="53"/>
  <c r="F31" i="53"/>
  <c r="G31" i="53"/>
  <c r="F32" i="53"/>
  <c r="G32" i="53"/>
  <c r="F33" i="53"/>
  <c r="G33" i="53"/>
  <c r="F34" i="53"/>
  <c r="G34" i="53"/>
  <c r="E158" i="26"/>
  <c r="C166" i="26"/>
  <c r="E150" i="26"/>
  <c r="E151" i="26"/>
  <c r="E152" i="26"/>
  <c r="E153" i="26"/>
  <c r="E154" i="26"/>
  <c r="E155" i="26"/>
  <c r="E156" i="26"/>
  <c r="E157" i="26"/>
  <c r="E159" i="26"/>
  <c r="H87" i="26"/>
  <c r="P87" i="26" s="1"/>
  <c r="H88" i="26"/>
  <c r="P88" i="26" s="1"/>
  <c r="H89" i="26"/>
  <c r="P89" i="26" s="1"/>
  <c r="H90" i="26"/>
  <c r="P90" i="26" s="1"/>
  <c r="H91" i="26"/>
  <c r="P91" i="26" s="1"/>
  <c r="H92" i="26"/>
  <c r="P92" i="26" s="1"/>
  <c r="H93" i="26"/>
  <c r="P93" i="26" s="1"/>
  <c r="H94" i="26"/>
  <c r="P94" i="26" s="1"/>
  <c r="H95" i="26"/>
  <c r="P95" i="26" s="1"/>
  <c r="H96" i="26"/>
  <c r="P96" i="26" s="1"/>
  <c r="H97" i="26"/>
  <c r="P97" i="26" s="1"/>
  <c r="H98" i="26"/>
  <c r="P98" i="26" s="1"/>
  <c r="H99" i="26"/>
  <c r="P99" i="26" s="1"/>
  <c r="H100" i="26"/>
  <c r="P100" i="26" s="1"/>
  <c r="H101" i="26"/>
  <c r="P101" i="26" s="1"/>
  <c r="H102" i="26"/>
  <c r="P102" i="26" s="1"/>
  <c r="H103" i="26"/>
  <c r="P103" i="26" s="1"/>
  <c r="H104" i="26"/>
  <c r="P104" i="26" s="1"/>
  <c r="H105" i="26"/>
  <c r="P105" i="26" s="1"/>
  <c r="H106" i="26"/>
  <c r="P106" i="26" s="1"/>
  <c r="H107" i="26"/>
  <c r="P107" i="26" s="1"/>
  <c r="H108" i="26"/>
  <c r="P108" i="26" s="1"/>
  <c r="H109" i="26"/>
  <c r="P109" i="26" s="1"/>
  <c r="H110" i="26"/>
  <c r="P110" i="26" s="1"/>
  <c r="H57" i="26"/>
  <c r="P57" i="26" s="1"/>
  <c r="H58" i="26"/>
  <c r="P58" i="26" s="1"/>
  <c r="H59" i="26"/>
  <c r="P59" i="26" s="1"/>
  <c r="H60" i="26"/>
  <c r="P60" i="26" s="1"/>
  <c r="H61" i="26"/>
  <c r="P61" i="26" s="1"/>
  <c r="H62" i="26"/>
  <c r="P62" i="26" s="1"/>
  <c r="H63" i="26"/>
  <c r="P63" i="26" s="1"/>
  <c r="H64" i="26"/>
  <c r="P64" i="26" s="1"/>
  <c r="H65" i="26"/>
  <c r="P65" i="26" s="1"/>
  <c r="H66" i="26"/>
  <c r="P66" i="26" s="1"/>
  <c r="H67" i="26"/>
  <c r="P67" i="26" s="1"/>
  <c r="H68" i="26"/>
  <c r="P68" i="26" s="1"/>
  <c r="H69" i="26"/>
  <c r="P69" i="26" s="1"/>
  <c r="H70" i="26"/>
  <c r="P70" i="26" s="1"/>
  <c r="H71" i="26"/>
  <c r="P71" i="26" s="1"/>
  <c r="H72" i="26"/>
  <c r="P72" i="26" s="1"/>
  <c r="G50" i="26"/>
  <c r="F47" i="26"/>
  <c r="F36" i="26"/>
  <c r="G36" i="26"/>
  <c r="F37" i="26"/>
  <c r="G37" i="26"/>
  <c r="F38" i="26"/>
  <c r="G38" i="26"/>
  <c r="F39" i="26"/>
  <c r="G39" i="26"/>
  <c r="F40" i="26"/>
  <c r="G40" i="26"/>
  <c r="F41" i="26"/>
  <c r="G41" i="26"/>
  <c r="F42" i="26"/>
  <c r="G42" i="26"/>
  <c r="F43" i="26"/>
  <c r="G43" i="26"/>
  <c r="F44" i="26"/>
  <c r="G44" i="26"/>
  <c r="F45" i="26"/>
  <c r="G45" i="26"/>
  <c r="F46" i="26"/>
  <c r="G46" i="26"/>
  <c r="G47" i="26"/>
  <c r="F48" i="26"/>
  <c r="G48" i="26"/>
  <c r="F49" i="26"/>
  <c r="G49" i="26"/>
  <c r="F50" i="26"/>
  <c r="F34" i="26"/>
  <c r="G34" i="26"/>
  <c r="F20" i="26"/>
  <c r="F13" i="26"/>
  <c r="G13" i="26"/>
  <c r="F14" i="26"/>
  <c r="G14" i="26"/>
  <c r="F15" i="26"/>
  <c r="G15" i="26"/>
  <c r="F16" i="26"/>
  <c r="G16" i="26"/>
  <c r="F17" i="26"/>
  <c r="G17" i="26"/>
  <c r="F18" i="26"/>
  <c r="G18" i="26"/>
  <c r="F19" i="26"/>
  <c r="G19" i="26"/>
  <c r="G20" i="26"/>
  <c r="F21" i="26"/>
  <c r="G21" i="26"/>
  <c r="F22" i="26"/>
  <c r="G22" i="26"/>
  <c r="F23" i="26"/>
  <c r="G23" i="26"/>
  <c r="F24" i="26"/>
  <c r="G24" i="26"/>
  <c r="F25" i="26"/>
  <c r="G25" i="26"/>
  <c r="F26" i="26"/>
  <c r="G26" i="26"/>
  <c r="F27" i="26"/>
  <c r="G27" i="26"/>
  <c r="C220" i="25"/>
  <c r="E220" i="25"/>
  <c r="Q226" i="80" l="1"/>
  <c r="R222" i="80"/>
  <c r="N226" i="79"/>
  <c r="O222" i="79"/>
  <c r="AD224" i="25"/>
  <c r="R221" i="25"/>
  <c r="X224" i="25"/>
  <c r="Y224" i="25"/>
  <c r="AD221" i="25"/>
  <c r="R224" i="25"/>
  <c r="Z224" i="25"/>
  <c r="S224" i="25"/>
  <c r="AA224" i="25"/>
  <c r="V221" i="25"/>
  <c r="T224" i="25"/>
  <c r="AB224" i="25"/>
  <c r="Z221" i="25"/>
  <c r="Y221" i="25"/>
  <c r="U224" i="25"/>
  <c r="AC224" i="25"/>
  <c r="V224" i="25"/>
  <c r="AA221" i="25"/>
  <c r="W224" i="25"/>
  <c r="S221" i="25"/>
  <c r="X221" i="25"/>
  <c r="AC221" i="25"/>
  <c r="T221" i="25"/>
  <c r="AB221" i="25"/>
  <c r="W221" i="25"/>
  <c r="U221" i="25"/>
  <c r="H36" i="26"/>
  <c r="P36" i="26" s="1"/>
  <c r="H31" i="53"/>
  <c r="N31" i="53" s="1"/>
  <c r="H27" i="53"/>
  <c r="N27" i="53" s="1"/>
  <c r="H23" i="53"/>
  <c r="N23" i="53" s="1"/>
  <c r="H57" i="53"/>
  <c r="N57" i="53" s="1"/>
  <c r="H53" i="53"/>
  <c r="N53" i="53" s="1"/>
  <c r="H59" i="53"/>
  <c r="N59" i="53" s="1"/>
  <c r="H55" i="53"/>
  <c r="N55" i="53" s="1"/>
  <c r="H51" i="53"/>
  <c r="N51" i="53" s="1"/>
  <c r="H47" i="53"/>
  <c r="N47" i="53" s="1"/>
  <c r="H56" i="53"/>
  <c r="N56" i="53" s="1"/>
  <c r="H49" i="53"/>
  <c r="N49" i="53" s="1"/>
  <c r="H45" i="53"/>
  <c r="N45" i="53" s="1"/>
  <c r="H52" i="53"/>
  <c r="N52" i="53" s="1"/>
  <c r="H48" i="53"/>
  <c r="N48" i="53" s="1"/>
  <c r="H44" i="53"/>
  <c r="N44" i="53" s="1"/>
  <c r="H58" i="53"/>
  <c r="N58" i="53" s="1"/>
  <c r="H54" i="53"/>
  <c r="N54" i="53" s="1"/>
  <c r="H50" i="53"/>
  <c r="N50" i="53" s="1"/>
  <c r="H46" i="53"/>
  <c r="N46" i="53" s="1"/>
  <c r="H19" i="53"/>
  <c r="N19" i="53" s="1"/>
  <c r="H15" i="53"/>
  <c r="N15" i="53" s="1"/>
  <c r="H26" i="53"/>
  <c r="N26" i="53" s="1"/>
  <c r="H32" i="53"/>
  <c r="N32" i="53" s="1"/>
  <c r="H24" i="53"/>
  <c r="N24" i="53" s="1"/>
  <c r="H20" i="53"/>
  <c r="N20" i="53" s="1"/>
  <c r="H16" i="53"/>
  <c r="N16" i="53" s="1"/>
  <c r="H28" i="53"/>
  <c r="N28" i="53" s="1"/>
  <c r="H34" i="53"/>
  <c r="N34" i="53" s="1"/>
  <c r="H30" i="53"/>
  <c r="N30" i="53" s="1"/>
  <c r="H22" i="53"/>
  <c r="N22" i="53" s="1"/>
  <c r="H18" i="53"/>
  <c r="N18" i="53" s="1"/>
  <c r="H14" i="53"/>
  <c r="N14" i="53" s="1"/>
  <c r="H29" i="53"/>
  <c r="N29" i="53" s="1"/>
  <c r="H25" i="53"/>
  <c r="N25" i="53" s="1"/>
  <c r="H21" i="53"/>
  <c r="N21" i="53" s="1"/>
  <c r="H17" i="53"/>
  <c r="N17" i="53" s="1"/>
  <c r="H33" i="53"/>
  <c r="N33" i="53" s="1"/>
  <c r="H41" i="26"/>
  <c r="P41" i="26" s="1"/>
  <c r="H47" i="26"/>
  <c r="P47" i="26" s="1"/>
  <c r="H37" i="26"/>
  <c r="P37" i="26" s="1"/>
  <c r="H39" i="26"/>
  <c r="P39" i="26" s="1"/>
  <c r="H27" i="26"/>
  <c r="P27" i="26" s="1"/>
  <c r="H45" i="26"/>
  <c r="P45" i="26" s="1"/>
  <c r="H43" i="26"/>
  <c r="P43" i="26" s="1"/>
  <c r="H49" i="26"/>
  <c r="P49" i="26" s="1"/>
  <c r="H16" i="26"/>
  <c r="P16" i="26" s="1"/>
  <c r="H48" i="26"/>
  <c r="P48" i="26" s="1"/>
  <c r="H44" i="26"/>
  <c r="P44" i="26" s="1"/>
  <c r="H34" i="26"/>
  <c r="P34" i="26" s="1"/>
  <c r="H40" i="26"/>
  <c r="P40" i="26" s="1"/>
  <c r="H46" i="26"/>
  <c r="P46" i="26" s="1"/>
  <c r="H42" i="26"/>
  <c r="P42" i="26" s="1"/>
  <c r="H38" i="26"/>
  <c r="P38" i="26" s="1"/>
  <c r="H50" i="26"/>
  <c r="P50" i="26" s="1"/>
  <c r="H24" i="26"/>
  <c r="P24" i="26" s="1"/>
  <c r="H25" i="26"/>
  <c r="P25" i="26" s="1"/>
  <c r="H22" i="26"/>
  <c r="P22" i="26" s="1"/>
  <c r="H26" i="26"/>
  <c r="P26" i="26" s="1"/>
  <c r="H14" i="26"/>
  <c r="P14" i="26" s="1"/>
  <c r="H15" i="26"/>
  <c r="P15" i="26" s="1"/>
  <c r="H18" i="26"/>
  <c r="P18" i="26" s="1"/>
  <c r="H17" i="26"/>
  <c r="P17" i="26" s="1"/>
  <c r="H21" i="26"/>
  <c r="P21" i="26" s="1"/>
  <c r="H13" i="26"/>
  <c r="P13" i="26" s="1"/>
  <c r="H20" i="26"/>
  <c r="P20" i="26" s="1"/>
  <c r="H23" i="26"/>
  <c r="P23" i="26" s="1"/>
  <c r="H19" i="26"/>
  <c r="P19" i="26" s="1"/>
  <c r="G220" i="25"/>
  <c r="R226" i="80" l="1"/>
  <c r="S222" i="80"/>
  <c r="O226" i="79"/>
  <c r="P222" i="79"/>
  <c r="H224" i="25"/>
  <c r="H220" i="25"/>
  <c r="I220" i="25"/>
  <c r="J220" i="25"/>
  <c r="K220" i="25"/>
  <c r="L220" i="25"/>
  <c r="M220" i="25"/>
  <c r="N220" i="25"/>
  <c r="O220" i="25"/>
  <c r="P220" i="25"/>
  <c r="Q220" i="25"/>
  <c r="G221" i="25"/>
  <c r="I224" i="25"/>
  <c r="J224" i="25"/>
  <c r="K224" i="25"/>
  <c r="M224" i="25"/>
  <c r="P224" i="25"/>
  <c r="Q224" i="25"/>
  <c r="S226" i="80" l="1"/>
  <c r="T222" i="80"/>
  <c r="P226" i="79"/>
  <c r="Q222" i="79"/>
  <c r="AE220" i="25"/>
  <c r="AE227" i="25" s="1"/>
  <c r="AF227" i="25" s="1"/>
  <c r="G224" i="25"/>
  <c r="O224" i="25"/>
  <c r="N224" i="25"/>
  <c r="L224" i="25"/>
  <c r="T226" i="80" l="1"/>
  <c r="U222" i="80"/>
  <c r="Q226" i="79"/>
  <c r="R222" i="79"/>
  <c r="AE226" i="25"/>
  <c r="A261" i="62"/>
  <c r="A260" i="62"/>
  <c r="A259" i="62"/>
  <c r="A258" i="62"/>
  <c r="L255" i="62"/>
  <c r="K255" i="62"/>
  <c r="J255" i="62"/>
  <c r="I255" i="62"/>
  <c r="H254" i="62"/>
  <c r="H253" i="62"/>
  <c r="H252" i="62"/>
  <c r="H251" i="62"/>
  <c r="H250" i="62"/>
  <c r="H249" i="62"/>
  <c r="H248" i="62"/>
  <c r="H247" i="62"/>
  <c r="H246" i="62"/>
  <c r="H245" i="62"/>
  <c r="H244" i="62"/>
  <c r="H243" i="62"/>
  <c r="H242" i="62"/>
  <c r="H241" i="62"/>
  <c r="L238" i="62"/>
  <c r="L256" i="62" s="1"/>
  <c r="L261" i="62" s="1"/>
  <c r="K238" i="62"/>
  <c r="J238" i="62"/>
  <c r="I238" i="62"/>
  <c r="I256" i="62" s="1"/>
  <c r="H237" i="62"/>
  <c r="H236" i="62"/>
  <c r="H235" i="62"/>
  <c r="H234" i="62"/>
  <c r="H233" i="62"/>
  <c r="H232" i="62"/>
  <c r="H231" i="62"/>
  <c r="H230" i="62"/>
  <c r="H229" i="62"/>
  <c r="H228" i="62"/>
  <c r="H227" i="62"/>
  <c r="A219" i="62"/>
  <c r="A218" i="62"/>
  <c r="A217" i="62"/>
  <c r="A216" i="62"/>
  <c r="L213" i="62"/>
  <c r="K213" i="62"/>
  <c r="J213" i="62"/>
  <c r="I213" i="62"/>
  <c r="H212" i="62"/>
  <c r="H211" i="62"/>
  <c r="H210" i="62"/>
  <c r="H209" i="62"/>
  <c r="H208" i="62"/>
  <c r="H207" i="62"/>
  <c r="H206" i="62"/>
  <c r="H205" i="62"/>
  <c r="H204" i="62"/>
  <c r="H203" i="62"/>
  <c r="H202" i="62"/>
  <c r="H201" i="62"/>
  <c r="H200" i="62"/>
  <c r="H199" i="62"/>
  <c r="L196" i="62"/>
  <c r="K196" i="62"/>
  <c r="J196" i="62"/>
  <c r="I196" i="62"/>
  <c r="I214" i="62" s="1"/>
  <c r="H195" i="62"/>
  <c r="H194" i="62"/>
  <c r="H193" i="62"/>
  <c r="H192" i="62"/>
  <c r="H191" i="62"/>
  <c r="H190" i="62"/>
  <c r="H189" i="62"/>
  <c r="H188" i="62"/>
  <c r="H187" i="62"/>
  <c r="H186" i="62"/>
  <c r="H185" i="62"/>
  <c r="A177" i="62"/>
  <c r="A176" i="62"/>
  <c r="A175" i="62"/>
  <c r="A174" i="62"/>
  <c r="L171" i="62"/>
  <c r="K171" i="62"/>
  <c r="J171" i="62"/>
  <c r="I171" i="62"/>
  <c r="H170" i="62"/>
  <c r="H169" i="62"/>
  <c r="H168" i="62"/>
  <c r="H167" i="62"/>
  <c r="H166" i="62"/>
  <c r="H165" i="62"/>
  <c r="H164" i="62"/>
  <c r="H163" i="62"/>
  <c r="H162" i="62"/>
  <c r="H161" i="62"/>
  <c r="H160" i="62"/>
  <c r="H159" i="62"/>
  <c r="H158" i="62"/>
  <c r="H157" i="62"/>
  <c r="L154" i="62"/>
  <c r="K154" i="62"/>
  <c r="J154" i="62"/>
  <c r="J172" i="62" s="1"/>
  <c r="J177" i="62" s="1"/>
  <c r="I154" i="62"/>
  <c r="I172" i="62" s="1"/>
  <c r="H153" i="62"/>
  <c r="H152" i="62"/>
  <c r="H151" i="62"/>
  <c r="H150" i="62"/>
  <c r="H149" i="62"/>
  <c r="H148" i="62"/>
  <c r="H147" i="62"/>
  <c r="H146" i="62"/>
  <c r="H145" i="62"/>
  <c r="H144" i="62"/>
  <c r="H143" i="62"/>
  <c r="A135" i="62"/>
  <c r="A134" i="62"/>
  <c r="A133" i="62"/>
  <c r="A132" i="62"/>
  <c r="L129" i="62"/>
  <c r="K129" i="62"/>
  <c r="J129" i="62"/>
  <c r="I129" i="62"/>
  <c r="H128" i="62"/>
  <c r="H127" i="62"/>
  <c r="H126" i="62"/>
  <c r="H125" i="62"/>
  <c r="H124" i="62"/>
  <c r="H123" i="62"/>
  <c r="H122" i="62"/>
  <c r="H121" i="62"/>
  <c r="H120" i="62"/>
  <c r="H119" i="62"/>
  <c r="H118" i="62"/>
  <c r="H117" i="62"/>
  <c r="H116" i="62"/>
  <c r="H115" i="62"/>
  <c r="L112" i="62"/>
  <c r="K112" i="62"/>
  <c r="K130" i="62" s="1"/>
  <c r="K135" i="62" s="1"/>
  <c r="J112" i="62"/>
  <c r="I112" i="62"/>
  <c r="H111" i="62"/>
  <c r="H110" i="62"/>
  <c r="H109" i="62"/>
  <c r="H108" i="62"/>
  <c r="H107" i="62"/>
  <c r="H106" i="62"/>
  <c r="H105" i="62"/>
  <c r="H104" i="62"/>
  <c r="H103" i="62"/>
  <c r="H102" i="62"/>
  <c r="H101" i="62"/>
  <c r="A93" i="62"/>
  <c r="A92" i="62"/>
  <c r="A91" i="62"/>
  <c r="A90" i="62"/>
  <c r="L87" i="62"/>
  <c r="K87" i="62"/>
  <c r="J87" i="62"/>
  <c r="I87" i="62"/>
  <c r="H86" i="62"/>
  <c r="H85" i="62"/>
  <c r="H84" i="62"/>
  <c r="H83" i="62"/>
  <c r="H82" i="62"/>
  <c r="H81" i="62"/>
  <c r="H80" i="62"/>
  <c r="H79" i="62"/>
  <c r="H78" i="62"/>
  <c r="H77" i="62"/>
  <c r="H76" i="62"/>
  <c r="H75" i="62"/>
  <c r="H74" i="62"/>
  <c r="H73" i="62"/>
  <c r="L70" i="62"/>
  <c r="L88" i="62" s="1"/>
  <c r="L93" i="62" s="1"/>
  <c r="K70" i="62"/>
  <c r="J70" i="62"/>
  <c r="I70" i="62"/>
  <c r="H69" i="62"/>
  <c r="H68" i="62"/>
  <c r="H67" i="62"/>
  <c r="H66" i="62"/>
  <c r="H65" i="62"/>
  <c r="H64" i="62"/>
  <c r="H63" i="62"/>
  <c r="H62" i="62"/>
  <c r="H61" i="62"/>
  <c r="H60" i="62"/>
  <c r="H59" i="62"/>
  <c r="E245" i="64"/>
  <c r="U226" i="80" l="1"/>
  <c r="V222" i="80"/>
  <c r="R226" i="79"/>
  <c r="S222" i="79"/>
  <c r="L130" i="62"/>
  <c r="L135" i="62" s="1"/>
  <c r="K172" i="62"/>
  <c r="K177" i="62" s="1"/>
  <c r="J256" i="62"/>
  <c r="J261" i="62" s="1"/>
  <c r="K256" i="62"/>
  <c r="K261" i="62" s="1"/>
  <c r="K88" i="62"/>
  <c r="K93" i="62" s="1"/>
  <c r="L214" i="62"/>
  <c r="L219" i="62" s="1"/>
  <c r="H255" i="62"/>
  <c r="H238" i="62"/>
  <c r="I258" i="62"/>
  <c r="I261" i="62" s="1"/>
  <c r="J214" i="62"/>
  <c r="J219" i="62" s="1"/>
  <c r="K214" i="62"/>
  <c r="K219" i="62" s="1"/>
  <c r="H213" i="62"/>
  <c r="H196" i="62"/>
  <c r="I216" i="62"/>
  <c r="I219" i="62" s="1"/>
  <c r="L172" i="62"/>
  <c r="L177" i="62" s="1"/>
  <c r="H171" i="62"/>
  <c r="H154" i="62"/>
  <c r="I174" i="62"/>
  <c r="I177" i="62" s="1"/>
  <c r="H129" i="62"/>
  <c r="I130" i="62"/>
  <c r="J130" i="62"/>
  <c r="J135" i="62" s="1"/>
  <c r="H112" i="62"/>
  <c r="I132" i="62"/>
  <c r="I135" i="62" s="1"/>
  <c r="I88" i="62"/>
  <c r="H87" i="62"/>
  <c r="J88" i="62"/>
  <c r="J93" i="62" s="1"/>
  <c r="H70" i="62"/>
  <c r="I90" i="62"/>
  <c r="E244" i="64"/>
  <c r="E184" i="9"/>
  <c r="H64" i="53"/>
  <c r="H65" i="53"/>
  <c r="H90" i="53"/>
  <c r="H91" i="53"/>
  <c r="H92" i="53"/>
  <c r="H93" i="53"/>
  <c r="H94" i="53"/>
  <c r="H95" i="53"/>
  <c r="H96" i="53"/>
  <c r="H97" i="53"/>
  <c r="H98" i="53"/>
  <c r="H63" i="53"/>
  <c r="E149" i="26"/>
  <c r="E160" i="26"/>
  <c r="E161" i="26"/>
  <c r="E162" i="26"/>
  <c r="E163" i="26"/>
  <c r="E164" i="26"/>
  <c r="G29" i="74"/>
  <c r="H29" i="74"/>
  <c r="I29" i="74"/>
  <c r="J29" i="74"/>
  <c r="K29" i="74"/>
  <c r="L29" i="74"/>
  <c r="M29" i="74"/>
  <c r="N29" i="74"/>
  <c r="O29" i="74"/>
  <c r="P29" i="74"/>
  <c r="Q29" i="74"/>
  <c r="F29" i="74"/>
  <c r="E16" i="74"/>
  <c r="G18" i="74"/>
  <c r="H18" i="74"/>
  <c r="I18" i="74"/>
  <c r="J18" i="74"/>
  <c r="K18" i="74"/>
  <c r="L18" i="74"/>
  <c r="M18" i="74"/>
  <c r="N18" i="74"/>
  <c r="O18" i="74"/>
  <c r="P18" i="74"/>
  <c r="Q18" i="74"/>
  <c r="F18" i="74"/>
  <c r="G154" i="25"/>
  <c r="Q154" i="25"/>
  <c r="P154" i="25"/>
  <c r="O154" i="25"/>
  <c r="N154" i="25"/>
  <c r="M154" i="25"/>
  <c r="L154" i="25"/>
  <c r="K154" i="25"/>
  <c r="I154" i="25"/>
  <c r="H154" i="25"/>
  <c r="Q148" i="25"/>
  <c r="P148" i="25"/>
  <c r="O148" i="25"/>
  <c r="N148" i="25"/>
  <c r="M148" i="25"/>
  <c r="L148" i="25"/>
  <c r="K148" i="25"/>
  <c r="I148" i="25"/>
  <c r="H148" i="25"/>
  <c r="G148" i="25"/>
  <c r="Q142" i="25"/>
  <c r="P142" i="25"/>
  <c r="O142" i="25"/>
  <c r="N142" i="25"/>
  <c r="M142" i="25"/>
  <c r="L142" i="25"/>
  <c r="K142" i="25"/>
  <c r="J142" i="25"/>
  <c r="J141" i="25" s="1"/>
  <c r="H142" i="25"/>
  <c r="G142" i="25"/>
  <c r="Q123" i="25"/>
  <c r="P123" i="25"/>
  <c r="O123" i="25"/>
  <c r="N123" i="25"/>
  <c r="M123" i="25"/>
  <c r="L123" i="25"/>
  <c r="K123" i="25"/>
  <c r="J123" i="25"/>
  <c r="H123" i="25"/>
  <c r="H110" i="25" s="1"/>
  <c r="G123" i="25"/>
  <c r="Q117" i="25"/>
  <c r="P117" i="25"/>
  <c r="O117" i="25"/>
  <c r="N117" i="25"/>
  <c r="M117" i="25"/>
  <c r="L117" i="25"/>
  <c r="K117" i="25"/>
  <c r="J117" i="25"/>
  <c r="I117" i="25"/>
  <c r="G117" i="25"/>
  <c r="G110" i="25" s="1"/>
  <c r="Q111" i="25"/>
  <c r="P111" i="25"/>
  <c r="P110" i="25" s="1"/>
  <c r="O111" i="25"/>
  <c r="N111" i="25"/>
  <c r="M111" i="25"/>
  <c r="L111" i="25"/>
  <c r="I111" i="25"/>
  <c r="I110" i="25" s="1"/>
  <c r="Q92" i="25"/>
  <c r="P92" i="25"/>
  <c r="O92" i="25"/>
  <c r="N92" i="25"/>
  <c r="M92" i="25"/>
  <c r="L92" i="25"/>
  <c r="K92" i="25"/>
  <c r="G92" i="25"/>
  <c r="Q86" i="25"/>
  <c r="P86" i="25"/>
  <c r="O86" i="25"/>
  <c r="N86" i="25"/>
  <c r="M86" i="25"/>
  <c r="L86" i="25"/>
  <c r="K86" i="25"/>
  <c r="J86" i="25"/>
  <c r="H86" i="25"/>
  <c r="G86" i="25"/>
  <c r="Q80" i="25"/>
  <c r="P80" i="25"/>
  <c r="O80" i="25"/>
  <c r="N80" i="25"/>
  <c r="M80" i="25"/>
  <c r="L80" i="25"/>
  <c r="Q61" i="25"/>
  <c r="P61" i="25"/>
  <c r="O61" i="25"/>
  <c r="N61" i="25"/>
  <c r="M61" i="25"/>
  <c r="L61" i="25"/>
  <c r="J61" i="25"/>
  <c r="I61" i="25"/>
  <c r="G61" i="25"/>
  <c r="Q55" i="25"/>
  <c r="P55" i="25"/>
  <c r="O55" i="25"/>
  <c r="N55" i="25"/>
  <c r="M55" i="25"/>
  <c r="L55" i="25"/>
  <c r="K55" i="25"/>
  <c r="I55" i="25"/>
  <c r="H55" i="25"/>
  <c r="D19" i="25"/>
  <c r="H221" i="25"/>
  <c r="I221" i="25"/>
  <c r="J221" i="25"/>
  <c r="K221" i="25"/>
  <c r="L221" i="25"/>
  <c r="M221" i="25"/>
  <c r="N221" i="25"/>
  <c r="O221" i="25"/>
  <c r="P221" i="25"/>
  <c r="Q221" i="25"/>
  <c r="H214" i="25"/>
  <c r="I214" i="25"/>
  <c r="J214" i="25"/>
  <c r="K214" i="25"/>
  <c r="L214" i="25"/>
  <c r="M214" i="25"/>
  <c r="N214" i="25"/>
  <c r="O214" i="25"/>
  <c r="P214" i="25"/>
  <c r="Q214" i="25"/>
  <c r="G214" i="25"/>
  <c r="W222" i="80" l="1"/>
  <c r="V226" i="80"/>
  <c r="S226" i="79"/>
  <c r="T222" i="79"/>
  <c r="K141" i="25"/>
  <c r="I141" i="25"/>
  <c r="N110" i="25"/>
  <c r="P141" i="25"/>
  <c r="O110" i="25"/>
  <c r="H141" i="25"/>
  <c r="H172" i="62"/>
  <c r="H177" i="62" s="1"/>
  <c r="Q141" i="25"/>
  <c r="Q110" i="25"/>
  <c r="L141" i="25"/>
  <c r="AE142" i="25"/>
  <c r="G141" i="25"/>
  <c r="M141" i="25"/>
  <c r="L110" i="25"/>
  <c r="J110" i="25"/>
  <c r="N141" i="25"/>
  <c r="M110" i="25"/>
  <c r="K110" i="25"/>
  <c r="O141" i="25"/>
  <c r="Q79" i="25"/>
  <c r="AE55" i="25"/>
  <c r="AE80" i="25"/>
  <c r="AE148" i="25"/>
  <c r="AE86" i="25"/>
  <c r="AE61" i="25"/>
  <c r="AE117" i="25"/>
  <c r="AE92" i="25"/>
  <c r="AE111" i="25"/>
  <c r="AE154" i="25"/>
  <c r="AE123" i="25"/>
  <c r="M79" i="25"/>
  <c r="N79" i="25"/>
  <c r="O79" i="25"/>
  <c r="P79" i="25"/>
  <c r="L79" i="25"/>
  <c r="H214" i="62"/>
  <c r="I93" i="62"/>
  <c r="H99" i="53"/>
  <c r="H130" i="62"/>
  <c r="H256" i="62"/>
  <c r="H261" i="62" s="1"/>
  <c r="F220" i="62"/>
  <c r="H88" i="62"/>
  <c r="F180" i="62"/>
  <c r="F178" i="62"/>
  <c r="K12" i="49"/>
  <c r="C6" i="26"/>
  <c r="C5" i="26"/>
  <c r="AE6" i="25"/>
  <c r="AE5" i="25"/>
  <c r="D8" i="68" s="1"/>
  <c r="R6" i="74"/>
  <c r="B6" i="75" s="1"/>
  <c r="R5" i="74"/>
  <c r="B5" i="75" s="1"/>
  <c r="X222" i="80" l="1"/>
  <c r="W226" i="80"/>
  <c r="T226" i="79"/>
  <c r="U222" i="79"/>
  <c r="AE141" i="25"/>
  <c r="AE110" i="25"/>
  <c r="AE79" i="25"/>
  <c r="F96" i="62"/>
  <c r="H93" i="62"/>
  <c r="F138" i="62"/>
  <c r="H135" i="62"/>
  <c r="F136" i="62"/>
  <c r="F222" i="62"/>
  <c r="H219" i="62"/>
  <c r="C7" i="50"/>
  <c r="B6" i="23"/>
  <c r="F6" i="64"/>
  <c r="C6" i="53"/>
  <c r="E6" i="76"/>
  <c r="D9" i="68"/>
  <c r="F264" i="62"/>
  <c r="F262" i="62"/>
  <c r="F94" i="62"/>
  <c r="B6" i="9"/>
  <c r="B7" i="51"/>
  <c r="E7" i="63"/>
  <c r="E7" i="41"/>
  <c r="F6" i="62"/>
  <c r="C11" i="67"/>
  <c r="D6" i="49"/>
  <c r="F5" i="64"/>
  <c r="F5" i="62"/>
  <c r="B5" i="23"/>
  <c r="D5" i="49"/>
  <c r="E6" i="63"/>
  <c r="E5" i="76"/>
  <c r="C10" i="67"/>
  <c r="C5" i="53"/>
  <c r="B6" i="51"/>
  <c r="C6" i="50"/>
  <c r="B5" i="9"/>
  <c r="E6" i="41"/>
  <c r="Y222" i="80" l="1"/>
  <c r="X226" i="80"/>
  <c r="U226" i="79"/>
  <c r="V222" i="79"/>
  <c r="G13" i="53"/>
  <c r="G35" i="53"/>
  <c r="G36" i="53"/>
  <c r="G37" i="53"/>
  <c r="G38" i="53"/>
  <c r="G39" i="53"/>
  <c r="G40" i="53"/>
  <c r="G41" i="53"/>
  <c r="G42" i="53"/>
  <c r="G43" i="53"/>
  <c r="G60" i="53"/>
  <c r="G12" i="53"/>
  <c r="F13" i="53"/>
  <c r="F35" i="53"/>
  <c r="F36" i="53"/>
  <c r="H36" i="53" s="1"/>
  <c r="N36" i="53" s="1"/>
  <c r="F37" i="53"/>
  <c r="F38" i="53"/>
  <c r="F39" i="53"/>
  <c r="F40" i="53"/>
  <c r="F41" i="53"/>
  <c r="F42" i="53"/>
  <c r="F43" i="53"/>
  <c r="F60" i="53"/>
  <c r="H60" i="53" s="1"/>
  <c r="N60" i="53" s="1"/>
  <c r="F12" i="53"/>
  <c r="H12" i="53" s="1"/>
  <c r="E9" i="75"/>
  <c r="D9" i="75"/>
  <c r="G12" i="26"/>
  <c r="G28" i="26"/>
  <c r="G29" i="26"/>
  <c r="G30" i="26"/>
  <c r="G31" i="26"/>
  <c r="G32" i="26"/>
  <c r="G33" i="26"/>
  <c r="G35" i="26"/>
  <c r="G51" i="26"/>
  <c r="G11" i="26"/>
  <c r="F12" i="26"/>
  <c r="H12" i="26" s="1"/>
  <c r="P12" i="26" s="1"/>
  <c r="F28" i="26"/>
  <c r="F29" i="26"/>
  <c r="F30" i="26"/>
  <c r="F31" i="26"/>
  <c r="F32" i="26"/>
  <c r="F33" i="26"/>
  <c r="F35" i="26"/>
  <c r="F51" i="26"/>
  <c r="H51" i="26" s="1"/>
  <c r="P51" i="26" s="1"/>
  <c r="F11" i="26"/>
  <c r="Z222" i="80" l="1"/>
  <c r="Y226" i="80"/>
  <c r="V226" i="79"/>
  <c r="W222" i="79"/>
  <c r="F9" i="75"/>
  <c r="F11" i="75" s="1"/>
  <c r="F13" i="75" s="1"/>
  <c r="H37" i="53"/>
  <c r="N37" i="53" s="1"/>
  <c r="H13" i="53"/>
  <c r="H42" i="53"/>
  <c r="N42" i="53" s="1"/>
  <c r="H40" i="53"/>
  <c r="N40" i="53" s="1"/>
  <c r="H39" i="53"/>
  <c r="N39" i="53" s="1"/>
  <c r="H11" i="26"/>
  <c r="P11" i="26" s="1"/>
  <c r="H28" i="26"/>
  <c r="P28" i="26" s="1"/>
  <c r="H33" i="26"/>
  <c r="P33" i="26" s="1"/>
  <c r="H32" i="26"/>
  <c r="P32" i="26" s="1"/>
  <c r="H43" i="53"/>
  <c r="N43" i="53" s="1"/>
  <c r="H35" i="53"/>
  <c r="N35" i="53" s="1"/>
  <c r="H35" i="26"/>
  <c r="P35" i="26" s="1"/>
  <c r="H31" i="26"/>
  <c r="P31" i="26" s="1"/>
  <c r="H41" i="53"/>
  <c r="N41" i="53" s="1"/>
  <c r="H38" i="53"/>
  <c r="N38" i="53" s="1"/>
  <c r="H30" i="26"/>
  <c r="P30" i="26" s="1"/>
  <c r="H29" i="26"/>
  <c r="P29" i="26" s="1"/>
  <c r="I15" i="41"/>
  <c r="K15" i="76"/>
  <c r="K221" i="76"/>
  <c r="K211" i="76"/>
  <c r="K210" i="76"/>
  <c r="K209" i="76"/>
  <c r="K16" i="76"/>
  <c r="K212" i="76"/>
  <c r="K213" i="76"/>
  <c r="K214" i="76"/>
  <c r="K215" i="76"/>
  <c r="K216" i="76"/>
  <c r="K217" i="76"/>
  <c r="K218" i="76"/>
  <c r="K219" i="76"/>
  <c r="K220" i="76"/>
  <c r="K222" i="76"/>
  <c r="K223" i="76"/>
  <c r="K224" i="76"/>
  <c r="K225" i="76"/>
  <c r="K226" i="76"/>
  <c r="K227" i="76"/>
  <c r="K228" i="76"/>
  <c r="K229" i="76"/>
  <c r="K230" i="76"/>
  <c r="K231" i="76"/>
  <c r="K232" i="76"/>
  <c r="K233" i="76"/>
  <c r="K234" i="76"/>
  <c r="K235" i="76"/>
  <c r="K236" i="76"/>
  <c r="K237" i="76"/>
  <c r="K238" i="76"/>
  <c r="K239" i="76"/>
  <c r="K240" i="76"/>
  <c r="K241" i="76"/>
  <c r="K242" i="76"/>
  <c r="K243" i="76"/>
  <c r="K244" i="76"/>
  <c r="K245" i="76"/>
  <c r="K254" i="76"/>
  <c r="K255" i="76"/>
  <c r="K257" i="76"/>
  <c r="K258" i="76"/>
  <c r="K259" i="76"/>
  <c r="K260" i="76"/>
  <c r="K261" i="76"/>
  <c r="K262" i="76"/>
  <c r="K264" i="76"/>
  <c r="H119" i="64"/>
  <c r="H118" i="64"/>
  <c r="H117" i="64"/>
  <c r="H45" i="64"/>
  <c r="H106" i="64"/>
  <c r="H107" i="64"/>
  <c r="H108" i="64"/>
  <c r="H109" i="64"/>
  <c r="H110" i="64"/>
  <c r="H111" i="64"/>
  <c r="H112" i="64"/>
  <c r="H113" i="64"/>
  <c r="H114" i="64"/>
  <c r="H115" i="64"/>
  <c r="H116" i="64"/>
  <c r="H44" i="64"/>
  <c r="C9" i="28"/>
  <c r="C10" i="28"/>
  <c r="B43" i="28"/>
  <c r="C43" i="28"/>
  <c r="C44" i="28" s="1"/>
  <c r="E13" i="9"/>
  <c r="F19" i="74"/>
  <c r="G19" i="74" s="1"/>
  <c r="H19" i="74" s="1"/>
  <c r="I19" i="74" s="1"/>
  <c r="J19" i="74" s="1"/>
  <c r="K19" i="74" s="1"/>
  <c r="R38" i="74"/>
  <c r="G35" i="74"/>
  <c r="H35" i="74"/>
  <c r="I35" i="74"/>
  <c r="J35" i="74"/>
  <c r="K35" i="74"/>
  <c r="L35" i="74"/>
  <c r="M35" i="74"/>
  <c r="N35" i="74"/>
  <c r="O35" i="74"/>
  <c r="P35" i="74"/>
  <c r="Q35" i="74"/>
  <c r="F35" i="74"/>
  <c r="L26" i="74"/>
  <c r="P26" i="74"/>
  <c r="R17" i="74"/>
  <c r="R16" i="74"/>
  <c r="O26" i="74"/>
  <c r="N26" i="74"/>
  <c r="H26" i="74"/>
  <c r="J26" i="74"/>
  <c r="F26" i="74"/>
  <c r="F27" i="74" s="1"/>
  <c r="K26" i="74"/>
  <c r="M26" i="74"/>
  <c r="Q26" i="74"/>
  <c r="G26" i="74"/>
  <c r="I26" i="74"/>
  <c r="D188" i="53"/>
  <c r="D187" i="53"/>
  <c r="D186" i="53"/>
  <c r="D192" i="53"/>
  <c r="D191" i="53"/>
  <c r="D190" i="53"/>
  <c r="D189" i="53"/>
  <c r="E165" i="26"/>
  <c r="A51" i="62"/>
  <c r="A50" i="62"/>
  <c r="A49" i="62"/>
  <c r="A48" i="62"/>
  <c r="C13" i="59"/>
  <c r="D13" i="59" s="1"/>
  <c r="E13" i="59" s="1"/>
  <c r="F13" i="59" s="1"/>
  <c r="C14" i="59"/>
  <c r="D14" i="59" s="1"/>
  <c r="E14" i="59" s="1"/>
  <c r="F14" i="59" s="1"/>
  <c r="C15" i="59"/>
  <c r="D15" i="59" s="1"/>
  <c r="C16" i="59"/>
  <c r="D16" i="59" s="1"/>
  <c r="E16" i="59" s="1"/>
  <c r="F16" i="59" s="1"/>
  <c r="C17" i="59"/>
  <c r="D17" i="59" s="1"/>
  <c r="E17" i="59" s="1"/>
  <c r="F17" i="59" s="1"/>
  <c r="C18" i="59"/>
  <c r="D18" i="59" s="1"/>
  <c r="E18" i="59" s="1"/>
  <c r="F18" i="59" s="1"/>
  <c r="C19" i="59"/>
  <c r="D19" i="59" s="1"/>
  <c r="E19" i="59" s="1"/>
  <c r="F19" i="59" s="1"/>
  <c r="C20" i="59"/>
  <c r="D20" i="59" s="1"/>
  <c r="E20" i="59" s="1"/>
  <c r="F20" i="59" s="1"/>
  <c r="C21" i="59"/>
  <c r="D21" i="59" s="1"/>
  <c r="E21" i="59" s="1"/>
  <c r="F21" i="59" s="1"/>
  <c r="C22" i="59"/>
  <c r="D22" i="59" s="1"/>
  <c r="E22" i="59" s="1"/>
  <c r="F22" i="59" s="1"/>
  <c r="C23" i="59"/>
  <c r="D23" i="59" s="1"/>
  <c r="C24" i="59"/>
  <c r="D24" i="59" s="1"/>
  <c r="C25" i="59"/>
  <c r="D25" i="59" s="1"/>
  <c r="E25" i="59" s="1"/>
  <c r="F25" i="59" s="1"/>
  <c r="C26" i="59"/>
  <c r="D26" i="59" s="1"/>
  <c r="E26" i="59" s="1"/>
  <c r="F26" i="59" s="1"/>
  <c r="C27" i="59"/>
  <c r="D27" i="59" s="1"/>
  <c r="E27" i="59" s="1"/>
  <c r="F27" i="59" s="1"/>
  <c r="C28" i="59"/>
  <c r="D28" i="59" s="1"/>
  <c r="E28" i="59" s="1"/>
  <c r="F28" i="59" s="1"/>
  <c r="C29" i="59"/>
  <c r="D29" i="59" s="1"/>
  <c r="E29" i="59" s="1"/>
  <c r="F29" i="59" s="1"/>
  <c r="C30" i="59"/>
  <c r="D30" i="59" s="1"/>
  <c r="E30" i="59" s="1"/>
  <c r="F30" i="59" s="1"/>
  <c r="C31" i="59"/>
  <c r="D31" i="59" s="1"/>
  <c r="C32" i="59"/>
  <c r="D32" i="59" s="1"/>
  <c r="C33" i="59"/>
  <c r="D33" i="59" s="1"/>
  <c r="E33" i="59" s="1"/>
  <c r="F33" i="59" s="1"/>
  <c r="C34" i="59"/>
  <c r="D34" i="59" s="1"/>
  <c r="E34" i="59" s="1"/>
  <c r="F34" i="59" s="1"/>
  <c r="C35" i="59"/>
  <c r="D35" i="59" s="1"/>
  <c r="E35" i="59" s="1"/>
  <c r="F35" i="59" s="1"/>
  <c r="C36" i="59"/>
  <c r="D36" i="59" s="1"/>
  <c r="E36" i="59" s="1"/>
  <c r="F36" i="59" s="1"/>
  <c r="C37" i="59"/>
  <c r="D37" i="59" s="1"/>
  <c r="E37" i="59" s="1"/>
  <c r="F37" i="59" s="1"/>
  <c r="C38" i="59"/>
  <c r="D38" i="59" s="1"/>
  <c r="E38" i="59" s="1"/>
  <c r="F38" i="59" s="1"/>
  <c r="C39" i="59"/>
  <c r="D39" i="59" s="1"/>
  <c r="C40" i="59"/>
  <c r="D40" i="59" s="1"/>
  <c r="C41" i="59"/>
  <c r="D41" i="59" s="1"/>
  <c r="E41" i="59" s="1"/>
  <c r="F41" i="59" s="1"/>
  <c r="C42" i="59"/>
  <c r="D42" i="59" s="1"/>
  <c r="E42" i="59" s="1"/>
  <c r="F42" i="59" s="1"/>
  <c r="C43" i="59"/>
  <c r="D43" i="59" s="1"/>
  <c r="E43" i="59" s="1"/>
  <c r="F43" i="59" s="1"/>
  <c r="C44" i="59"/>
  <c r="D44" i="59" s="1"/>
  <c r="E44" i="59" s="1"/>
  <c r="F44" i="59" s="1"/>
  <c r="C45" i="59"/>
  <c r="D45" i="59" s="1"/>
  <c r="E45" i="59" s="1"/>
  <c r="F45" i="59" s="1"/>
  <c r="C46" i="59"/>
  <c r="D46" i="59" s="1"/>
  <c r="E46" i="59" s="1"/>
  <c r="F46" i="59" s="1"/>
  <c r="C47" i="59"/>
  <c r="D47" i="59" s="1"/>
  <c r="C48" i="59"/>
  <c r="D48" i="59" s="1"/>
  <c r="E48" i="59" s="1"/>
  <c r="F48" i="59" s="1"/>
  <c r="C49" i="59"/>
  <c r="D49" i="59" s="1"/>
  <c r="E49" i="59" s="1"/>
  <c r="F49" i="59" s="1"/>
  <c r="C50" i="59"/>
  <c r="D50" i="59" s="1"/>
  <c r="E50" i="59" s="1"/>
  <c r="F50" i="59" s="1"/>
  <c r="C51" i="59"/>
  <c r="D51" i="59" s="1"/>
  <c r="E51" i="59" s="1"/>
  <c r="F51" i="59" s="1"/>
  <c r="C52" i="59"/>
  <c r="D52" i="59" s="1"/>
  <c r="E52" i="59" s="1"/>
  <c r="F52" i="59" s="1"/>
  <c r="C53" i="59"/>
  <c r="D53" i="59" s="1"/>
  <c r="E53" i="59" s="1"/>
  <c r="F53" i="59" s="1"/>
  <c r="C54" i="59"/>
  <c r="D54" i="59" s="1"/>
  <c r="E54" i="59" s="1"/>
  <c r="F54" i="59" s="1"/>
  <c r="C55" i="59"/>
  <c r="D55" i="59" s="1"/>
  <c r="C56" i="59"/>
  <c r="D56" i="59" s="1"/>
  <c r="C57" i="59"/>
  <c r="D57" i="59" s="1"/>
  <c r="E57" i="59" s="1"/>
  <c r="F57" i="59" s="1"/>
  <c r="C58" i="59"/>
  <c r="D58" i="59" s="1"/>
  <c r="E58" i="59" s="1"/>
  <c r="F58" i="59" s="1"/>
  <c r="C59" i="59"/>
  <c r="D59" i="59" s="1"/>
  <c r="E59" i="59" s="1"/>
  <c r="F59" i="59" s="1"/>
  <c r="C60" i="59"/>
  <c r="D60" i="59" s="1"/>
  <c r="E60" i="59" s="1"/>
  <c r="F60" i="59" s="1"/>
  <c r="C61" i="59"/>
  <c r="D61" i="59" s="1"/>
  <c r="E61" i="59" s="1"/>
  <c r="F61" i="59" s="1"/>
  <c r="C62" i="59"/>
  <c r="D62" i="59" s="1"/>
  <c r="E62" i="59" s="1"/>
  <c r="F62" i="59" s="1"/>
  <c r="C63" i="59"/>
  <c r="D63" i="59" s="1"/>
  <c r="C64" i="59"/>
  <c r="D64" i="59" s="1"/>
  <c r="C65" i="59"/>
  <c r="D65" i="59" s="1"/>
  <c r="E65" i="59" s="1"/>
  <c r="F65" i="59" s="1"/>
  <c r="C66" i="59"/>
  <c r="D66" i="59" s="1"/>
  <c r="E66" i="59" s="1"/>
  <c r="F66" i="59" s="1"/>
  <c r="C67" i="59"/>
  <c r="D67" i="59" s="1"/>
  <c r="E67" i="59" s="1"/>
  <c r="F67" i="59" s="1"/>
  <c r="C68" i="59"/>
  <c r="D68" i="59" s="1"/>
  <c r="E68" i="59" s="1"/>
  <c r="F68" i="59" s="1"/>
  <c r="C69" i="59"/>
  <c r="D69" i="59" s="1"/>
  <c r="E69" i="59" s="1"/>
  <c r="F69" i="59" s="1"/>
  <c r="C70" i="59"/>
  <c r="D70" i="59" s="1"/>
  <c r="E70" i="59" s="1"/>
  <c r="F70" i="59" s="1"/>
  <c r="C71" i="59"/>
  <c r="D71" i="59" s="1"/>
  <c r="C72" i="59"/>
  <c r="D72" i="59" s="1"/>
  <c r="E72" i="59" s="1"/>
  <c r="F72" i="59" s="1"/>
  <c r="C73" i="59"/>
  <c r="D73" i="59" s="1"/>
  <c r="E73" i="59" s="1"/>
  <c r="F73" i="59" s="1"/>
  <c r="C74" i="59"/>
  <c r="D74" i="59" s="1"/>
  <c r="E74" i="59" s="1"/>
  <c r="F74" i="59" s="1"/>
  <c r="C75" i="59"/>
  <c r="D75" i="59" s="1"/>
  <c r="E75" i="59" s="1"/>
  <c r="F75" i="59" s="1"/>
  <c r="C76" i="59"/>
  <c r="D76" i="59" s="1"/>
  <c r="E76" i="59" s="1"/>
  <c r="F76" i="59" s="1"/>
  <c r="C77" i="59"/>
  <c r="D77" i="59" s="1"/>
  <c r="E77" i="59" s="1"/>
  <c r="F77" i="59" s="1"/>
  <c r="C78" i="59"/>
  <c r="D78" i="59" s="1"/>
  <c r="E78" i="59" s="1"/>
  <c r="F78" i="59" s="1"/>
  <c r="C79" i="59"/>
  <c r="D79" i="59" s="1"/>
  <c r="C80" i="59"/>
  <c r="D80" i="59" s="1"/>
  <c r="E80" i="59" s="1"/>
  <c r="F80" i="59" s="1"/>
  <c r="C81" i="59"/>
  <c r="D81" i="59" s="1"/>
  <c r="E81" i="59" s="1"/>
  <c r="F81" i="59" s="1"/>
  <c r="C82" i="59"/>
  <c r="D82" i="59" s="1"/>
  <c r="E82" i="59" s="1"/>
  <c r="F82" i="59" s="1"/>
  <c r="C83" i="59"/>
  <c r="D83" i="59" s="1"/>
  <c r="E83" i="59" s="1"/>
  <c r="F83" i="59" s="1"/>
  <c r="C84" i="59"/>
  <c r="D84" i="59" s="1"/>
  <c r="E84" i="59" s="1"/>
  <c r="F84" i="59" s="1"/>
  <c r="C85" i="59"/>
  <c r="D85" i="59" s="1"/>
  <c r="E85" i="59" s="1"/>
  <c r="F85" i="59" s="1"/>
  <c r="C86" i="59"/>
  <c r="D86" i="59" s="1"/>
  <c r="E86" i="59" s="1"/>
  <c r="F86" i="59" s="1"/>
  <c r="C87" i="59"/>
  <c r="D87" i="59" s="1"/>
  <c r="C88" i="59"/>
  <c r="D88" i="59" s="1"/>
  <c r="C89" i="59"/>
  <c r="D89" i="59" s="1"/>
  <c r="E89" i="59" s="1"/>
  <c r="F89" i="59" s="1"/>
  <c r="C90" i="59"/>
  <c r="D90" i="59" s="1"/>
  <c r="E90" i="59" s="1"/>
  <c r="F90" i="59" s="1"/>
  <c r="C91" i="59"/>
  <c r="D91" i="59" s="1"/>
  <c r="E91" i="59" s="1"/>
  <c r="F91" i="59" s="1"/>
  <c r="C92" i="59"/>
  <c r="D92" i="59" s="1"/>
  <c r="E92" i="59" s="1"/>
  <c r="F92" i="59" s="1"/>
  <c r="C93" i="59"/>
  <c r="D93" i="59" s="1"/>
  <c r="E93" i="59" s="1"/>
  <c r="F93" i="59" s="1"/>
  <c r="C94" i="59"/>
  <c r="D94" i="59" s="1"/>
  <c r="E94" i="59" s="1"/>
  <c r="F94" i="59" s="1"/>
  <c r="C95" i="59"/>
  <c r="D95" i="59" s="1"/>
  <c r="C96" i="59"/>
  <c r="D96" i="59" s="1"/>
  <c r="E96" i="59" s="1"/>
  <c r="F96" i="59" s="1"/>
  <c r="C97" i="59"/>
  <c r="D97" i="59" s="1"/>
  <c r="E97" i="59" s="1"/>
  <c r="F97" i="59" s="1"/>
  <c r="C98" i="59"/>
  <c r="D98" i="59" s="1"/>
  <c r="E98" i="59" s="1"/>
  <c r="F98" i="59" s="1"/>
  <c r="C99" i="59"/>
  <c r="D99" i="59" s="1"/>
  <c r="E99" i="59" s="1"/>
  <c r="F99" i="59" s="1"/>
  <c r="C100" i="59"/>
  <c r="D100" i="59" s="1"/>
  <c r="E100" i="59" s="1"/>
  <c r="F100" i="59" s="1"/>
  <c r="C101" i="59"/>
  <c r="D101" i="59" s="1"/>
  <c r="E101" i="59" s="1"/>
  <c r="F101" i="59" s="1"/>
  <c r="C102" i="59"/>
  <c r="D102" i="59" s="1"/>
  <c r="E102" i="59" s="1"/>
  <c r="F102" i="59" s="1"/>
  <c r="C103" i="59"/>
  <c r="D103" i="59" s="1"/>
  <c r="C104" i="59"/>
  <c r="D104" i="59" s="1"/>
  <c r="E104" i="59" s="1"/>
  <c r="F104" i="59" s="1"/>
  <c r="C105" i="59"/>
  <c r="D105" i="59" s="1"/>
  <c r="E105" i="59" s="1"/>
  <c r="F105" i="59" s="1"/>
  <c r="C106" i="59"/>
  <c r="D106" i="59" s="1"/>
  <c r="E106" i="59" s="1"/>
  <c r="F106" i="59" s="1"/>
  <c r="C107" i="59"/>
  <c r="D107" i="59" s="1"/>
  <c r="E107" i="59" s="1"/>
  <c r="F107" i="59" s="1"/>
  <c r="C108" i="59"/>
  <c r="D108" i="59" s="1"/>
  <c r="E108" i="59" s="1"/>
  <c r="F108" i="59" s="1"/>
  <c r="C109" i="59"/>
  <c r="D109" i="59" s="1"/>
  <c r="E109" i="59" s="1"/>
  <c r="F109" i="59" s="1"/>
  <c r="C110" i="59"/>
  <c r="D110" i="59" s="1"/>
  <c r="E110" i="59" s="1"/>
  <c r="F110" i="59" s="1"/>
  <c r="C111" i="59"/>
  <c r="D111" i="59" s="1"/>
  <c r="C112" i="59"/>
  <c r="D112" i="59" s="1"/>
  <c r="E112" i="59" s="1"/>
  <c r="F112" i="59" s="1"/>
  <c r="C113" i="59"/>
  <c r="D113" i="59" s="1"/>
  <c r="E113" i="59" s="1"/>
  <c r="F113" i="59" s="1"/>
  <c r="C114" i="59"/>
  <c r="D114" i="59" s="1"/>
  <c r="E114" i="59" s="1"/>
  <c r="F114" i="59" s="1"/>
  <c r="C115" i="59"/>
  <c r="D115" i="59" s="1"/>
  <c r="E115" i="59" s="1"/>
  <c r="F115" i="59" s="1"/>
  <c r="C116" i="59"/>
  <c r="D116" i="59" s="1"/>
  <c r="E116" i="59" s="1"/>
  <c r="F116" i="59" s="1"/>
  <c r="C117" i="59"/>
  <c r="D117" i="59" s="1"/>
  <c r="E117" i="59" s="1"/>
  <c r="F117" i="59" s="1"/>
  <c r="C118" i="59"/>
  <c r="D118" i="59" s="1"/>
  <c r="E118" i="59" s="1"/>
  <c r="F118" i="59" s="1"/>
  <c r="C119" i="59"/>
  <c r="D119" i="59" s="1"/>
  <c r="C120" i="59"/>
  <c r="D120" i="59" s="1"/>
  <c r="E120" i="59" s="1"/>
  <c r="F120" i="59" s="1"/>
  <c r="C121" i="59"/>
  <c r="D121" i="59" s="1"/>
  <c r="E121" i="59" s="1"/>
  <c r="F121" i="59" s="1"/>
  <c r="C12" i="59"/>
  <c r="D12" i="59" s="1"/>
  <c r="E12" i="59" s="1"/>
  <c r="F12" i="59" s="1"/>
  <c r="C11" i="28"/>
  <c r="C12" i="28"/>
  <c r="C13" i="28"/>
  <c r="C14" i="28"/>
  <c r="C15" i="28"/>
  <c r="A163" i="53"/>
  <c r="A137" i="26"/>
  <c r="B43" i="39"/>
  <c r="B42" i="28"/>
  <c r="B44" i="28"/>
  <c r="B46" i="28" s="1"/>
  <c r="C42" i="28"/>
  <c r="B38" i="28"/>
  <c r="B36" i="28"/>
  <c r="M59" i="68"/>
  <c r="M58" i="68"/>
  <c r="L67" i="68"/>
  <c r="L66" i="68"/>
  <c r="L65" i="68"/>
  <c r="L64" i="68"/>
  <c r="L63" i="68"/>
  <c r="L62" i="68"/>
  <c r="L61" i="68"/>
  <c r="L60" i="68"/>
  <c r="L59" i="68"/>
  <c r="L58" i="68"/>
  <c r="M80" i="68"/>
  <c r="L80" i="68"/>
  <c r="M79" i="68"/>
  <c r="L79" i="68"/>
  <c r="M78" i="68"/>
  <c r="L78" i="68"/>
  <c r="M77" i="68"/>
  <c r="L77" i="68"/>
  <c r="M76" i="68"/>
  <c r="L76" i="68"/>
  <c r="M75" i="68"/>
  <c r="L75" i="68"/>
  <c r="M74" i="68"/>
  <c r="L74" i="68"/>
  <c r="M73" i="68"/>
  <c r="L73" i="68"/>
  <c r="M72" i="68"/>
  <c r="L72" i="68"/>
  <c r="M71" i="68"/>
  <c r="L71" i="68"/>
  <c r="M67" i="68"/>
  <c r="M66" i="68"/>
  <c r="M65" i="68"/>
  <c r="M64" i="68"/>
  <c r="M63" i="68"/>
  <c r="M62" i="68"/>
  <c r="M61" i="68"/>
  <c r="N61" i="68" s="1"/>
  <c r="M60" i="68"/>
  <c r="D58" i="67"/>
  <c r="E58" i="67" s="1"/>
  <c r="D59" i="67"/>
  <c r="E59" i="67" s="1"/>
  <c r="D60" i="67"/>
  <c r="E60" i="67" s="1"/>
  <c r="D61" i="67"/>
  <c r="E61" i="67" s="1"/>
  <c r="D62" i="67"/>
  <c r="E62" i="67" s="1"/>
  <c r="D63" i="67"/>
  <c r="E63" i="67" s="1"/>
  <c r="D64" i="67"/>
  <c r="E64" i="67" s="1"/>
  <c r="D65" i="67"/>
  <c r="E65" i="67" s="1"/>
  <c r="D57" i="67"/>
  <c r="E57" i="67" s="1"/>
  <c r="D46" i="67"/>
  <c r="E46" i="67"/>
  <c r="D47" i="67"/>
  <c r="E47" i="67" s="1"/>
  <c r="D48" i="67"/>
  <c r="E48" i="67" s="1"/>
  <c r="D49" i="67"/>
  <c r="E49" i="67" s="1"/>
  <c r="D50" i="67"/>
  <c r="E50" i="67" s="1"/>
  <c r="D51" i="67"/>
  <c r="E51" i="67" s="1"/>
  <c r="D52" i="67"/>
  <c r="E52" i="67" s="1"/>
  <c r="D30" i="67"/>
  <c r="E30" i="67" s="1"/>
  <c r="D31" i="67"/>
  <c r="E31" i="67" s="1"/>
  <c r="D32" i="67"/>
  <c r="E32" i="67" s="1"/>
  <c r="D33" i="67"/>
  <c r="E33" i="67" s="1"/>
  <c r="D34" i="67"/>
  <c r="E34" i="67" s="1"/>
  <c r="D35" i="67"/>
  <c r="E35" i="67" s="1"/>
  <c r="D36" i="67"/>
  <c r="E36" i="67" s="1"/>
  <c r="D37" i="67"/>
  <c r="E37" i="67" s="1"/>
  <c r="D38" i="67"/>
  <c r="E38" i="67"/>
  <c r="D23" i="67"/>
  <c r="E23" i="67" s="1"/>
  <c r="D22" i="67"/>
  <c r="E22" i="67" s="1"/>
  <c r="D56" i="67"/>
  <c r="E56" i="67" s="1"/>
  <c r="D45" i="67"/>
  <c r="E45" i="67" s="1"/>
  <c r="D44" i="67"/>
  <c r="E44" i="67" s="1"/>
  <c r="D43" i="67"/>
  <c r="E43" i="67" s="1"/>
  <c r="M44" i="68"/>
  <c r="L44" i="68"/>
  <c r="C38" i="68"/>
  <c r="C23" i="68"/>
  <c r="C22" i="68"/>
  <c r="D19" i="67"/>
  <c r="E19" i="67" s="1"/>
  <c r="M46" i="68"/>
  <c r="M45" i="68"/>
  <c r="M47" i="68"/>
  <c r="M48" i="68"/>
  <c r="M49" i="68"/>
  <c r="M50" i="68"/>
  <c r="M51" i="68"/>
  <c r="M52" i="68"/>
  <c r="M53" i="68"/>
  <c r="L45" i="68"/>
  <c r="N45" i="68" s="1"/>
  <c r="L46" i="68"/>
  <c r="L47" i="68"/>
  <c r="L48" i="68"/>
  <c r="L49" i="68"/>
  <c r="L50" i="68"/>
  <c r="L51" i="68"/>
  <c r="N51" i="68" s="1"/>
  <c r="L52" i="68"/>
  <c r="L53" i="68"/>
  <c r="F39" i="68"/>
  <c r="F38" i="68"/>
  <c r="C39" i="68"/>
  <c r="C40" i="68" s="1"/>
  <c r="D21" i="67"/>
  <c r="E21" i="67" s="1"/>
  <c r="D20" i="67"/>
  <c r="E20" i="67" s="1"/>
  <c r="D28" i="67"/>
  <c r="E28" i="67" s="1"/>
  <c r="D29" i="67"/>
  <c r="E29" i="67" s="1"/>
  <c r="D27" i="67"/>
  <c r="E27" i="67" s="1"/>
  <c r="C15" i="67"/>
  <c r="D15" i="67" s="1"/>
  <c r="E13" i="65"/>
  <c r="E12" i="65"/>
  <c r="E11" i="65"/>
  <c r="E10" i="65"/>
  <c r="E14" i="65"/>
  <c r="E50" i="23"/>
  <c r="F50" i="23" s="1"/>
  <c r="E51" i="23"/>
  <c r="F51" i="23" s="1"/>
  <c r="E52" i="23"/>
  <c r="F52" i="23" s="1"/>
  <c r="E53" i="23"/>
  <c r="F53" i="23" s="1"/>
  <c r="E54" i="23"/>
  <c r="F54" i="23" s="1"/>
  <c r="E55" i="23"/>
  <c r="F55" i="23" s="1"/>
  <c r="E56" i="23"/>
  <c r="F56" i="23" s="1"/>
  <c r="E57" i="23"/>
  <c r="F57" i="23" s="1"/>
  <c r="E58" i="23"/>
  <c r="F58" i="23" s="1"/>
  <c r="E59" i="23"/>
  <c r="F59" i="23" s="1"/>
  <c r="E49" i="23"/>
  <c r="F49" i="23" s="1"/>
  <c r="E45" i="65"/>
  <c r="E44" i="65"/>
  <c r="E43" i="65"/>
  <c r="E42" i="65"/>
  <c r="E41" i="65"/>
  <c r="E40" i="65"/>
  <c r="E39" i="65"/>
  <c r="E38" i="65"/>
  <c r="E37" i="65"/>
  <c r="E31" i="65"/>
  <c r="E29" i="65"/>
  <c r="E27" i="65"/>
  <c r="E25" i="65"/>
  <c r="E22" i="65"/>
  <c r="E21" i="65"/>
  <c r="E20" i="65"/>
  <c r="E19" i="65"/>
  <c r="E18" i="65"/>
  <c r="E17" i="65"/>
  <c r="H35" i="62"/>
  <c r="H36" i="62"/>
  <c r="H37" i="62"/>
  <c r="H38" i="62"/>
  <c r="H39" i="62"/>
  <c r="H40" i="62"/>
  <c r="H41" i="62"/>
  <c r="H42" i="62"/>
  <c r="H43" i="62"/>
  <c r="H44" i="62"/>
  <c r="K28" i="62"/>
  <c r="H19" i="62"/>
  <c r="H20" i="62"/>
  <c r="H21" i="62"/>
  <c r="H22" i="62"/>
  <c r="H23" i="62"/>
  <c r="H24" i="62"/>
  <c r="H25" i="62"/>
  <c r="H26" i="62"/>
  <c r="H27" i="62"/>
  <c r="K233" i="64"/>
  <c r="H221" i="64"/>
  <c r="H222" i="64"/>
  <c r="H223" i="64"/>
  <c r="H224" i="64"/>
  <c r="H225" i="64"/>
  <c r="H226" i="64"/>
  <c r="H227" i="64"/>
  <c r="H228" i="64"/>
  <c r="H229" i="64"/>
  <c r="H230" i="64"/>
  <c r="H231" i="64"/>
  <c r="J177" i="64"/>
  <c r="H165" i="64"/>
  <c r="H166" i="64"/>
  <c r="H167" i="64"/>
  <c r="H168" i="64"/>
  <c r="H169" i="64"/>
  <c r="H170" i="64"/>
  <c r="H171" i="64"/>
  <c r="H172" i="64"/>
  <c r="H173" i="64"/>
  <c r="H174" i="64"/>
  <c r="L120" i="64"/>
  <c r="K41" i="64"/>
  <c r="I41" i="64"/>
  <c r="J41" i="64"/>
  <c r="L41" i="64"/>
  <c r="H19" i="64"/>
  <c r="H33" i="64"/>
  <c r="H34" i="64"/>
  <c r="H36" i="64"/>
  <c r="H37" i="64"/>
  <c r="H38" i="64"/>
  <c r="H39" i="64"/>
  <c r="H40" i="64"/>
  <c r="H148" i="53"/>
  <c r="N148" i="53" s="1"/>
  <c r="H147" i="53"/>
  <c r="N147" i="53" s="1"/>
  <c r="H146" i="53"/>
  <c r="N146" i="53" s="1"/>
  <c r="L149" i="53"/>
  <c r="H109" i="53"/>
  <c r="H110" i="53"/>
  <c r="N110" i="53" s="1"/>
  <c r="H111" i="53"/>
  <c r="N111" i="53" s="1"/>
  <c r="H112" i="53"/>
  <c r="H113" i="53"/>
  <c r="N113" i="53" s="1"/>
  <c r="H114" i="53"/>
  <c r="N114" i="53" s="1"/>
  <c r="H139" i="53"/>
  <c r="N139" i="53" s="1"/>
  <c r="H140" i="53"/>
  <c r="N140" i="53" s="1"/>
  <c r="H141" i="53"/>
  <c r="N141" i="53" s="1"/>
  <c r="H142" i="53"/>
  <c r="N142" i="53" s="1"/>
  <c r="H143" i="53"/>
  <c r="N143" i="53" s="1"/>
  <c r="H144" i="53"/>
  <c r="N144" i="53" s="1"/>
  <c r="H145" i="53"/>
  <c r="N145" i="53" s="1"/>
  <c r="N93" i="53"/>
  <c r="N92" i="53"/>
  <c r="N91" i="53"/>
  <c r="N90" i="53"/>
  <c r="N65" i="53"/>
  <c r="N94" i="53"/>
  <c r="N96" i="53"/>
  <c r="N97" i="53"/>
  <c r="N98" i="53"/>
  <c r="L61" i="53"/>
  <c r="H112" i="26"/>
  <c r="P112" i="26" s="1"/>
  <c r="H113" i="26"/>
  <c r="P113" i="26" s="1"/>
  <c r="H114" i="26"/>
  <c r="P114" i="26" s="1"/>
  <c r="H115" i="26"/>
  <c r="P115" i="26" s="1"/>
  <c r="H116" i="26"/>
  <c r="P116" i="26" s="1"/>
  <c r="H117" i="26"/>
  <c r="P117" i="26" s="1"/>
  <c r="H118" i="26"/>
  <c r="P118" i="26" s="1"/>
  <c r="H119" i="26"/>
  <c r="P119" i="26" s="1"/>
  <c r="H120" i="26"/>
  <c r="P120" i="26" s="1"/>
  <c r="H121" i="26"/>
  <c r="P121" i="26" s="1"/>
  <c r="H122" i="26"/>
  <c r="P122" i="26" s="1"/>
  <c r="H123" i="26"/>
  <c r="P123" i="26" s="1"/>
  <c r="H124" i="26"/>
  <c r="P124" i="26" s="1"/>
  <c r="H125" i="26"/>
  <c r="P125" i="26" s="1"/>
  <c r="H73" i="26"/>
  <c r="P73" i="26" s="1"/>
  <c r="H74" i="26"/>
  <c r="P74" i="26" s="1"/>
  <c r="H75" i="26"/>
  <c r="P75" i="26" s="1"/>
  <c r="H76" i="26"/>
  <c r="P76" i="26" s="1"/>
  <c r="H77" i="26"/>
  <c r="P77" i="26" s="1"/>
  <c r="H78" i="26"/>
  <c r="P78" i="26" s="1"/>
  <c r="D97" i="25"/>
  <c r="D93" i="25"/>
  <c r="D87" i="25"/>
  <c r="D85" i="25"/>
  <c r="D81" i="25"/>
  <c r="D62" i="25"/>
  <c r="D35" i="25"/>
  <c r="D31" i="25"/>
  <c r="E26" i="65"/>
  <c r="N95" i="53"/>
  <c r="D26" i="25"/>
  <c r="D25" i="25"/>
  <c r="D20" i="25"/>
  <c r="G215" i="25"/>
  <c r="H215" i="25" s="1"/>
  <c r="I215" i="25" s="1"/>
  <c r="J215" i="25" s="1"/>
  <c r="K215" i="25" s="1"/>
  <c r="L215" i="25" s="1"/>
  <c r="M215" i="25" s="1"/>
  <c r="N215" i="25" s="1"/>
  <c r="O215" i="25" s="1"/>
  <c r="P215" i="25" s="1"/>
  <c r="Q215" i="25" s="1"/>
  <c r="R215" i="25" s="1"/>
  <c r="S215" i="25" s="1"/>
  <c r="T215" i="25" s="1"/>
  <c r="U215" i="25" s="1"/>
  <c r="V215" i="25" s="1"/>
  <c r="W215" i="25" s="1"/>
  <c r="X215" i="25" s="1"/>
  <c r="Y215" i="25" s="1"/>
  <c r="Z215" i="25" s="1"/>
  <c r="AA215" i="25" s="1"/>
  <c r="AB215" i="25" s="1"/>
  <c r="AC215" i="25" s="1"/>
  <c r="AD215" i="25" s="1"/>
  <c r="E34" i="65"/>
  <c r="E30" i="65"/>
  <c r="E33" i="65"/>
  <c r="E32" i="65"/>
  <c r="E28" i="65"/>
  <c r="D53" i="38"/>
  <c r="E53" i="38" s="1"/>
  <c r="E15" i="59"/>
  <c r="F15" i="59" s="1"/>
  <c r="E23" i="59"/>
  <c r="F23" i="59" s="1"/>
  <c r="E24" i="59"/>
  <c r="F24" i="59" s="1"/>
  <c r="E31" i="59"/>
  <c r="F31" i="59" s="1"/>
  <c r="E32" i="59"/>
  <c r="F32" i="59" s="1"/>
  <c r="E39" i="59"/>
  <c r="F39" i="59" s="1"/>
  <c r="E40" i="59"/>
  <c r="F40" i="59" s="1"/>
  <c r="E47" i="59"/>
  <c r="F47" i="59" s="1"/>
  <c r="E55" i="59"/>
  <c r="F55" i="59" s="1"/>
  <c r="E56" i="59"/>
  <c r="F56" i="59" s="1"/>
  <c r="E63" i="59"/>
  <c r="F63" i="59" s="1"/>
  <c r="E64" i="59"/>
  <c r="F64" i="59" s="1"/>
  <c r="E71" i="59"/>
  <c r="F71" i="59" s="1"/>
  <c r="E79" i="59"/>
  <c r="F79" i="59" s="1"/>
  <c r="E87" i="59"/>
  <c r="F87" i="59" s="1"/>
  <c r="E88" i="59"/>
  <c r="F88" i="59" s="1"/>
  <c r="E95" i="59"/>
  <c r="F95" i="59" s="1"/>
  <c r="E103" i="59"/>
  <c r="F103" i="59" s="1"/>
  <c r="E111" i="59"/>
  <c r="F111" i="59" s="1"/>
  <c r="E119" i="59"/>
  <c r="F119" i="59"/>
  <c r="J12" i="39"/>
  <c r="J22" i="39" s="1"/>
  <c r="I12" i="39"/>
  <c r="I20" i="39" s="1"/>
  <c r="H12" i="39"/>
  <c r="H17" i="39" s="1"/>
  <c r="E12" i="39"/>
  <c r="E16" i="39" s="1"/>
  <c r="G12" i="39"/>
  <c r="G16" i="39" s="1"/>
  <c r="D12" i="39"/>
  <c r="D21" i="39" s="1"/>
  <c r="F12" i="39"/>
  <c r="F24" i="39" s="1"/>
  <c r="F25" i="39" s="1"/>
  <c r="C12" i="39"/>
  <c r="C21" i="39" s="1"/>
  <c r="G44" i="57"/>
  <c r="E44" i="57"/>
  <c r="C44" i="57"/>
  <c r="G43" i="57"/>
  <c r="E43" i="57"/>
  <c r="C43" i="57"/>
  <c r="G42" i="57"/>
  <c r="E42" i="57"/>
  <c r="C42" i="57"/>
  <c r="G41" i="57"/>
  <c r="E41" i="57"/>
  <c r="C41" i="57"/>
  <c r="G40" i="57"/>
  <c r="E40" i="57"/>
  <c r="C40" i="57"/>
  <c r="G39" i="57"/>
  <c r="E39" i="57"/>
  <c r="C39" i="57"/>
  <c r="G38" i="57"/>
  <c r="E38" i="57"/>
  <c r="C38" i="57"/>
  <c r="G33" i="57"/>
  <c r="E33" i="57"/>
  <c r="C33" i="57"/>
  <c r="G32" i="57"/>
  <c r="E32" i="57"/>
  <c r="C32" i="57"/>
  <c r="G31" i="57"/>
  <c r="E31" i="57"/>
  <c r="C31" i="57"/>
  <c r="G30" i="57"/>
  <c r="E30" i="57"/>
  <c r="C30" i="57"/>
  <c r="G29" i="57"/>
  <c r="E29" i="57"/>
  <c r="C29" i="57"/>
  <c r="G28" i="57"/>
  <c r="E28" i="57"/>
  <c r="C28" i="57"/>
  <c r="G27" i="57"/>
  <c r="E27" i="57"/>
  <c r="C27" i="57"/>
  <c r="G22" i="57"/>
  <c r="G21" i="57"/>
  <c r="G20" i="57"/>
  <c r="G19" i="57"/>
  <c r="G18" i="57"/>
  <c r="G17" i="57"/>
  <c r="G16" i="57"/>
  <c r="E22" i="57"/>
  <c r="E21" i="57"/>
  <c r="E20" i="57"/>
  <c r="E19" i="57"/>
  <c r="E18" i="57"/>
  <c r="E17" i="57"/>
  <c r="E16" i="57"/>
  <c r="C17" i="57"/>
  <c r="C18" i="57"/>
  <c r="C19" i="57"/>
  <c r="C20" i="57"/>
  <c r="C21" i="57"/>
  <c r="C22" i="57"/>
  <c r="C16" i="57"/>
  <c r="D94" i="56"/>
  <c r="D95" i="56"/>
  <c r="D90" i="56"/>
  <c r="D91" i="56" s="1"/>
  <c r="D86" i="56"/>
  <c r="D87" i="56" s="1"/>
  <c r="D82" i="56"/>
  <c r="D83" i="56" s="1"/>
  <c r="D78" i="56"/>
  <c r="D79" i="56" s="1"/>
  <c r="D74" i="56"/>
  <c r="D75" i="56" s="1"/>
  <c r="D70" i="56"/>
  <c r="D71" i="56" s="1"/>
  <c r="D66" i="56"/>
  <c r="D67" i="56" s="1"/>
  <c r="D62" i="56"/>
  <c r="D63" i="56" s="1"/>
  <c r="D58" i="56"/>
  <c r="D59" i="56" s="1"/>
  <c r="D54" i="56"/>
  <c r="D55" i="56" s="1"/>
  <c r="D50" i="56"/>
  <c r="D51" i="56" s="1"/>
  <c r="D46" i="56"/>
  <c r="D47" i="56" s="1"/>
  <c r="D42" i="56"/>
  <c r="D43" i="56" s="1"/>
  <c r="D38" i="56"/>
  <c r="D39" i="56" s="1"/>
  <c r="D34" i="56"/>
  <c r="D35" i="56" s="1"/>
  <c r="D30" i="56"/>
  <c r="D31" i="56" s="1"/>
  <c r="D26" i="56"/>
  <c r="D27" i="56" s="1"/>
  <c r="D22" i="56"/>
  <c r="D23" i="56" s="1"/>
  <c r="D18" i="56"/>
  <c r="D19" i="56" s="1"/>
  <c r="D14" i="56"/>
  <c r="D15" i="56" s="1"/>
  <c r="C22" i="39"/>
  <c r="H20" i="39"/>
  <c r="J21" i="39"/>
  <c r="E17" i="39"/>
  <c r="G20" i="39"/>
  <c r="J20" i="39"/>
  <c r="E18" i="39"/>
  <c r="C18" i="39"/>
  <c r="E20" i="39"/>
  <c r="J17" i="39"/>
  <c r="H24" i="39"/>
  <c r="H25" i="39" s="1"/>
  <c r="H16" i="39"/>
  <c r="H18" i="39"/>
  <c r="E24" i="39"/>
  <c r="E25" i="39" s="1"/>
  <c r="E22" i="39"/>
  <c r="F17" i="39"/>
  <c r="D24" i="39"/>
  <c r="D25" i="39" s="1"/>
  <c r="D16" i="39"/>
  <c r="D20" i="39"/>
  <c r="D17" i="39"/>
  <c r="D26" i="39"/>
  <c r="D18" i="39"/>
  <c r="J233" i="64"/>
  <c r="L233" i="64"/>
  <c r="I233" i="64"/>
  <c r="H220" i="64"/>
  <c r="H232" i="64"/>
  <c r="H179" i="64"/>
  <c r="K177" i="64"/>
  <c r="L177" i="64"/>
  <c r="H151" i="64"/>
  <c r="H175" i="64"/>
  <c r="H176" i="64"/>
  <c r="H122" i="64"/>
  <c r="J120" i="64"/>
  <c r="K120" i="64"/>
  <c r="I120" i="64"/>
  <c r="E242" i="64"/>
  <c r="E241" i="64"/>
  <c r="A240" i="64"/>
  <c r="A239" i="64"/>
  <c r="A238" i="64"/>
  <c r="A237" i="64"/>
  <c r="A236" i="64"/>
  <c r="D64" i="38"/>
  <c r="E64" i="38" s="1"/>
  <c r="D63" i="38"/>
  <c r="E63" i="38" s="1"/>
  <c r="D62" i="38"/>
  <c r="E62" i="38" s="1"/>
  <c r="D61" i="38"/>
  <c r="E61" i="38" s="1"/>
  <c r="D60" i="38"/>
  <c r="E60" i="38" s="1"/>
  <c r="D59" i="38"/>
  <c r="E59" i="38" s="1"/>
  <c r="D57" i="38"/>
  <c r="E57" i="38" s="1"/>
  <c r="D58" i="38"/>
  <c r="E58" i="38" s="1"/>
  <c r="D56" i="38"/>
  <c r="E56" i="38" s="1"/>
  <c r="D55" i="38"/>
  <c r="E55" i="38" s="1"/>
  <c r="D54" i="38"/>
  <c r="E54" i="38" s="1"/>
  <c r="I62" i="63"/>
  <c r="I63" i="63"/>
  <c r="I64" i="63"/>
  <c r="I65" i="63"/>
  <c r="I66" i="63"/>
  <c r="I61" i="63"/>
  <c r="I54" i="63"/>
  <c r="I55" i="63"/>
  <c r="I56" i="63"/>
  <c r="I57" i="63"/>
  <c r="I53" i="63"/>
  <c r="I42" i="63"/>
  <c r="I43" i="63"/>
  <c r="I44" i="63"/>
  <c r="I45" i="63"/>
  <c r="I46" i="63"/>
  <c r="I41" i="63"/>
  <c r="I34" i="63"/>
  <c r="I35" i="63"/>
  <c r="I36" i="63"/>
  <c r="I37" i="63"/>
  <c r="I22" i="63"/>
  <c r="I23" i="63"/>
  <c r="I24" i="63"/>
  <c r="I25" i="63"/>
  <c r="I26" i="63"/>
  <c r="I21" i="63"/>
  <c r="I14" i="63"/>
  <c r="I15" i="63"/>
  <c r="I16" i="63"/>
  <c r="I17" i="63"/>
  <c r="H16" i="64"/>
  <c r="I37" i="41"/>
  <c r="I38" i="41"/>
  <c r="I39" i="41"/>
  <c r="I36" i="41"/>
  <c r="I30" i="41"/>
  <c r="I33" i="41"/>
  <c r="I32" i="41"/>
  <c r="I31" i="41"/>
  <c r="I21" i="41"/>
  <c r="I22" i="41"/>
  <c r="I23" i="41"/>
  <c r="I24" i="41"/>
  <c r="I25" i="41"/>
  <c r="I26" i="41"/>
  <c r="I27" i="41"/>
  <c r="I20" i="41"/>
  <c r="I16" i="41"/>
  <c r="H32" i="62"/>
  <c r="L45" i="62" s="1"/>
  <c r="K45" i="62"/>
  <c r="K46" i="62" s="1"/>
  <c r="K51" i="62" s="1"/>
  <c r="J45" i="62"/>
  <c r="L28" i="62"/>
  <c r="J28" i="62"/>
  <c r="H18" i="62"/>
  <c r="H33" i="62"/>
  <c r="H34" i="62"/>
  <c r="H31" i="62"/>
  <c r="I45" i="62" s="1"/>
  <c r="E185" i="9"/>
  <c r="L156" i="53"/>
  <c r="L157" i="53"/>
  <c r="A165" i="53"/>
  <c r="A164" i="53"/>
  <c r="K149" i="53"/>
  <c r="M149" i="53"/>
  <c r="K99" i="53"/>
  <c r="L99" i="53"/>
  <c r="K61" i="53"/>
  <c r="A141" i="26"/>
  <c r="A140" i="26"/>
  <c r="A139" i="26"/>
  <c r="H108" i="53"/>
  <c r="N108" i="53" s="1"/>
  <c r="H107" i="53"/>
  <c r="N107" i="53" s="1"/>
  <c r="H106" i="53"/>
  <c r="N106" i="53" s="1"/>
  <c r="H105" i="53"/>
  <c r="N105" i="53" s="1"/>
  <c r="A138" i="26"/>
  <c r="H111" i="26"/>
  <c r="P111" i="26" s="1"/>
  <c r="H56" i="26"/>
  <c r="P56" i="26" s="1"/>
  <c r="G222" i="25"/>
  <c r="J149" i="53"/>
  <c r="I12" i="41"/>
  <c r="I33" i="63"/>
  <c r="I13" i="63"/>
  <c r="H17" i="62"/>
  <c r="M61" i="53"/>
  <c r="F13" i="51"/>
  <c r="F14" i="51"/>
  <c r="F15" i="51"/>
  <c r="F16" i="51"/>
  <c r="B27" i="39"/>
  <c r="F27" i="39" s="1"/>
  <c r="I14" i="41"/>
  <c r="M99" i="53"/>
  <c r="H55" i="26"/>
  <c r="P55" i="26" s="1"/>
  <c r="I13" i="41"/>
  <c r="H18" i="64"/>
  <c r="H17" i="64"/>
  <c r="E47" i="23"/>
  <c r="F47" i="23" s="1"/>
  <c r="E48" i="23"/>
  <c r="F48" i="23" s="1"/>
  <c r="E12" i="23"/>
  <c r="F12" i="23" s="1"/>
  <c r="G225" i="25"/>
  <c r="H225" i="25" s="1"/>
  <c r="I225" i="25" s="1"/>
  <c r="J225" i="25" s="1"/>
  <c r="K225" i="25" s="1"/>
  <c r="H86" i="26"/>
  <c r="H85" i="26"/>
  <c r="H84" i="26"/>
  <c r="E13" i="23"/>
  <c r="AA222" i="80" l="1"/>
  <c r="Z226" i="80"/>
  <c r="W226" i="79"/>
  <c r="X222" i="79"/>
  <c r="B146" i="26"/>
  <c r="H126" i="26"/>
  <c r="I108" i="26" s="1"/>
  <c r="F16" i="39"/>
  <c r="P84" i="26"/>
  <c r="D22" i="39"/>
  <c r="G24" i="39"/>
  <c r="G25" i="39" s="1"/>
  <c r="J26" i="39"/>
  <c r="H26" i="39"/>
  <c r="F22" i="39"/>
  <c r="F28" i="39" s="1"/>
  <c r="F29" i="39" s="1"/>
  <c r="F32" i="39" s="1"/>
  <c r="P85" i="26"/>
  <c r="B147" i="26"/>
  <c r="J18" i="39"/>
  <c r="J16" i="39"/>
  <c r="J24" i="39"/>
  <c r="J25" i="39" s="1"/>
  <c r="P86" i="26"/>
  <c r="B148" i="26"/>
  <c r="G26" i="39"/>
  <c r="N60" i="68"/>
  <c r="N79" i="68"/>
  <c r="B45" i="28"/>
  <c r="F18" i="39"/>
  <c r="F21" i="39"/>
  <c r="I18" i="39"/>
  <c r="G18" i="39"/>
  <c r="B39" i="28"/>
  <c r="N46" i="68"/>
  <c r="H203" i="25"/>
  <c r="H211" i="25" s="1"/>
  <c r="Z203" i="25"/>
  <c r="U203" i="25"/>
  <c r="I203" i="25"/>
  <c r="I211" i="25" s="1"/>
  <c r="N203" i="25"/>
  <c r="N211" i="25" s="1"/>
  <c r="R203" i="25"/>
  <c r="P203" i="25"/>
  <c r="P211" i="25" s="1"/>
  <c r="P210" i="25" s="1"/>
  <c r="K203" i="25"/>
  <c r="AC203" i="25"/>
  <c r="AC211" i="25" s="1"/>
  <c r="AC210" i="25" s="1"/>
  <c r="M203" i="25"/>
  <c r="M211" i="25" s="1"/>
  <c r="X203" i="25"/>
  <c r="X211" i="25" s="1"/>
  <c r="X210" i="25" s="1"/>
  <c r="S203" i="25"/>
  <c r="O203" i="25"/>
  <c r="O211" i="25" s="1"/>
  <c r="AA203" i="25"/>
  <c r="AA211" i="25" s="1"/>
  <c r="AA210" i="25" s="1"/>
  <c r="Q203" i="25"/>
  <c r="Q211" i="25" s="1"/>
  <c r="L203" i="25"/>
  <c r="L211" i="25" s="1"/>
  <c r="V203" i="25"/>
  <c r="Y203" i="25"/>
  <c r="Y211" i="25" s="1"/>
  <c r="Y210" i="25" s="1"/>
  <c r="T203" i="25"/>
  <c r="T211" i="25" s="1"/>
  <c r="T210" i="25" s="1"/>
  <c r="AD203" i="25"/>
  <c r="AD211" i="25" s="1"/>
  <c r="J203" i="25"/>
  <c r="AB203" i="25"/>
  <c r="W203" i="25"/>
  <c r="W211" i="25" s="1"/>
  <c r="W210" i="25" s="1"/>
  <c r="G203" i="25"/>
  <c r="D16" i="25"/>
  <c r="N50" i="68"/>
  <c r="E186" i="9"/>
  <c r="E187" i="9" s="1"/>
  <c r="E188" i="9" s="1"/>
  <c r="F20" i="39"/>
  <c r="E21" i="39"/>
  <c r="E26" i="39"/>
  <c r="I40" i="41"/>
  <c r="F26" i="39"/>
  <c r="F40" i="68"/>
  <c r="N44" i="68"/>
  <c r="N80" i="68"/>
  <c r="N53" i="68"/>
  <c r="Z211" i="25"/>
  <c r="Z210" i="25" s="1"/>
  <c r="U211" i="25"/>
  <c r="U210" i="25" s="1"/>
  <c r="L100" i="53"/>
  <c r="N48" i="68"/>
  <c r="N75" i="68"/>
  <c r="C24" i="39"/>
  <c r="C25" i="39" s="1"/>
  <c r="N76" i="68"/>
  <c r="C17" i="39"/>
  <c r="C16" i="39"/>
  <c r="N73" i="68"/>
  <c r="N77" i="68"/>
  <c r="I236" i="64"/>
  <c r="I240" i="64" s="1"/>
  <c r="I58" i="63"/>
  <c r="C26" i="39"/>
  <c r="H21" i="39"/>
  <c r="C20" i="39"/>
  <c r="K265" i="76"/>
  <c r="B256" i="76" s="1"/>
  <c r="F13" i="23"/>
  <c r="F60" i="23" s="1"/>
  <c r="E60" i="23"/>
  <c r="H233" i="64"/>
  <c r="H41" i="64"/>
  <c r="N109" i="53"/>
  <c r="H149" i="53"/>
  <c r="L155" i="53"/>
  <c r="L158" i="53" s="1"/>
  <c r="J46" i="62"/>
  <c r="J51" i="62" s="1"/>
  <c r="I34" i="41"/>
  <c r="I67" i="63"/>
  <c r="N52" i="68"/>
  <c r="N49" i="68"/>
  <c r="N47" i="68"/>
  <c r="N71" i="68"/>
  <c r="N74" i="68"/>
  <c r="N78" i="68"/>
  <c r="N62" i="68"/>
  <c r="N63" i="68"/>
  <c r="N64" i="68"/>
  <c r="N65" i="68"/>
  <c r="N66" i="68"/>
  <c r="N67" i="68"/>
  <c r="C46" i="28"/>
  <c r="C45" i="28"/>
  <c r="C47" i="28" s="1"/>
  <c r="B47" i="28"/>
  <c r="H27" i="39"/>
  <c r="I38" i="63"/>
  <c r="I47" i="63"/>
  <c r="G22" i="39"/>
  <c r="I17" i="39"/>
  <c r="H22" i="39"/>
  <c r="G27" i="39"/>
  <c r="I17" i="41"/>
  <c r="G21" i="39"/>
  <c r="G17" i="39"/>
  <c r="R35" i="74"/>
  <c r="D27" i="39"/>
  <c r="D28" i="39" s="1"/>
  <c r="D29" i="39" s="1"/>
  <c r="C24" i="68"/>
  <c r="E27" i="39"/>
  <c r="J27" i="39"/>
  <c r="J28" i="39" s="1"/>
  <c r="J29" i="39" s="1"/>
  <c r="C27" i="39"/>
  <c r="I28" i="41"/>
  <c r="I24" i="39"/>
  <c r="I25" i="39" s="1"/>
  <c r="I26" i="39"/>
  <c r="N58" i="68"/>
  <c r="N59" i="68"/>
  <c r="H120" i="64"/>
  <c r="I27" i="39"/>
  <c r="I27" i="63"/>
  <c r="I21" i="39"/>
  <c r="I16" i="39"/>
  <c r="N72" i="68"/>
  <c r="I18" i="63"/>
  <c r="K100" i="53"/>
  <c r="K155" i="53" s="1"/>
  <c r="K158" i="53" s="1"/>
  <c r="I22" i="39"/>
  <c r="E46" i="65"/>
  <c r="E35" i="65"/>
  <c r="E23" i="65"/>
  <c r="E15" i="65"/>
  <c r="H45" i="62"/>
  <c r="L46" i="62"/>
  <c r="L51" i="62" s="1"/>
  <c r="H28" i="62"/>
  <c r="I28" i="62"/>
  <c r="I46" i="62" s="1"/>
  <c r="H177" i="64"/>
  <c r="J236" i="64"/>
  <c r="J240" i="64" s="1"/>
  <c r="L236" i="64"/>
  <c r="L240" i="64" s="1"/>
  <c r="K236" i="64"/>
  <c r="K240" i="64" s="1"/>
  <c r="N112" i="53"/>
  <c r="J99" i="53"/>
  <c r="N63" i="53"/>
  <c r="N64" i="53"/>
  <c r="M100" i="53"/>
  <c r="M155" i="53" s="1"/>
  <c r="M158" i="53" s="1"/>
  <c r="G27" i="74"/>
  <c r="H27" i="74" s="1"/>
  <c r="I27" i="74" s="1"/>
  <c r="J27" i="74" s="1"/>
  <c r="K27" i="74" s="1"/>
  <c r="L27" i="74" s="1"/>
  <c r="M27" i="74" s="1"/>
  <c r="N27" i="74" s="1"/>
  <c r="O27" i="74" s="1"/>
  <c r="P27" i="74" s="1"/>
  <c r="Q27" i="74" s="1"/>
  <c r="L19" i="74"/>
  <c r="M19" i="74" s="1"/>
  <c r="N19" i="74" s="1"/>
  <c r="O19" i="74" s="1"/>
  <c r="P19" i="74" s="1"/>
  <c r="Q19" i="74" s="1"/>
  <c r="L225" i="25"/>
  <c r="M225" i="25" s="1"/>
  <c r="N225" i="25" s="1"/>
  <c r="O225" i="25" s="1"/>
  <c r="P225" i="25" s="1"/>
  <c r="Q225" i="25" s="1"/>
  <c r="R225" i="25" s="1"/>
  <c r="S225" i="25" s="1"/>
  <c r="T225" i="25" s="1"/>
  <c r="U225" i="25" s="1"/>
  <c r="V225" i="25" s="1"/>
  <c r="W225" i="25" s="1"/>
  <c r="X225" i="25" s="1"/>
  <c r="Y225" i="25" s="1"/>
  <c r="Z225" i="25" s="1"/>
  <c r="AA225" i="25" s="1"/>
  <c r="AB225" i="25" s="1"/>
  <c r="AC225" i="25" s="1"/>
  <c r="AD225" i="25" s="1"/>
  <c r="G226" i="25"/>
  <c r="H222" i="25"/>
  <c r="H226" i="25" s="1"/>
  <c r="N13" i="53"/>
  <c r="N12" i="53"/>
  <c r="J25" i="74"/>
  <c r="F25" i="74"/>
  <c r="M25" i="74"/>
  <c r="K25" i="74"/>
  <c r="Q25" i="74"/>
  <c r="I25" i="74"/>
  <c r="P25" i="74"/>
  <c r="H25" i="74"/>
  <c r="F30" i="74"/>
  <c r="G25" i="74"/>
  <c r="N25" i="74"/>
  <c r="O25" i="74"/>
  <c r="D35" i="74"/>
  <c r="L25" i="74"/>
  <c r="H54" i="26"/>
  <c r="P54" i="26" s="1"/>
  <c r="H61" i="53"/>
  <c r="H100" i="53" s="1"/>
  <c r="H52" i="26"/>
  <c r="AA226" i="80" l="1"/>
  <c r="AB222" i="80"/>
  <c r="X226" i="79"/>
  <c r="Y222" i="79"/>
  <c r="D148" i="26"/>
  <c r="E148" i="26" s="1"/>
  <c r="G28" i="39"/>
  <c r="G29" i="39" s="1"/>
  <c r="D146" i="26"/>
  <c r="E146" i="26" s="1"/>
  <c r="D147" i="26"/>
  <c r="E147" i="26" s="1"/>
  <c r="E28" i="39"/>
  <c r="E29" i="39" s="1"/>
  <c r="E32" i="39" s="1"/>
  <c r="H28" i="39"/>
  <c r="H29" i="39" s="1"/>
  <c r="R211" i="25"/>
  <c r="R210" i="25" s="1"/>
  <c r="I42" i="41"/>
  <c r="F13" i="39"/>
  <c r="F34" i="39" s="1"/>
  <c r="F33" i="39" s="1"/>
  <c r="F42" i="39" s="1"/>
  <c r="I68" i="63"/>
  <c r="AB211" i="25"/>
  <c r="AB210" i="25" s="1"/>
  <c r="S211" i="25"/>
  <c r="S210" i="25" s="1"/>
  <c r="V211" i="25"/>
  <c r="V210" i="25" s="1"/>
  <c r="H210" i="25"/>
  <c r="G204" i="25"/>
  <c r="H204" i="25" s="1"/>
  <c r="I204" i="25" s="1"/>
  <c r="G210" i="25"/>
  <c r="I210" i="25"/>
  <c r="AD210" i="25"/>
  <c r="I28" i="63"/>
  <c r="I48" i="63"/>
  <c r="I43" i="41"/>
  <c r="I44" i="41"/>
  <c r="I45" i="41" s="1"/>
  <c r="C28" i="39"/>
  <c r="C29" i="39" s="1"/>
  <c r="B15" i="76"/>
  <c r="B252" i="76"/>
  <c r="B251" i="76"/>
  <c r="B250" i="76"/>
  <c r="B249" i="76"/>
  <c r="B248" i="76"/>
  <c r="B246" i="76"/>
  <c r="B247" i="76"/>
  <c r="B253" i="76"/>
  <c r="B28" i="76"/>
  <c r="B196" i="76"/>
  <c r="B259" i="76"/>
  <c r="B16" i="76"/>
  <c r="B192" i="76"/>
  <c r="B188" i="76"/>
  <c r="B208" i="76"/>
  <c r="B200" i="76"/>
  <c r="B19" i="76"/>
  <c r="B23" i="76"/>
  <c r="B27" i="76"/>
  <c r="B31" i="76"/>
  <c r="B35" i="76"/>
  <c r="B39" i="76"/>
  <c r="B43" i="76"/>
  <c r="B47" i="76"/>
  <c r="B51" i="76"/>
  <c r="B55" i="76"/>
  <c r="B59" i="76"/>
  <c r="B63" i="76"/>
  <c r="B67" i="76"/>
  <c r="B71" i="76"/>
  <c r="B75" i="76"/>
  <c r="B79" i="76"/>
  <c r="B83" i="76"/>
  <c r="B87" i="76"/>
  <c r="B91" i="76"/>
  <c r="B95" i="76"/>
  <c r="B99" i="76"/>
  <c r="B103" i="76"/>
  <c r="B107" i="76"/>
  <c r="B111" i="76"/>
  <c r="B115" i="76"/>
  <c r="B119" i="76"/>
  <c r="B123" i="76"/>
  <c r="B127" i="76"/>
  <c r="B131" i="76"/>
  <c r="B135" i="76"/>
  <c r="B139" i="76"/>
  <c r="B143" i="76"/>
  <c r="B147" i="76"/>
  <c r="B151" i="76"/>
  <c r="B155" i="76"/>
  <c r="B159" i="76"/>
  <c r="B163" i="76"/>
  <c r="B167" i="76"/>
  <c r="B171" i="76"/>
  <c r="B175" i="76"/>
  <c r="B179" i="76"/>
  <c r="B183" i="76"/>
  <c r="B187" i="76"/>
  <c r="B191" i="76"/>
  <c r="B195" i="76"/>
  <c r="B199" i="76"/>
  <c r="B203" i="76"/>
  <c r="B207" i="76"/>
  <c r="B24" i="76"/>
  <c r="B32" i="76"/>
  <c r="B40" i="76"/>
  <c r="B48" i="76"/>
  <c r="B56" i="76"/>
  <c r="B64" i="76"/>
  <c r="B72" i="76"/>
  <c r="B80" i="76"/>
  <c r="B88" i="76"/>
  <c r="B96" i="76"/>
  <c r="B104" i="76"/>
  <c r="B112" i="76"/>
  <c r="B120" i="76"/>
  <c r="B128" i="76"/>
  <c r="B136" i="76"/>
  <c r="B144" i="76"/>
  <c r="B152" i="76"/>
  <c r="B160" i="76"/>
  <c r="B168" i="76"/>
  <c r="B176" i="76"/>
  <c r="B184" i="76"/>
  <c r="B20" i="76"/>
  <c r="B36" i="76"/>
  <c r="B44" i="76"/>
  <c r="B52" i="76"/>
  <c r="B60" i="76"/>
  <c r="B68" i="76"/>
  <c r="B76" i="76"/>
  <c r="B84" i="76"/>
  <c r="B92" i="76"/>
  <c r="B100" i="76"/>
  <c r="B108" i="76"/>
  <c r="B116" i="76"/>
  <c r="B124" i="76"/>
  <c r="B132" i="76"/>
  <c r="B140" i="76"/>
  <c r="B148" i="76"/>
  <c r="B156" i="76"/>
  <c r="B164" i="76"/>
  <c r="B172" i="76"/>
  <c r="B180" i="76"/>
  <c r="B204" i="76"/>
  <c r="B169" i="76"/>
  <c r="B102" i="76"/>
  <c r="B38" i="76"/>
  <c r="B165" i="76"/>
  <c r="B101" i="76"/>
  <c r="B37" i="76"/>
  <c r="B74" i="76"/>
  <c r="B129" i="76"/>
  <c r="B154" i="76"/>
  <c r="B158" i="76"/>
  <c r="B94" i="76"/>
  <c r="B30" i="76"/>
  <c r="B157" i="76"/>
  <c r="B93" i="76"/>
  <c r="B29" i="76"/>
  <c r="B130" i="76"/>
  <c r="B66" i="76"/>
  <c r="B201" i="76"/>
  <c r="B121" i="76"/>
  <c r="B57" i="76"/>
  <c r="B193" i="76"/>
  <c r="B150" i="76"/>
  <c r="B86" i="76"/>
  <c r="B22" i="76"/>
  <c r="B149" i="76"/>
  <c r="B85" i="76"/>
  <c r="B21" i="76"/>
  <c r="B122" i="76"/>
  <c r="B58" i="76"/>
  <c r="B185" i="76"/>
  <c r="B113" i="76"/>
  <c r="B49" i="76"/>
  <c r="B62" i="76"/>
  <c r="B25" i="76"/>
  <c r="B206" i="76"/>
  <c r="B142" i="76"/>
  <c r="B78" i="76"/>
  <c r="B186" i="76"/>
  <c r="B141" i="76"/>
  <c r="B77" i="76"/>
  <c r="B189" i="76"/>
  <c r="B114" i="76"/>
  <c r="B50" i="76"/>
  <c r="B177" i="76"/>
  <c r="B105" i="76"/>
  <c r="B41" i="76"/>
  <c r="B198" i="76"/>
  <c r="B134" i="76"/>
  <c r="B70" i="76"/>
  <c r="B205" i="76"/>
  <c r="B133" i="76"/>
  <c r="B69" i="76"/>
  <c r="B202" i="76"/>
  <c r="B106" i="76"/>
  <c r="B42" i="76"/>
  <c r="B161" i="76"/>
  <c r="B97" i="76"/>
  <c r="B33" i="76"/>
  <c r="B190" i="76"/>
  <c r="B126" i="76"/>
  <c r="B197" i="76"/>
  <c r="B125" i="76"/>
  <c r="B61" i="76"/>
  <c r="B194" i="76"/>
  <c r="B98" i="76"/>
  <c r="B34" i="76"/>
  <c r="B89" i="76"/>
  <c r="B153" i="76"/>
  <c r="B182" i="76"/>
  <c r="B118" i="76"/>
  <c r="B54" i="76"/>
  <c r="B181" i="76"/>
  <c r="B117" i="76"/>
  <c r="B53" i="76"/>
  <c r="B178" i="76"/>
  <c r="B90" i="76"/>
  <c r="B26" i="76"/>
  <c r="B145" i="76"/>
  <c r="B81" i="76"/>
  <c r="B17" i="76"/>
  <c r="B146" i="76"/>
  <c r="B174" i="76"/>
  <c r="B110" i="76"/>
  <c r="B46" i="76"/>
  <c r="B173" i="76"/>
  <c r="B109" i="76"/>
  <c r="B45" i="76"/>
  <c r="B162" i="76"/>
  <c r="B82" i="76"/>
  <c r="B18" i="76"/>
  <c r="B137" i="76"/>
  <c r="B73" i="76"/>
  <c r="B166" i="76"/>
  <c r="B138" i="76"/>
  <c r="B170" i="76"/>
  <c r="B65" i="76"/>
  <c r="H236" i="64"/>
  <c r="H155" i="53"/>
  <c r="L159" i="53"/>
  <c r="N149" i="53"/>
  <c r="I138" i="53"/>
  <c r="I120" i="53"/>
  <c r="I117" i="53"/>
  <c r="I129" i="53"/>
  <c r="I130" i="53"/>
  <c r="I123" i="53"/>
  <c r="I135" i="53"/>
  <c r="I118" i="53"/>
  <c r="I122" i="53"/>
  <c r="I134" i="53"/>
  <c r="I127" i="53"/>
  <c r="I137" i="53"/>
  <c r="I126" i="53"/>
  <c r="I119" i="53"/>
  <c r="I132" i="53"/>
  <c r="I121" i="53"/>
  <c r="I131" i="53"/>
  <c r="I124" i="53"/>
  <c r="I136" i="53"/>
  <c r="I133" i="53"/>
  <c r="I116" i="53"/>
  <c r="I128" i="53"/>
  <c r="I125" i="53"/>
  <c r="I115" i="53"/>
  <c r="D164" i="53"/>
  <c r="I148" i="53"/>
  <c r="I110" i="53"/>
  <c r="I118" i="26"/>
  <c r="I91" i="26"/>
  <c r="I103" i="26"/>
  <c r="I87" i="26"/>
  <c r="I101" i="26"/>
  <c r="I97" i="26"/>
  <c r="I105" i="26"/>
  <c r="I93" i="26"/>
  <c r="I109" i="26"/>
  <c r="I89" i="26"/>
  <c r="I95" i="26"/>
  <c r="I99" i="26"/>
  <c r="I107" i="26"/>
  <c r="I110" i="26"/>
  <c r="I106" i="26"/>
  <c r="I100" i="26"/>
  <c r="I102" i="26"/>
  <c r="I98" i="26"/>
  <c r="I94" i="26"/>
  <c r="I90" i="26"/>
  <c r="I96" i="26"/>
  <c r="I92" i="26"/>
  <c r="I88" i="26"/>
  <c r="I104" i="26"/>
  <c r="K36" i="74"/>
  <c r="N36" i="74"/>
  <c r="I36" i="74"/>
  <c r="I144" i="53"/>
  <c r="I146" i="53"/>
  <c r="I108" i="53"/>
  <c r="G32" i="39"/>
  <c r="G13" i="39"/>
  <c r="G34" i="39" s="1"/>
  <c r="E13" i="39"/>
  <c r="E34" i="39" s="1"/>
  <c r="C32" i="39"/>
  <c r="C13" i="39"/>
  <c r="C34" i="39" s="1"/>
  <c r="J32" i="39"/>
  <c r="J13" i="39"/>
  <c r="J34" i="39" s="1"/>
  <c r="D32" i="39"/>
  <c r="D13" i="39"/>
  <c r="D34" i="39" s="1"/>
  <c r="H32" i="39"/>
  <c r="H13" i="39"/>
  <c r="H34" i="39" s="1"/>
  <c r="Q36" i="74"/>
  <c r="I28" i="39"/>
  <c r="I29" i="39" s="1"/>
  <c r="L36" i="74"/>
  <c r="M36" i="74"/>
  <c r="R41" i="74"/>
  <c r="H36" i="74"/>
  <c r="I114" i="53"/>
  <c r="O36" i="74"/>
  <c r="P36" i="74"/>
  <c r="J36" i="74"/>
  <c r="F43" i="39"/>
  <c r="F41" i="39"/>
  <c r="L39" i="74"/>
  <c r="K39" i="74"/>
  <c r="M39" i="74"/>
  <c r="N39" i="74"/>
  <c r="G39" i="74"/>
  <c r="O39" i="74"/>
  <c r="H39" i="74"/>
  <c r="P39" i="74"/>
  <c r="I39" i="74"/>
  <c r="Q39" i="74"/>
  <c r="J39" i="74"/>
  <c r="F39" i="74"/>
  <c r="F40" i="74" s="1"/>
  <c r="I143" i="53"/>
  <c r="F36" i="74"/>
  <c r="G36" i="74"/>
  <c r="B216" i="76"/>
  <c r="B224" i="76"/>
  <c r="B232" i="76"/>
  <c r="B240" i="76"/>
  <c r="B264" i="76"/>
  <c r="B217" i="76"/>
  <c r="B225" i="76"/>
  <c r="B241" i="76"/>
  <c r="B257" i="76"/>
  <c r="B230" i="76"/>
  <c r="B254" i="76"/>
  <c r="B209" i="76"/>
  <c r="B210" i="76"/>
  <c r="B218" i="76"/>
  <c r="B226" i="76"/>
  <c r="B234" i="76"/>
  <c r="B242" i="76"/>
  <c r="B258" i="76"/>
  <c r="B219" i="76"/>
  <c r="B227" i="76"/>
  <c r="B235" i="76"/>
  <c r="B243" i="76"/>
  <c r="B229" i="76"/>
  <c r="B261" i="76"/>
  <c r="B238" i="76"/>
  <c r="B211" i="76"/>
  <c r="B212" i="76"/>
  <c r="B220" i="76"/>
  <c r="B228" i="76"/>
  <c r="B236" i="76"/>
  <c r="B244" i="76"/>
  <c r="B260" i="76"/>
  <c r="B221" i="76"/>
  <c r="B237" i="76"/>
  <c r="B245" i="76"/>
  <c r="B222" i="76"/>
  <c r="B262" i="76"/>
  <c r="B213" i="76"/>
  <c r="B215" i="76"/>
  <c r="B223" i="76"/>
  <c r="B231" i="76"/>
  <c r="B239" i="76"/>
  <c r="B255" i="76"/>
  <c r="B263" i="76"/>
  <c r="B233" i="76"/>
  <c r="B214" i="76"/>
  <c r="H46" i="62"/>
  <c r="I48" i="62"/>
  <c r="I51" i="62" s="1"/>
  <c r="I142" i="53"/>
  <c r="I105" i="53"/>
  <c r="I107" i="53"/>
  <c r="I106" i="53"/>
  <c r="I140" i="53"/>
  <c r="I109" i="53"/>
  <c r="I113" i="53"/>
  <c r="I111" i="53"/>
  <c r="I145" i="53"/>
  <c r="I147" i="53"/>
  <c r="I141" i="53"/>
  <c r="I139" i="53"/>
  <c r="I112" i="53"/>
  <c r="I116" i="26"/>
  <c r="I114" i="26"/>
  <c r="I111" i="26"/>
  <c r="I85" i="26"/>
  <c r="I125" i="26"/>
  <c r="I84" i="26"/>
  <c r="I123" i="26"/>
  <c r="I117" i="26"/>
  <c r="I115" i="26"/>
  <c r="I112" i="26"/>
  <c r="I124" i="26"/>
  <c r="I120" i="26"/>
  <c r="I86" i="26"/>
  <c r="I119" i="26"/>
  <c r="I113" i="26"/>
  <c r="I122" i="26"/>
  <c r="I121" i="26"/>
  <c r="N99" i="53"/>
  <c r="I222" i="25"/>
  <c r="I226" i="25" s="1"/>
  <c r="O210" i="25"/>
  <c r="Q210" i="25"/>
  <c r="N210" i="25"/>
  <c r="M210" i="25"/>
  <c r="L210" i="25"/>
  <c r="J61" i="53"/>
  <c r="G30" i="74"/>
  <c r="H30" i="74" s="1"/>
  <c r="I30" i="74" s="1"/>
  <c r="J30" i="74" s="1"/>
  <c r="K30" i="74" s="1"/>
  <c r="L30" i="74" s="1"/>
  <c r="M30" i="74" s="1"/>
  <c r="N30" i="74" s="1"/>
  <c r="O30" i="74" s="1"/>
  <c r="P30" i="74" s="1"/>
  <c r="Q30" i="74" s="1"/>
  <c r="F37" i="74"/>
  <c r="H79" i="26"/>
  <c r="H80" i="26" s="1"/>
  <c r="H129" i="26" s="1"/>
  <c r="H130" i="26" s="1"/>
  <c r="D139" i="26" s="1"/>
  <c r="D138" i="26"/>
  <c r="AB226" i="80" l="1"/>
  <c r="AC222" i="80"/>
  <c r="Y226" i="79"/>
  <c r="Z222" i="79"/>
  <c r="E166" i="26"/>
  <c r="L204" i="25"/>
  <c r="M204" i="25" s="1"/>
  <c r="N204" i="25" s="1"/>
  <c r="O204" i="25" s="1"/>
  <c r="P204" i="25" s="1"/>
  <c r="Q204" i="25" s="1"/>
  <c r="R204" i="25" s="1"/>
  <c r="S204" i="25" s="1"/>
  <c r="T204" i="25" s="1"/>
  <c r="U204" i="25" s="1"/>
  <c r="V204" i="25" s="1"/>
  <c r="W204" i="25" s="1"/>
  <c r="X204" i="25" s="1"/>
  <c r="Y204" i="25" s="1"/>
  <c r="Z204" i="25" s="1"/>
  <c r="AA204" i="25" s="1"/>
  <c r="AB204" i="25" s="1"/>
  <c r="AC204" i="25" s="1"/>
  <c r="AD204" i="25" s="1"/>
  <c r="J204" i="25"/>
  <c r="I46" i="41"/>
  <c r="E33" i="39"/>
  <c r="D33" i="39"/>
  <c r="G33" i="39"/>
  <c r="J33" i="39"/>
  <c r="J100" i="53"/>
  <c r="I70" i="63"/>
  <c r="I74" i="63" s="1"/>
  <c r="F44" i="39"/>
  <c r="F54" i="62"/>
  <c r="H51" i="62"/>
  <c r="C33" i="39"/>
  <c r="B520" i="76"/>
  <c r="C520" i="76" s="1"/>
  <c r="B512" i="76"/>
  <c r="C512" i="76" s="1"/>
  <c r="B504" i="76"/>
  <c r="B496" i="76"/>
  <c r="B488" i="76"/>
  <c r="B480" i="76"/>
  <c r="C480" i="76" s="1"/>
  <c r="B472" i="76"/>
  <c r="B464" i="76"/>
  <c r="B456" i="76"/>
  <c r="B448" i="76"/>
  <c r="B440" i="76"/>
  <c r="B432" i="76"/>
  <c r="B424" i="76"/>
  <c r="B416" i="76"/>
  <c r="B408" i="76"/>
  <c r="B400" i="76"/>
  <c r="B392" i="76"/>
  <c r="B384" i="76"/>
  <c r="B376" i="76"/>
  <c r="B368" i="76"/>
  <c r="B360" i="76"/>
  <c r="B352" i="76"/>
  <c r="B344" i="76"/>
  <c r="B336" i="76"/>
  <c r="B328" i="76"/>
  <c r="B320" i="76"/>
  <c r="B312" i="76"/>
  <c r="B304" i="76"/>
  <c r="B296" i="76"/>
  <c r="B288" i="76"/>
  <c r="B280" i="76"/>
  <c r="B272" i="76"/>
  <c r="B507" i="76"/>
  <c r="C507" i="76" s="1"/>
  <c r="B451" i="76"/>
  <c r="B403" i="76"/>
  <c r="B363" i="76"/>
  <c r="B323" i="76"/>
  <c r="B283" i="76"/>
  <c r="B490" i="76"/>
  <c r="B442" i="76"/>
  <c r="B394" i="76"/>
  <c r="B354" i="76"/>
  <c r="B314" i="76"/>
  <c r="B519" i="76"/>
  <c r="B511" i="76"/>
  <c r="B503" i="76"/>
  <c r="C503" i="76" s="1"/>
  <c r="B495" i="76"/>
  <c r="B487" i="76"/>
  <c r="B479" i="76"/>
  <c r="C479" i="76" s="1"/>
  <c r="B471" i="76"/>
  <c r="B463" i="76"/>
  <c r="B455" i="76"/>
  <c r="B447" i="76"/>
  <c r="B439" i="76"/>
  <c r="B431" i="76"/>
  <c r="B423" i="76"/>
  <c r="B415" i="76"/>
  <c r="B407" i="76"/>
  <c r="B399" i="76"/>
  <c r="B391" i="76"/>
  <c r="B383" i="76"/>
  <c r="B375" i="76"/>
  <c r="B367" i="76"/>
  <c r="B359" i="76"/>
  <c r="B351" i="76"/>
  <c r="B343" i="76"/>
  <c r="B335" i="76"/>
  <c r="B327" i="76"/>
  <c r="B319" i="76"/>
  <c r="B311" i="76"/>
  <c r="B303" i="76"/>
  <c r="B295" i="76"/>
  <c r="B287" i="76"/>
  <c r="B279" i="76"/>
  <c r="B271" i="76"/>
  <c r="B499" i="76"/>
  <c r="B459" i="76"/>
  <c r="B419" i="76"/>
  <c r="B379" i="76"/>
  <c r="B339" i="76"/>
  <c r="B291" i="76"/>
  <c r="B498" i="76"/>
  <c r="C498" i="76" s="1"/>
  <c r="B434" i="76"/>
  <c r="B386" i="76"/>
  <c r="B346" i="76"/>
  <c r="B298" i="76"/>
  <c r="B518" i="76"/>
  <c r="B510" i="76"/>
  <c r="B502" i="76"/>
  <c r="B494" i="76"/>
  <c r="C494" i="76" s="1"/>
  <c r="B486" i="76"/>
  <c r="B478" i="76"/>
  <c r="B470" i="76"/>
  <c r="B462" i="76"/>
  <c r="B454" i="76"/>
  <c r="B446" i="76"/>
  <c r="B438" i="76"/>
  <c r="B430" i="76"/>
  <c r="B422" i="76"/>
  <c r="B414" i="76"/>
  <c r="B406" i="76"/>
  <c r="B398" i="76"/>
  <c r="B390" i="76"/>
  <c r="B382" i="76"/>
  <c r="B374" i="76"/>
  <c r="B366" i="76"/>
  <c r="B358" i="76"/>
  <c r="B350" i="76"/>
  <c r="B342" i="76"/>
  <c r="B334" i="76"/>
  <c r="B326" i="76"/>
  <c r="B318" i="76"/>
  <c r="B310" i="76"/>
  <c r="B302" i="76"/>
  <c r="B294" i="76"/>
  <c r="B286" i="76"/>
  <c r="B278" i="76"/>
  <c r="B483" i="76"/>
  <c r="C483" i="76" s="1"/>
  <c r="B435" i="76"/>
  <c r="B395" i="76"/>
  <c r="B315" i="76"/>
  <c r="B506" i="76"/>
  <c r="B450" i="76"/>
  <c r="B402" i="76"/>
  <c r="B362" i="76"/>
  <c r="B306" i="76"/>
  <c r="B517" i="76"/>
  <c r="B509" i="76"/>
  <c r="B501" i="76"/>
  <c r="B493" i="76"/>
  <c r="C493" i="76" s="1"/>
  <c r="B485" i="76"/>
  <c r="C485" i="76" s="1"/>
  <c r="B477" i="76"/>
  <c r="B469" i="76"/>
  <c r="B461" i="76"/>
  <c r="B453" i="76"/>
  <c r="B445" i="76"/>
  <c r="B437" i="76"/>
  <c r="B429" i="76"/>
  <c r="B421" i="76"/>
  <c r="B413" i="76"/>
  <c r="B405" i="76"/>
  <c r="B397" i="76"/>
  <c r="B389" i="76"/>
  <c r="B381" i="76"/>
  <c r="B373" i="76"/>
  <c r="B365" i="76"/>
  <c r="B357" i="76"/>
  <c r="B349" i="76"/>
  <c r="B341" i="76"/>
  <c r="B333" i="76"/>
  <c r="B325" i="76"/>
  <c r="B317" i="76"/>
  <c r="B309" i="76"/>
  <c r="B301" i="76"/>
  <c r="B293" i="76"/>
  <c r="B285" i="76"/>
  <c r="B277" i="76"/>
  <c r="B475" i="76"/>
  <c r="B411" i="76"/>
  <c r="B371" i="76"/>
  <c r="B331" i="76"/>
  <c r="B275" i="76"/>
  <c r="B474" i="76"/>
  <c r="B426" i="76"/>
  <c r="B378" i="76"/>
  <c r="B330" i="76"/>
  <c r="B282" i="76"/>
  <c r="B516" i="76"/>
  <c r="B508" i="76"/>
  <c r="B500" i="76"/>
  <c r="B492" i="76"/>
  <c r="B484" i="76"/>
  <c r="B476" i="76"/>
  <c r="C476" i="76" s="1"/>
  <c r="B468" i="76"/>
  <c r="B460" i="76"/>
  <c r="B452" i="76"/>
  <c r="B444" i="76"/>
  <c r="B436" i="76"/>
  <c r="B428" i="76"/>
  <c r="B420" i="76"/>
  <c r="B412" i="76"/>
  <c r="B404" i="76"/>
  <c r="B396" i="76"/>
  <c r="B388" i="76"/>
  <c r="B380" i="76"/>
  <c r="B372" i="76"/>
  <c r="B364" i="76"/>
  <c r="B356" i="76"/>
  <c r="B348" i="76"/>
  <c r="B340" i="76"/>
  <c r="B332" i="76"/>
  <c r="B324" i="76"/>
  <c r="B316" i="76"/>
  <c r="B308" i="76"/>
  <c r="B300" i="76"/>
  <c r="B292" i="76"/>
  <c r="B284" i="76"/>
  <c r="B276" i="76"/>
  <c r="B491" i="76"/>
  <c r="B467" i="76"/>
  <c r="B427" i="76"/>
  <c r="B387" i="76"/>
  <c r="B347" i="76"/>
  <c r="B299" i="76"/>
  <c r="B514" i="76"/>
  <c r="B466" i="76"/>
  <c r="B410" i="76"/>
  <c r="B370" i="76"/>
  <c r="B322" i="76"/>
  <c r="B274" i="76"/>
  <c r="B513" i="76"/>
  <c r="B505" i="76"/>
  <c r="B497" i="76"/>
  <c r="B489" i="76"/>
  <c r="B481" i="76"/>
  <c r="B473" i="76"/>
  <c r="B465" i="76"/>
  <c r="B457" i="76"/>
  <c r="B449" i="76"/>
  <c r="B441" i="76"/>
  <c r="B433" i="76"/>
  <c r="B425" i="76"/>
  <c r="B417" i="76"/>
  <c r="B409" i="76"/>
  <c r="B401" i="76"/>
  <c r="B393" i="76"/>
  <c r="B385" i="76"/>
  <c r="B377" i="76"/>
  <c r="B369" i="76"/>
  <c r="B361" i="76"/>
  <c r="B353" i="76"/>
  <c r="B345" i="76"/>
  <c r="B337" i="76"/>
  <c r="B329" i="76"/>
  <c r="B321" i="76"/>
  <c r="B313" i="76"/>
  <c r="B305" i="76"/>
  <c r="B297" i="76"/>
  <c r="B289" i="76"/>
  <c r="B281" i="76"/>
  <c r="B273" i="76"/>
  <c r="B515" i="76"/>
  <c r="B443" i="76"/>
  <c r="B355" i="76"/>
  <c r="B307" i="76"/>
  <c r="B482" i="76"/>
  <c r="B458" i="76"/>
  <c r="B418" i="76"/>
  <c r="B338" i="76"/>
  <c r="B290" i="76"/>
  <c r="I80" i="53"/>
  <c r="I84" i="53"/>
  <c r="I72" i="53"/>
  <c r="I68" i="53"/>
  <c r="I76" i="53"/>
  <c r="I88" i="53"/>
  <c r="I86" i="53"/>
  <c r="I69" i="53"/>
  <c r="I78" i="53"/>
  <c r="I71" i="53"/>
  <c r="I75" i="53"/>
  <c r="I67" i="53"/>
  <c r="I82" i="53"/>
  <c r="I85" i="53"/>
  <c r="I79" i="53"/>
  <c r="I70" i="53"/>
  <c r="I83" i="53"/>
  <c r="I89" i="53"/>
  <c r="I81" i="53"/>
  <c r="I87" i="53"/>
  <c r="I73" i="53"/>
  <c r="I74" i="53"/>
  <c r="I77" i="53"/>
  <c r="I66" i="53"/>
  <c r="I44" i="53"/>
  <c r="I46" i="53"/>
  <c r="I55" i="53"/>
  <c r="I57" i="53"/>
  <c r="I47" i="53"/>
  <c r="I53" i="53"/>
  <c r="I59" i="53"/>
  <c r="I49" i="53"/>
  <c r="I48" i="53"/>
  <c r="I54" i="53"/>
  <c r="I52" i="53"/>
  <c r="I51" i="53"/>
  <c r="I45" i="53"/>
  <c r="I58" i="53"/>
  <c r="I56" i="53"/>
  <c r="I50" i="53"/>
  <c r="I21" i="53"/>
  <c r="I22" i="53"/>
  <c r="I28" i="53"/>
  <c r="I19" i="53"/>
  <c r="I33" i="53"/>
  <c r="I24" i="53"/>
  <c r="I15" i="53"/>
  <c r="I20" i="53"/>
  <c r="I31" i="53"/>
  <c r="I25" i="53"/>
  <c r="I26" i="53"/>
  <c r="I17" i="53"/>
  <c r="I16" i="53"/>
  <c r="I14" i="53"/>
  <c r="I34" i="53"/>
  <c r="I18" i="53"/>
  <c r="I32" i="53"/>
  <c r="I29" i="53"/>
  <c r="I27" i="53"/>
  <c r="I30" i="53"/>
  <c r="I23" i="53"/>
  <c r="I78" i="26"/>
  <c r="I77" i="26"/>
  <c r="I61" i="26"/>
  <c r="I65" i="26"/>
  <c r="I57" i="26"/>
  <c r="I69" i="26"/>
  <c r="I71" i="26"/>
  <c r="I60" i="26"/>
  <c r="I72" i="26"/>
  <c r="I59" i="26"/>
  <c r="I63" i="26"/>
  <c r="I66" i="26"/>
  <c r="I68" i="26"/>
  <c r="I70" i="26"/>
  <c r="I67" i="26"/>
  <c r="I62" i="26"/>
  <c r="I58" i="26"/>
  <c r="I64" i="26"/>
  <c r="I39" i="26"/>
  <c r="I37" i="26"/>
  <c r="I36" i="26"/>
  <c r="I44" i="26"/>
  <c r="I48" i="26"/>
  <c r="I50" i="26"/>
  <c r="I41" i="26"/>
  <c r="I43" i="26"/>
  <c r="I46" i="26"/>
  <c r="I49" i="26"/>
  <c r="I40" i="26"/>
  <c r="I47" i="26"/>
  <c r="I42" i="26"/>
  <c r="I45" i="26"/>
  <c r="I38" i="26"/>
  <c r="I20" i="26"/>
  <c r="I34" i="26"/>
  <c r="I25" i="26"/>
  <c r="I26" i="26"/>
  <c r="I18" i="26"/>
  <c r="I17" i="26"/>
  <c r="I15" i="26"/>
  <c r="I27" i="26"/>
  <c r="I19" i="26"/>
  <c r="I23" i="26"/>
  <c r="I24" i="26"/>
  <c r="I16" i="26"/>
  <c r="I22" i="26"/>
  <c r="I13" i="26"/>
  <c r="I21" i="26"/>
  <c r="I14" i="26"/>
  <c r="I13" i="39"/>
  <c r="I34" i="39" s="1"/>
  <c r="I32" i="39"/>
  <c r="C42" i="39"/>
  <c r="C43" i="39"/>
  <c r="C41" i="39"/>
  <c r="H33" i="39"/>
  <c r="E42" i="39"/>
  <c r="E41" i="39"/>
  <c r="E43" i="39"/>
  <c r="J41" i="39"/>
  <c r="J43" i="39"/>
  <c r="J42" i="39"/>
  <c r="D42" i="39"/>
  <c r="D41" i="39"/>
  <c r="D43" i="39"/>
  <c r="G43" i="39"/>
  <c r="G41" i="39"/>
  <c r="G42" i="39"/>
  <c r="H237" i="64"/>
  <c r="F244" i="64"/>
  <c r="F241" i="64"/>
  <c r="C488" i="76"/>
  <c r="C511" i="76"/>
  <c r="C513" i="76"/>
  <c r="C496" i="76"/>
  <c r="C486" i="76"/>
  <c r="C478" i="76"/>
  <c r="C519" i="76"/>
  <c r="C492" i="76"/>
  <c r="C499" i="76"/>
  <c r="C500" i="76"/>
  <c r="C502" i="76"/>
  <c r="C504" i="76"/>
  <c r="C474" i="76"/>
  <c r="C475" i="76"/>
  <c r="C501" i="76"/>
  <c r="F52" i="62"/>
  <c r="H238" i="64"/>
  <c r="I13" i="53"/>
  <c r="I42" i="53"/>
  <c r="I92" i="53"/>
  <c r="I35" i="53"/>
  <c r="I43" i="53"/>
  <c r="I93" i="53"/>
  <c r="I36" i="53"/>
  <c r="I60" i="53"/>
  <c r="I37" i="53"/>
  <c r="I12" i="53"/>
  <c r="I95" i="53"/>
  <c r="I38" i="53"/>
  <c r="I64" i="53"/>
  <c r="I90" i="53"/>
  <c r="I98" i="53"/>
  <c r="I39" i="53"/>
  <c r="I40" i="53"/>
  <c r="I41" i="53"/>
  <c r="I63" i="53"/>
  <c r="I96" i="53"/>
  <c r="I97" i="53"/>
  <c r="I65" i="53"/>
  <c r="I94" i="53"/>
  <c r="I91" i="53"/>
  <c r="J155" i="53"/>
  <c r="J156" i="53" s="1"/>
  <c r="H156" i="53" s="1"/>
  <c r="H157" i="53" s="1"/>
  <c r="H158" i="53" s="1"/>
  <c r="I149" i="53"/>
  <c r="I11" i="26"/>
  <c r="I12" i="26"/>
  <c r="I51" i="26"/>
  <c r="I35" i="26"/>
  <c r="I33" i="26"/>
  <c r="I32" i="26"/>
  <c r="I28" i="26"/>
  <c r="I31" i="26"/>
  <c r="I29" i="26"/>
  <c r="I30" i="26"/>
  <c r="I55" i="26"/>
  <c r="I56" i="26"/>
  <c r="I54" i="26"/>
  <c r="I73" i="26"/>
  <c r="I74" i="26"/>
  <c r="I75" i="26"/>
  <c r="I76" i="26"/>
  <c r="B166" i="26"/>
  <c r="J222" i="25"/>
  <c r="H212" i="25"/>
  <c r="I212" i="25" s="1"/>
  <c r="N61" i="53"/>
  <c r="D173" i="53"/>
  <c r="B193" i="53"/>
  <c r="D174" i="53"/>
  <c r="D175" i="53"/>
  <c r="G37" i="74"/>
  <c r="F41" i="74"/>
  <c r="G40" i="74"/>
  <c r="H40" i="74" s="1"/>
  <c r="I40" i="74" s="1"/>
  <c r="J40" i="74" s="1"/>
  <c r="K40" i="74" s="1"/>
  <c r="L40" i="74" s="1"/>
  <c r="M40" i="74" s="1"/>
  <c r="N40" i="74" s="1"/>
  <c r="O40" i="74" s="1"/>
  <c r="P40" i="74" s="1"/>
  <c r="Q40" i="74" s="1"/>
  <c r="D137" i="26"/>
  <c r="I126" i="26"/>
  <c r="N100" i="53"/>
  <c r="D163" i="53"/>
  <c r="D166" i="26"/>
  <c r="AC226" i="80" l="1"/>
  <c r="AD222" i="80"/>
  <c r="AD226" i="80" s="1"/>
  <c r="Z226" i="79"/>
  <c r="AA222" i="79"/>
  <c r="I494" i="76"/>
  <c r="K494" i="76" s="1"/>
  <c r="G494" i="76"/>
  <c r="H494" i="76"/>
  <c r="C490" i="76"/>
  <c r="H489" i="76"/>
  <c r="C489" i="76"/>
  <c r="M481" i="76"/>
  <c r="H481" i="76"/>
  <c r="C477" i="76"/>
  <c r="C484" i="76"/>
  <c r="C514" i="76"/>
  <c r="C508" i="76"/>
  <c r="C497" i="76"/>
  <c r="C481" i="76"/>
  <c r="C491" i="76"/>
  <c r="C518" i="76"/>
  <c r="C495" i="76"/>
  <c r="I481" i="76"/>
  <c r="C506" i="76"/>
  <c r="G481" i="76"/>
  <c r="C517" i="76"/>
  <c r="C472" i="76"/>
  <c r="D481" i="76"/>
  <c r="C505" i="76"/>
  <c r="C509" i="76"/>
  <c r="H418" i="76"/>
  <c r="D418" i="76"/>
  <c r="G418" i="76"/>
  <c r="M418" i="76"/>
  <c r="C418" i="76"/>
  <c r="I418" i="76"/>
  <c r="D324" i="76"/>
  <c r="H324" i="76"/>
  <c r="C324" i="76"/>
  <c r="M324" i="76"/>
  <c r="G324" i="76"/>
  <c r="I324" i="76"/>
  <c r="H445" i="76"/>
  <c r="C445" i="76"/>
  <c r="G445" i="76"/>
  <c r="I445" i="76"/>
  <c r="M445" i="76"/>
  <c r="D445" i="76"/>
  <c r="G339" i="76"/>
  <c r="D339" i="76"/>
  <c r="I339" i="76"/>
  <c r="H339" i="76"/>
  <c r="M339" i="76"/>
  <c r="C339" i="76"/>
  <c r="C272" i="76"/>
  <c r="G272" i="76"/>
  <c r="D272" i="76"/>
  <c r="M272" i="76"/>
  <c r="H272" i="76"/>
  <c r="I272" i="76"/>
  <c r="I289" i="76"/>
  <c r="H289" i="76"/>
  <c r="M289" i="76"/>
  <c r="C289" i="76"/>
  <c r="D289" i="76"/>
  <c r="G289" i="76"/>
  <c r="H353" i="76"/>
  <c r="D353" i="76"/>
  <c r="I353" i="76"/>
  <c r="M353" i="76"/>
  <c r="C353" i="76"/>
  <c r="G353" i="76"/>
  <c r="C417" i="76"/>
  <c r="H417" i="76"/>
  <c r="I417" i="76"/>
  <c r="D417" i="76"/>
  <c r="G417" i="76"/>
  <c r="M417" i="76"/>
  <c r="I410" i="76"/>
  <c r="C410" i="76"/>
  <c r="D410" i="76"/>
  <c r="M410" i="76"/>
  <c r="G410" i="76"/>
  <c r="H410" i="76"/>
  <c r="H332" i="76"/>
  <c r="I332" i="76"/>
  <c r="C332" i="76"/>
  <c r="D332" i="76"/>
  <c r="M332" i="76"/>
  <c r="G332" i="76"/>
  <c r="I396" i="76"/>
  <c r="M396" i="76"/>
  <c r="C396" i="76"/>
  <c r="G396" i="76"/>
  <c r="H396" i="76"/>
  <c r="D396" i="76"/>
  <c r="M460" i="76"/>
  <c r="C460" i="76"/>
  <c r="D460" i="76"/>
  <c r="G460" i="76"/>
  <c r="I460" i="76"/>
  <c r="H460" i="76"/>
  <c r="G282" i="76"/>
  <c r="I282" i="76"/>
  <c r="H282" i="76"/>
  <c r="M282" i="76"/>
  <c r="C282" i="76"/>
  <c r="D282" i="76"/>
  <c r="I411" i="76"/>
  <c r="H411" i="76"/>
  <c r="M411" i="76"/>
  <c r="C411" i="76"/>
  <c r="D411" i="76"/>
  <c r="G411" i="76"/>
  <c r="H325" i="76"/>
  <c r="C325" i="76"/>
  <c r="I325" i="76"/>
  <c r="M325" i="76"/>
  <c r="D325" i="76"/>
  <c r="G325" i="76"/>
  <c r="M389" i="76"/>
  <c r="D389" i="76"/>
  <c r="G389" i="76"/>
  <c r="H389" i="76"/>
  <c r="I389" i="76"/>
  <c r="C389" i="76"/>
  <c r="M453" i="76"/>
  <c r="D453" i="76"/>
  <c r="G453" i="76"/>
  <c r="C453" i="76"/>
  <c r="H453" i="76"/>
  <c r="I453" i="76"/>
  <c r="G435" i="76"/>
  <c r="M435" i="76"/>
  <c r="D435" i="76"/>
  <c r="I435" i="76"/>
  <c r="H435" i="76"/>
  <c r="C435" i="76"/>
  <c r="G326" i="76"/>
  <c r="I326" i="76"/>
  <c r="H326" i="76"/>
  <c r="M326" i="76"/>
  <c r="C326" i="76"/>
  <c r="D326" i="76"/>
  <c r="D390" i="76"/>
  <c r="G390" i="76"/>
  <c r="H390" i="76"/>
  <c r="I390" i="76"/>
  <c r="M390" i="76"/>
  <c r="C390" i="76"/>
  <c r="C454" i="76"/>
  <c r="M454" i="76"/>
  <c r="D454" i="76"/>
  <c r="G454" i="76"/>
  <c r="H454" i="76"/>
  <c r="I454" i="76"/>
  <c r="M379" i="76"/>
  <c r="H379" i="76"/>
  <c r="C379" i="76"/>
  <c r="I379" i="76"/>
  <c r="G379" i="76"/>
  <c r="D379" i="76"/>
  <c r="M303" i="76"/>
  <c r="C303" i="76"/>
  <c r="D303" i="76"/>
  <c r="G303" i="76"/>
  <c r="H303" i="76"/>
  <c r="I303" i="76"/>
  <c r="C367" i="76"/>
  <c r="I367" i="76"/>
  <c r="D367" i="76"/>
  <c r="M367" i="76"/>
  <c r="G367" i="76"/>
  <c r="H367" i="76"/>
  <c r="G431" i="76"/>
  <c r="I431" i="76"/>
  <c r="M431" i="76"/>
  <c r="D431" i="76"/>
  <c r="H431" i="76"/>
  <c r="C431" i="76"/>
  <c r="C280" i="76"/>
  <c r="D280" i="76"/>
  <c r="G280" i="76"/>
  <c r="H280" i="76"/>
  <c r="M280" i="76"/>
  <c r="I280" i="76"/>
  <c r="M344" i="76"/>
  <c r="I344" i="76"/>
  <c r="C344" i="76"/>
  <c r="D344" i="76"/>
  <c r="H344" i="76"/>
  <c r="G344" i="76"/>
  <c r="D408" i="76"/>
  <c r="I408" i="76"/>
  <c r="M408" i="76"/>
  <c r="C408" i="76"/>
  <c r="G408" i="76"/>
  <c r="H408" i="76"/>
  <c r="K408" i="76" s="1"/>
  <c r="I370" i="76"/>
  <c r="M370" i="76"/>
  <c r="D370" i="76"/>
  <c r="H370" i="76"/>
  <c r="C370" i="76"/>
  <c r="G370" i="76"/>
  <c r="H317" i="76"/>
  <c r="M317" i="76"/>
  <c r="I317" i="76"/>
  <c r="C317" i="76"/>
  <c r="D317" i="76"/>
  <c r="G317" i="76"/>
  <c r="M446" i="76"/>
  <c r="C446" i="76"/>
  <c r="D446" i="76"/>
  <c r="I446" i="76"/>
  <c r="H446" i="76"/>
  <c r="G446" i="76"/>
  <c r="G464" i="76"/>
  <c r="H464" i="76"/>
  <c r="I464" i="76"/>
  <c r="M464" i="76"/>
  <c r="D464" i="76"/>
  <c r="C464" i="76"/>
  <c r="G297" i="76"/>
  <c r="H297" i="76"/>
  <c r="I297" i="76"/>
  <c r="M297" i="76"/>
  <c r="D297" i="76"/>
  <c r="C297" i="76"/>
  <c r="M361" i="76"/>
  <c r="H361" i="76"/>
  <c r="I361" i="76"/>
  <c r="C361" i="76"/>
  <c r="G361" i="76"/>
  <c r="D361" i="76"/>
  <c r="D425" i="76"/>
  <c r="G425" i="76"/>
  <c r="H425" i="76"/>
  <c r="C425" i="76"/>
  <c r="I425" i="76"/>
  <c r="M425" i="76"/>
  <c r="C466" i="76"/>
  <c r="G466" i="76"/>
  <c r="H466" i="76"/>
  <c r="I466" i="76"/>
  <c r="D466" i="76"/>
  <c r="M466" i="76"/>
  <c r="D276" i="76"/>
  <c r="G276" i="76"/>
  <c r="H276" i="76"/>
  <c r="I276" i="76"/>
  <c r="M276" i="76"/>
  <c r="C276" i="76"/>
  <c r="M340" i="76"/>
  <c r="C340" i="76"/>
  <c r="G340" i="76"/>
  <c r="H340" i="76"/>
  <c r="D340" i="76"/>
  <c r="I340" i="76"/>
  <c r="C404" i="76"/>
  <c r="G404" i="76"/>
  <c r="H404" i="76"/>
  <c r="I404" i="76"/>
  <c r="D404" i="76"/>
  <c r="M404" i="76"/>
  <c r="H468" i="76"/>
  <c r="G468" i="76"/>
  <c r="I468" i="76"/>
  <c r="D468" i="76"/>
  <c r="M468" i="76"/>
  <c r="C468" i="76"/>
  <c r="H330" i="76"/>
  <c r="M330" i="76"/>
  <c r="C330" i="76"/>
  <c r="G330" i="76"/>
  <c r="D330" i="76"/>
  <c r="I330" i="76"/>
  <c r="C333" i="76"/>
  <c r="H333" i="76"/>
  <c r="G333" i="76"/>
  <c r="D333" i="76"/>
  <c r="I333" i="76"/>
  <c r="M333" i="76"/>
  <c r="M397" i="76"/>
  <c r="C397" i="76"/>
  <c r="D397" i="76"/>
  <c r="G397" i="76"/>
  <c r="I397" i="76"/>
  <c r="H397" i="76"/>
  <c r="I461" i="76"/>
  <c r="C461" i="76"/>
  <c r="D461" i="76"/>
  <c r="G461" i="76"/>
  <c r="M461" i="76"/>
  <c r="H461" i="76"/>
  <c r="D306" i="76"/>
  <c r="I306" i="76"/>
  <c r="M306" i="76"/>
  <c r="H306" i="76"/>
  <c r="G306" i="76"/>
  <c r="C306" i="76"/>
  <c r="D334" i="76"/>
  <c r="M334" i="76"/>
  <c r="C334" i="76"/>
  <c r="H334" i="76"/>
  <c r="I334" i="76"/>
  <c r="G334" i="76"/>
  <c r="D398" i="76"/>
  <c r="H398" i="76"/>
  <c r="I398" i="76"/>
  <c r="G398" i="76"/>
  <c r="M398" i="76"/>
  <c r="C398" i="76"/>
  <c r="G462" i="76"/>
  <c r="D462" i="76"/>
  <c r="H462" i="76"/>
  <c r="I462" i="76"/>
  <c r="C462" i="76"/>
  <c r="M462" i="76"/>
  <c r="I298" i="76"/>
  <c r="M298" i="76"/>
  <c r="C298" i="76"/>
  <c r="D298" i="76"/>
  <c r="H298" i="76"/>
  <c r="G298" i="76"/>
  <c r="D419" i="76"/>
  <c r="G419" i="76"/>
  <c r="I419" i="76"/>
  <c r="H419" i="76"/>
  <c r="M419" i="76"/>
  <c r="C419" i="76"/>
  <c r="C311" i="76"/>
  <c r="G311" i="76"/>
  <c r="I311" i="76"/>
  <c r="D311" i="76"/>
  <c r="H311" i="76"/>
  <c r="M311" i="76"/>
  <c r="C375" i="76"/>
  <c r="M375" i="76"/>
  <c r="D375" i="76"/>
  <c r="G375" i="76"/>
  <c r="I375" i="76"/>
  <c r="H375" i="76"/>
  <c r="H439" i="76"/>
  <c r="C439" i="76"/>
  <c r="G439" i="76"/>
  <c r="I439" i="76"/>
  <c r="D439" i="76"/>
  <c r="M439" i="76"/>
  <c r="C283" i="76"/>
  <c r="G283" i="76"/>
  <c r="D283" i="76"/>
  <c r="M283" i="76"/>
  <c r="H283" i="76"/>
  <c r="I283" i="76"/>
  <c r="G288" i="76"/>
  <c r="H288" i="76"/>
  <c r="I288" i="76"/>
  <c r="M288" i="76"/>
  <c r="C288" i="76"/>
  <c r="D288" i="76"/>
  <c r="G352" i="76"/>
  <c r="I352" i="76"/>
  <c r="C352" i="76"/>
  <c r="H352" i="76"/>
  <c r="D352" i="76"/>
  <c r="M352" i="76"/>
  <c r="H416" i="76"/>
  <c r="G416" i="76"/>
  <c r="D416" i="76"/>
  <c r="I416" i="76"/>
  <c r="C416" i="76"/>
  <c r="M416" i="76"/>
  <c r="C467" i="76"/>
  <c r="M467" i="76"/>
  <c r="D467" i="76"/>
  <c r="G467" i="76"/>
  <c r="I467" i="76"/>
  <c r="H467" i="76"/>
  <c r="G381" i="76"/>
  <c r="H381" i="76"/>
  <c r="I381" i="76"/>
  <c r="M381" i="76"/>
  <c r="D381" i="76"/>
  <c r="C381" i="76"/>
  <c r="H423" i="76"/>
  <c r="M423" i="76"/>
  <c r="D423" i="76"/>
  <c r="I423" i="76"/>
  <c r="G423" i="76"/>
  <c r="C423" i="76"/>
  <c r="D400" i="76"/>
  <c r="M400" i="76"/>
  <c r="C400" i="76"/>
  <c r="G400" i="76"/>
  <c r="H400" i="76"/>
  <c r="I400" i="76"/>
  <c r="C510" i="76"/>
  <c r="H305" i="76"/>
  <c r="I305" i="76"/>
  <c r="D305" i="76"/>
  <c r="M305" i="76"/>
  <c r="G305" i="76"/>
  <c r="C305" i="76"/>
  <c r="I369" i="76"/>
  <c r="M369" i="76"/>
  <c r="C369" i="76"/>
  <c r="D369" i="76"/>
  <c r="H369" i="76"/>
  <c r="G369" i="76"/>
  <c r="G433" i="76"/>
  <c r="D433" i="76"/>
  <c r="H433" i="76"/>
  <c r="C433" i="76"/>
  <c r="I433" i="76"/>
  <c r="M433" i="76"/>
  <c r="C284" i="76"/>
  <c r="M284" i="76"/>
  <c r="D284" i="76"/>
  <c r="G284" i="76"/>
  <c r="H284" i="76"/>
  <c r="I284" i="76"/>
  <c r="C348" i="76"/>
  <c r="D348" i="76"/>
  <c r="I348" i="76"/>
  <c r="M348" i="76"/>
  <c r="G348" i="76"/>
  <c r="H348" i="76"/>
  <c r="H412" i="76"/>
  <c r="G412" i="76"/>
  <c r="C412" i="76"/>
  <c r="I412" i="76"/>
  <c r="M412" i="76"/>
  <c r="D412" i="76"/>
  <c r="G378" i="76"/>
  <c r="H378" i="76"/>
  <c r="I378" i="76"/>
  <c r="C378" i="76"/>
  <c r="M378" i="76"/>
  <c r="D378" i="76"/>
  <c r="C277" i="76"/>
  <c r="M277" i="76"/>
  <c r="D277" i="76"/>
  <c r="G277" i="76"/>
  <c r="I277" i="76"/>
  <c r="H277" i="76"/>
  <c r="D341" i="76"/>
  <c r="G341" i="76"/>
  <c r="H341" i="76"/>
  <c r="M341" i="76"/>
  <c r="I341" i="76"/>
  <c r="C341" i="76"/>
  <c r="M405" i="76"/>
  <c r="D405" i="76"/>
  <c r="H405" i="76"/>
  <c r="G405" i="76"/>
  <c r="I405" i="76"/>
  <c r="C405" i="76"/>
  <c r="C469" i="76"/>
  <c r="G469" i="76"/>
  <c r="I469" i="76"/>
  <c r="D469" i="76"/>
  <c r="H469" i="76"/>
  <c r="M469" i="76"/>
  <c r="M362" i="76"/>
  <c r="C362" i="76"/>
  <c r="D362" i="76"/>
  <c r="G362" i="76"/>
  <c r="H362" i="76"/>
  <c r="I362" i="76"/>
  <c r="I278" i="76"/>
  <c r="M278" i="76"/>
  <c r="C278" i="76"/>
  <c r="D278" i="76"/>
  <c r="G278" i="76"/>
  <c r="H278" i="76"/>
  <c r="C342" i="76"/>
  <c r="H342" i="76"/>
  <c r="M342" i="76"/>
  <c r="I342" i="76"/>
  <c r="G342" i="76"/>
  <c r="D342" i="76"/>
  <c r="C406" i="76"/>
  <c r="G406" i="76"/>
  <c r="D406" i="76"/>
  <c r="H406" i="76"/>
  <c r="I406" i="76"/>
  <c r="M406" i="76"/>
  <c r="I470" i="76"/>
  <c r="M470" i="76"/>
  <c r="D470" i="76"/>
  <c r="H470" i="76"/>
  <c r="C470" i="76"/>
  <c r="G470" i="76"/>
  <c r="H346" i="76"/>
  <c r="I346" i="76"/>
  <c r="C346" i="76"/>
  <c r="G346" i="76"/>
  <c r="D346" i="76"/>
  <c r="M346" i="76"/>
  <c r="G459" i="76"/>
  <c r="I459" i="76"/>
  <c r="M459" i="76"/>
  <c r="C459" i="76"/>
  <c r="H459" i="76"/>
  <c r="D459" i="76"/>
  <c r="G319" i="76"/>
  <c r="H319" i="76"/>
  <c r="C319" i="76"/>
  <c r="I319" i="76"/>
  <c r="M319" i="76"/>
  <c r="D319" i="76"/>
  <c r="G383" i="76"/>
  <c r="M383" i="76"/>
  <c r="C383" i="76"/>
  <c r="D383" i="76"/>
  <c r="I383" i="76"/>
  <c r="H383" i="76"/>
  <c r="G447" i="76"/>
  <c r="M447" i="76"/>
  <c r="I447" i="76"/>
  <c r="H447" i="76"/>
  <c r="C447" i="76"/>
  <c r="D447" i="76"/>
  <c r="M323" i="76"/>
  <c r="C323" i="76"/>
  <c r="D323" i="76"/>
  <c r="G323" i="76"/>
  <c r="I323" i="76"/>
  <c r="H323" i="76"/>
  <c r="C296" i="76"/>
  <c r="D296" i="76"/>
  <c r="H296" i="76"/>
  <c r="G296" i="76"/>
  <c r="M296" i="76"/>
  <c r="I296" i="76"/>
  <c r="D360" i="76"/>
  <c r="H360" i="76"/>
  <c r="I360" i="76"/>
  <c r="M360" i="76"/>
  <c r="G360" i="76"/>
  <c r="C360" i="76"/>
  <c r="C424" i="76"/>
  <c r="H424" i="76"/>
  <c r="I424" i="76"/>
  <c r="M424" i="76"/>
  <c r="G424" i="76"/>
  <c r="D424" i="76"/>
  <c r="I371" i="76"/>
  <c r="M371" i="76"/>
  <c r="D371" i="76"/>
  <c r="C371" i="76"/>
  <c r="G371" i="76"/>
  <c r="H371" i="76"/>
  <c r="C318" i="76"/>
  <c r="G318" i="76"/>
  <c r="D318" i="76"/>
  <c r="M318" i="76"/>
  <c r="H318" i="76"/>
  <c r="I318" i="76"/>
  <c r="C359" i="76"/>
  <c r="M359" i="76"/>
  <c r="D359" i="76"/>
  <c r="H359" i="76"/>
  <c r="I359" i="76"/>
  <c r="G359" i="76"/>
  <c r="I336" i="76"/>
  <c r="D336" i="76"/>
  <c r="H336" i="76"/>
  <c r="M336" i="76"/>
  <c r="G336" i="76"/>
  <c r="C336" i="76"/>
  <c r="C482" i="76"/>
  <c r="I355" i="76"/>
  <c r="M355" i="76"/>
  <c r="C355" i="76"/>
  <c r="D355" i="76"/>
  <c r="H355" i="76"/>
  <c r="G355" i="76"/>
  <c r="M313" i="76"/>
  <c r="C313" i="76"/>
  <c r="D313" i="76"/>
  <c r="H313" i="76"/>
  <c r="G313" i="76"/>
  <c r="I313" i="76"/>
  <c r="C377" i="76"/>
  <c r="G377" i="76"/>
  <c r="M377" i="76"/>
  <c r="I377" i="76"/>
  <c r="D377" i="76"/>
  <c r="H377" i="76"/>
  <c r="H441" i="76"/>
  <c r="I441" i="76"/>
  <c r="D441" i="76"/>
  <c r="M441" i="76"/>
  <c r="G441" i="76"/>
  <c r="C441" i="76"/>
  <c r="C299" i="76"/>
  <c r="D299" i="76"/>
  <c r="G299" i="76"/>
  <c r="M299" i="76"/>
  <c r="H299" i="76"/>
  <c r="I299" i="76"/>
  <c r="G292" i="76"/>
  <c r="I292" i="76"/>
  <c r="H292" i="76"/>
  <c r="M292" i="76"/>
  <c r="D292" i="76"/>
  <c r="C292" i="76"/>
  <c r="G356" i="76"/>
  <c r="H356" i="76"/>
  <c r="D356" i="76"/>
  <c r="I356" i="76"/>
  <c r="M356" i="76"/>
  <c r="C356" i="76"/>
  <c r="I420" i="76"/>
  <c r="D420" i="76"/>
  <c r="G420" i="76"/>
  <c r="M420" i="76"/>
  <c r="H420" i="76"/>
  <c r="C420" i="76"/>
  <c r="D426" i="76"/>
  <c r="I426" i="76"/>
  <c r="M426" i="76"/>
  <c r="H426" i="76"/>
  <c r="C426" i="76"/>
  <c r="G426" i="76"/>
  <c r="M285" i="76"/>
  <c r="D285" i="76"/>
  <c r="G285" i="76"/>
  <c r="H285" i="76"/>
  <c r="I285" i="76"/>
  <c r="C285" i="76"/>
  <c r="C349" i="76"/>
  <c r="M349" i="76"/>
  <c r="D349" i="76"/>
  <c r="G349" i="76"/>
  <c r="H349" i="76"/>
  <c r="I349" i="76"/>
  <c r="G413" i="76"/>
  <c r="M413" i="76"/>
  <c r="D413" i="76"/>
  <c r="C413" i="76"/>
  <c r="H413" i="76"/>
  <c r="I413" i="76"/>
  <c r="D402" i="76"/>
  <c r="G402" i="76"/>
  <c r="I402" i="76"/>
  <c r="M402" i="76"/>
  <c r="C402" i="76"/>
  <c r="H402" i="76"/>
  <c r="I286" i="76"/>
  <c r="M286" i="76"/>
  <c r="C286" i="76"/>
  <c r="H286" i="76"/>
  <c r="G286" i="76"/>
  <c r="D286" i="76"/>
  <c r="C350" i="76"/>
  <c r="G350" i="76"/>
  <c r="M350" i="76"/>
  <c r="H350" i="76"/>
  <c r="D350" i="76"/>
  <c r="I350" i="76"/>
  <c r="C414" i="76"/>
  <c r="M414" i="76"/>
  <c r="D414" i="76"/>
  <c r="I414" i="76"/>
  <c r="G414" i="76"/>
  <c r="H414" i="76"/>
  <c r="C386" i="76"/>
  <c r="D386" i="76"/>
  <c r="G386" i="76"/>
  <c r="I386" i="76"/>
  <c r="H386" i="76"/>
  <c r="M386" i="76"/>
  <c r="M327" i="76"/>
  <c r="C327" i="76"/>
  <c r="H327" i="76"/>
  <c r="G327" i="76"/>
  <c r="I327" i="76"/>
  <c r="D327" i="76"/>
  <c r="D391" i="76"/>
  <c r="G391" i="76"/>
  <c r="I391" i="76"/>
  <c r="H391" i="76"/>
  <c r="C391" i="76"/>
  <c r="M391" i="76"/>
  <c r="I455" i="76"/>
  <c r="M455" i="76"/>
  <c r="C455" i="76"/>
  <c r="D455" i="76"/>
  <c r="G455" i="76"/>
  <c r="H455" i="76"/>
  <c r="M519" i="76"/>
  <c r="C363" i="76"/>
  <c r="I363" i="76"/>
  <c r="M363" i="76"/>
  <c r="H363" i="76"/>
  <c r="D363" i="76"/>
  <c r="G363" i="76"/>
  <c r="I304" i="76"/>
  <c r="M304" i="76"/>
  <c r="H304" i="76"/>
  <c r="G304" i="76"/>
  <c r="D304" i="76"/>
  <c r="C304" i="76"/>
  <c r="G368" i="76"/>
  <c r="I368" i="76"/>
  <c r="H368" i="76"/>
  <c r="M368" i="76"/>
  <c r="D368" i="76"/>
  <c r="C368" i="76"/>
  <c r="D432" i="76"/>
  <c r="G432" i="76"/>
  <c r="I432" i="76"/>
  <c r="M432" i="76"/>
  <c r="H432" i="76"/>
  <c r="C432" i="76"/>
  <c r="M281" i="76"/>
  <c r="G281" i="76"/>
  <c r="H281" i="76"/>
  <c r="I281" i="76"/>
  <c r="C281" i="76"/>
  <c r="D281" i="76"/>
  <c r="I388" i="76"/>
  <c r="M388" i="76"/>
  <c r="C388" i="76"/>
  <c r="D388" i="76"/>
  <c r="H388" i="76"/>
  <c r="G388" i="76"/>
  <c r="D295" i="76"/>
  <c r="H295" i="76"/>
  <c r="G295" i="76"/>
  <c r="I295" i="76"/>
  <c r="C295" i="76"/>
  <c r="M295" i="76"/>
  <c r="H442" i="76"/>
  <c r="D442" i="76"/>
  <c r="M442" i="76"/>
  <c r="I442" i="76"/>
  <c r="C442" i="76"/>
  <c r="G442" i="76"/>
  <c r="M458" i="76"/>
  <c r="C458" i="76"/>
  <c r="D458" i="76"/>
  <c r="G458" i="76"/>
  <c r="H458" i="76"/>
  <c r="I458" i="76"/>
  <c r="I307" i="76"/>
  <c r="D307" i="76"/>
  <c r="C307" i="76"/>
  <c r="G307" i="76"/>
  <c r="H307" i="76"/>
  <c r="M307" i="76"/>
  <c r="C487" i="76"/>
  <c r="C516" i="76"/>
  <c r="C473" i="76"/>
  <c r="H443" i="76"/>
  <c r="C443" i="76"/>
  <c r="D443" i="76"/>
  <c r="G443" i="76"/>
  <c r="I443" i="76"/>
  <c r="M443" i="76"/>
  <c r="I321" i="76"/>
  <c r="D321" i="76"/>
  <c r="H321" i="76"/>
  <c r="M321" i="76"/>
  <c r="G321" i="76"/>
  <c r="C321" i="76"/>
  <c r="H385" i="76"/>
  <c r="I385" i="76"/>
  <c r="D385" i="76"/>
  <c r="M385" i="76"/>
  <c r="G385" i="76"/>
  <c r="C385" i="76"/>
  <c r="H449" i="76"/>
  <c r="I449" i="76"/>
  <c r="M449" i="76"/>
  <c r="C449" i="76"/>
  <c r="G449" i="76"/>
  <c r="D449" i="76"/>
  <c r="D347" i="76"/>
  <c r="G347" i="76"/>
  <c r="C347" i="76"/>
  <c r="I347" i="76"/>
  <c r="H347" i="76"/>
  <c r="M347" i="76"/>
  <c r="H300" i="76"/>
  <c r="M300" i="76"/>
  <c r="G300" i="76"/>
  <c r="I300" i="76"/>
  <c r="D300" i="76"/>
  <c r="C300" i="76"/>
  <c r="I364" i="76"/>
  <c r="C364" i="76"/>
  <c r="D364" i="76"/>
  <c r="G364" i="76"/>
  <c r="H364" i="76"/>
  <c r="M364" i="76"/>
  <c r="G428" i="76"/>
  <c r="H428" i="76"/>
  <c r="I428" i="76"/>
  <c r="M428" i="76"/>
  <c r="C428" i="76"/>
  <c r="D428" i="76"/>
  <c r="H293" i="76"/>
  <c r="I293" i="76"/>
  <c r="M293" i="76"/>
  <c r="C293" i="76"/>
  <c r="G293" i="76"/>
  <c r="D293" i="76"/>
  <c r="D357" i="76"/>
  <c r="C357" i="76"/>
  <c r="M357" i="76"/>
  <c r="G357" i="76"/>
  <c r="H357" i="76"/>
  <c r="I357" i="76"/>
  <c r="H421" i="76"/>
  <c r="D421" i="76"/>
  <c r="G421" i="76"/>
  <c r="C421" i="76"/>
  <c r="I421" i="76"/>
  <c r="M421" i="76"/>
  <c r="C450" i="76"/>
  <c r="M450" i="76"/>
  <c r="D450" i="76"/>
  <c r="G450" i="76"/>
  <c r="H450" i="76"/>
  <c r="I450" i="76"/>
  <c r="D294" i="76"/>
  <c r="G294" i="76"/>
  <c r="H294" i="76"/>
  <c r="C294" i="76"/>
  <c r="M294" i="76"/>
  <c r="I294" i="76"/>
  <c r="C358" i="76"/>
  <c r="D358" i="76"/>
  <c r="M358" i="76"/>
  <c r="G358" i="76"/>
  <c r="H358" i="76"/>
  <c r="I358" i="76"/>
  <c r="H422" i="76"/>
  <c r="M422" i="76"/>
  <c r="C422" i="76"/>
  <c r="D422" i="76"/>
  <c r="G422" i="76"/>
  <c r="I422" i="76"/>
  <c r="D434" i="76"/>
  <c r="C434" i="76"/>
  <c r="H434" i="76"/>
  <c r="G434" i="76"/>
  <c r="I434" i="76"/>
  <c r="M434" i="76"/>
  <c r="M271" i="76"/>
  <c r="C335" i="76"/>
  <c r="D335" i="76"/>
  <c r="M335" i="76"/>
  <c r="G335" i="76"/>
  <c r="H335" i="76"/>
  <c r="I335" i="76"/>
  <c r="I399" i="76"/>
  <c r="C399" i="76"/>
  <c r="M399" i="76"/>
  <c r="H399" i="76"/>
  <c r="D399" i="76"/>
  <c r="G399" i="76"/>
  <c r="C463" i="76"/>
  <c r="G463" i="76"/>
  <c r="H463" i="76"/>
  <c r="I463" i="76"/>
  <c r="D463" i="76"/>
  <c r="M463" i="76"/>
  <c r="M314" i="76"/>
  <c r="D314" i="76"/>
  <c r="C314" i="76"/>
  <c r="H314" i="76"/>
  <c r="I314" i="76"/>
  <c r="G314" i="76"/>
  <c r="D403" i="76"/>
  <c r="H403" i="76"/>
  <c r="I403" i="76"/>
  <c r="M403" i="76"/>
  <c r="C403" i="76"/>
  <c r="G403" i="76"/>
  <c r="I312" i="76"/>
  <c r="D312" i="76"/>
  <c r="C312" i="76"/>
  <c r="G312" i="76"/>
  <c r="H312" i="76"/>
  <c r="M312" i="76"/>
  <c r="D376" i="76"/>
  <c r="M376" i="76"/>
  <c r="G376" i="76"/>
  <c r="H376" i="76"/>
  <c r="C376" i="76"/>
  <c r="I376" i="76"/>
  <c r="D440" i="76"/>
  <c r="I440" i="76"/>
  <c r="M440" i="76"/>
  <c r="G440" i="76"/>
  <c r="H440" i="76"/>
  <c r="C440" i="76"/>
  <c r="H409" i="76"/>
  <c r="D409" i="76"/>
  <c r="G409" i="76"/>
  <c r="I409" i="76"/>
  <c r="C409" i="76"/>
  <c r="M409" i="76"/>
  <c r="G382" i="76"/>
  <c r="M382" i="76"/>
  <c r="H382" i="76"/>
  <c r="C382" i="76"/>
  <c r="D382" i="76"/>
  <c r="I382" i="76"/>
  <c r="H329" i="76"/>
  <c r="D329" i="76"/>
  <c r="M329" i="76"/>
  <c r="I329" i="76"/>
  <c r="C329" i="76"/>
  <c r="G329" i="76"/>
  <c r="M393" i="76"/>
  <c r="C393" i="76"/>
  <c r="G393" i="76"/>
  <c r="D393" i="76"/>
  <c r="I393" i="76"/>
  <c r="H393" i="76"/>
  <c r="C457" i="76"/>
  <c r="D457" i="76"/>
  <c r="G457" i="76"/>
  <c r="H457" i="76"/>
  <c r="I457" i="76"/>
  <c r="M457" i="76"/>
  <c r="G274" i="76"/>
  <c r="H274" i="76"/>
  <c r="I274" i="76"/>
  <c r="C274" i="76"/>
  <c r="M274" i="76"/>
  <c r="D274" i="76"/>
  <c r="H387" i="76"/>
  <c r="I387" i="76"/>
  <c r="D387" i="76"/>
  <c r="G387" i="76"/>
  <c r="M387" i="76"/>
  <c r="C387" i="76"/>
  <c r="G308" i="76"/>
  <c r="H308" i="76"/>
  <c r="I308" i="76"/>
  <c r="M308" i="76"/>
  <c r="C308" i="76"/>
  <c r="D308" i="76"/>
  <c r="H372" i="76"/>
  <c r="M372" i="76"/>
  <c r="C372" i="76"/>
  <c r="I372" i="76"/>
  <c r="G372" i="76"/>
  <c r="D372" i="76"/>
  <c r="M436" i="76"/>
  <c r="D436" i="76"/>
  <c r="H436" i="76"/>
  <c r="I436" i="76"/>
  <c r="G436" i="76"/>
  <c r="C436" i="76"/>
  <c r="H275" i="76"/>
  <c r="I275" i="76"/>
  <c r="M275" i="76"/>
  <c r="C275" i="76"/>
  <c r="D275" i="76"/>
  <c r="G275" i="76"/>
  <c r="I301" i="76"/>
  <c r="C301" i="76"/>
  <c r="G301" i="76"/>
  <c r="M301" i="76"/>
  <c r="D301" i="76"/>
  <c r="H301" i="76"/>
  <c r="I365" i="76"/>
  <c r="G365" i="76"/>
  <c r="M365" i="76"/>
  <c r="H365" i="76"/>
  <c r="C365" i="76"/>
  <c r="D365" i="76"/>
  <c r="G429" i="76"/>
  <c r="H429" i="76"/>
  <c r="D429" i="76"/>
  <c r="I429" i="76"/>
  <c r="C429" i="76"/>
  <c r="M429" i="76"/>
  <c r="C302" i="76"/>
  <c r="D302" i="76"/>
  <c r="G302" i="76"/>
  <c r="H302" i="76"/>
  <c r="I302" i="76"/>
  <c r="M302" i="76"/>
  <c r="C366" i="76"/>
  <c r="H366" i="76"/>
  <c r="D366" i="76"/>
  <c r="G366" i="76"/>
  <c r="I366" i="76"/>
  <c r="M366" i="76"/>
  <c r="D430" i="76"/>
  <c r="G430" i="76"/>
  <c r="I430" i="76"/>
  <c r="H430" i="76"/>
  <c r="M430" i="76"/>
  <c r="C430" i="76"/>
  <c r="D279" i="76"/>
  <c r="G279" i="76"/>
  <c r="C279" i="76"/>
  <c r="I279" i="76"/>
  <c r="H279" i="76"/>
  <c r="M279" i="76"/>
  <c r="D343" i="76"/>
  <c r="H343" i="76"/>
  <c r="I343" i="76"/>
  <c r="M343" i="76"/>
  <c r="G343" i="76"/>
  <c r="C343" i="76"/>
  <c r="M407" i="76"/>
  <c r="I407" i="76"/>
  <c r="H407" i="76"/>
  <c r="D407" i="76"/>
  <c r="G407" i="76"/>
  <c r="C407" i="76"/>
  <c r="C471" i="76"/>
  <c r="M471" i="76"/>
  <c r="D471" i="76"/>
  <c r="G471" i="76"/>
  <c r="H471" i="76"/>
  <c r="I471" i="76"/>
  <c r="H354" i="76"/>
  <c r="D354" i="76"/>
  <c r="M354" i="76"/>
  <c r="C354" i="76"/>
  <c r="G354" i="76"/>
  <c r="I354" i="76"/>
  <c r="C451" i="76"/>
  <c r="M451" i="76"/>
  <c r="D451" i="76"/>
  <c r="G451" i="76"/>
  <c r="I451" i="76"/>
  <c r="H451" i="76"/>
  <c r="I320" i="76"/>
  <c r="G320" i="76"/>
  <c r="M320" i="76"/>
  <c r="C320" i="76"/>
  <c r="H320" i="76"/>
  <c r="D320" i="76"/>
  <c r="C384" i="76"/>
  <c r="G384" i="76"/>
  <c r="H384" i="76"/>
  <c r="I384" i="76"/>
  <c r="M384" i="76"/>
  <c r="D384" i="76"/>
  <c r="I448" i="76"/>
  <c r="G448" i="76"/>
  <c r="M448" i="76"/>
  <c r="C448" i="76"/>
  <c r="D448" i="76"/>
  <c r="H448" i="76"/>
  <c r="D345" i="76"/>
  <c r="H345" i="76"/>
  <c r="G345" i="76"/>
  <c r="I345" i="76"/>
  <c r="M345" i="76"/>
  <c r="C345" i="76"/>
  <c r="D452" i="76"/>
  <c r="G452" i="76"/>
  <c r="I452" i="76"/>
  <c r="C452" i="76"/>
  <c r="H452" i="76"/>
  <c r="K452" i="76" s="1"/>
  <c r="M452" i="76"/>
  <c r="I395" i="76"/>
  <c r="C395" i="76"/>
  <c r="G395" i="76"/>
  <c r="M395" i="76"/>
  <c r="H395" i="76"/>
  <c r="D395" i="76"/>
  <c r="D290" i="76"/>
  <c r="G290" i="76"/>
  <c r="H290" i="76"/>
  <c r="I290" i="76"/>
  <c r="M290" i="76"/>
  <c r="C290" i="76"/>
  <c r="C515" i="76"/>
  <c r="H338" i="76"/>
  <c r="M338" i="76"/>
  <c r="I338" i="76"/>
  <c r="D338" i="76"/>
  <c r="G338" i="76"/>
  <c r="C338" i="76"/>
  <c r="C273" i="76"/>
  <c r="D273" i="76"/>
  <c r="G273" i="76"/>
  <c r="H273" i="76"/>
  <c r="I273" i="76"/>
  <c r="M273" i="76"/>
  <c r="C337" i="76"/>
  <c r="D337" i="76"/>
  <c r="G337" i="76"/>
  <c r="M337" i="76"/>
  <c r="I337" i="76"/>
  <c r="H337" i="76"/>
  <c r="I401" i="76"/>
  <c r="M401" i="76"/>
  <c r="C401" i="76"/>
  <c r="D401" i="76"/>
  <c r="G401" i="76"/>
  <c r="H401" i="76"/>
  <c r="H465" i="76"/>
  <c r="I465" i="76"/>
  <c r="M465" i="76"/>
  <c r="C465" i="76"/>
  <c r="G465" i="76"/>
  <c r="D465" i="76"/>
  <c r="D322" i="76"/>
  <c r="G322" i="76"/>
  <c r="M322" i="76"/>
  <c r="H322" i="76"/>
  <c r="C322" i="76"/>
  <c r="I322" i="76"/>
  <c r="C427" i="76"/>
  <c r="M427" i="76"/>
  <c r="G427" i="76"/>
  <c r="H427" i="76"/>
  <c r="I427" i="76"/>
  <c r="D427" i="76"/>
  <c r="H316" i="76"/>
  <c r="I316" i="76"/>
  <c r="C316" i="76"/>
  <c r="D316" i="76"/>
  <c r="G316" i="76"/>
  <c r="M316" i="76"/>
  <c r="C380" i="76"/>
  <c r="G380" i="76"/>
  <c r="I380" i="76"/>
  <c r="D380" i="76"/>
  <c r="M380" i="76"/>
  <c r="H380" i="76"/>
  <c r="G444" i="76"/>
  <c r="I444" i="76"/>
  <c r="D444" i="76"/>
  <c r="C444" i="76"/>
  <c r="M444" i="76"/>
  <c r="H444" i="76"/>
  <c r="I331" i="76"/>
  <c r="C331" i="76"/>
  <c r="M331" i="76"/>
  <c r="G331" i="76"/>
  <c r="D331" i="76"/>
  <c r="H331" i="76"/>
  <c r="H309" i="76"/>
  <c r="M309" i="76"/>
  <c r="C309" i="76"/>
  <c r="D309" i="76"/>
  <c r="G309" i="76"/>
  <c r="I309" i="76"/>
  <c r="C373" i="76"/>
  <c r="H373" i="76"/>
  <c r="I373" i="76"/>
  <c r="M373" i="76"/>
  <c r="D373" i="76"/>
  <c r="G373" i="76"/>
  <c r="G437" i="76"/>
  <c r="D437" i="76"/>
  <c r="I437" i="76"/>
  <c r="M437" i="76"/>
  <c r="H437" i="76"/>
  <c r="C437" i="76"/>
  <c r="I315" i="76"/>
  <c r="C315" i="76"/>
  <c r="G315" i="76"/>
  <c r="H315" i="76"/>
  <c r="D315" i="76"/>
  <c r="M315" i="76"/>
  <c r="C310" i="76"/>
  <c r="D310" i="76"/>
  <c r="G310" i="76"/>
  <c r="H310" i="76"/>
  <c r="I310" i="76"/>
  <c r="M310" i="76"/>
  <c r="D374" i="76"/>
  <c r="C374" i="76"/>
  <c r="G374" i="76"/>
  <c r="H374" i="76"/>
  <c r="M374" i="76"/>
  <c r="I374" i="76"/>
  <c r="G438" i="76"/>
  <c r="D438" i="76"/>
  <c r="I438" i="76"/>
  <c r="H438" i="76"/>
  <c r="C438" i="76"/>
  <c r="M438" i="76"/>
  <c r="C291" i="76"/>
  <c r="D291" i="76"/>
  <c r="G291" i="76"/>
  <c r="H291" i="76"/>
  <c r="I291" i="76"/>
  <c r="M291" i="76"/>
  <c r="D287" i="76"/>
  <c r="C287" i="76"/>
  <c r="G287" i="76"/>
  <c r="H287" i="76"/>
  <c r="I287" i="76"/>
  <c r="M287" i="76"/>
  <c r="H351" i="76"/>
  <c r="M351" i="76"/>
  <c r="C351" i="76"/>
  <c r="I351" i="76"/>
  <c r="D351" i="76"/>
  <c r="G351" i="76"/>
  <c r="C415" i="76"/>
  <c r="D415" i="76"/>
  <c r="G415" i="76"/>
  <c r="M415" i="76"/>
  <c r="H415" i="76"/>
  <c r="I415" i="76"/>
  <c r="D394" i="76"/>
  <c r="G394" i="76"/>
  <c r="H394" i="76"/>
  <c r="I394" i="76"/>
  <c r="M394" i="76"/>
  <c r="C394" i="76"/>
  <c r="D328" i="76"/>
  <c r="M328" i="76"/>
  <c r="C328" i="76"/>
  <c r="I328" i="76"/>
  <c r="G328" i="76"/>
  <c r="H328" i="76"/>
  <c r="D392" i="76"/>
  <c r="I392" i="76"/>
  <c r="M392" i="76"/>
  <c r="C392" i="76"/>
  <c r="H392" i="76"/>
  <c r="G392" i="76"/>
  <c r="D456" i="76"/>
  <c r="I456" i="76"/>
  <c r="M456" i="76"/>
  <c r="C456" i="76"/>
  <c r="H456" i="76"/>
  <c r="G456" i="76"/>
  <c r="D271" i="76"/>
  <c r="C271" i="76"/>
  <c r="I271" i="76"/>
  <c r="H271" i="76"/>
  <c r="G271" i="76"/>
  <c r="H508" i="76"/>
  <c r="K513" i="76"/>
  <c r="G513" i="76"/>
  <c r="D513" i="76"/>
  <c r="M513" i="76"/>
  <c r="G508" i="76"/>
  <c r="I513" i="76"/>
  <c r="H513" i="76"/>
  <c r="H507" i="76"/>
  <c r="H485" i="76"/>
  <c r="M507" i="76"/>
  <c r="M493" i="76"/>
  <c r="G493" i="76"/>
  <c r="H239" i="64"/>
  <c r="H240" i="64" s="1"/>
  <c r="E164" i="53"/>
  <c r="I79" i="26"/>
  <c r="E44" i="39"/>
  <c r="D44" i="39"/>
  <c r="H43" i="39"/>
  <c r="H42" i="39"/>
  <c r="H41" i="39"/>
  <c r="C44" i="39"/>
  <c r="H520" i="76"/>
  <c r="J44" i="39"/>
  <c r="E163" i="53"/>
  <c r="G44" i="39"/>
  <c r="I33" i="39"/>
  <c r="G495" i="76"/>
  <c r="I508" i="76"/>
  <c r="K508" i="76" s="1"/>
  <c r="M508" i="76"/>
  <c r="D508" i="76"/>
  <c r="H506" i="76"/>
  <c r="D495" i="76"/>
  <c r="M512" i="76"/>
  <c r="I496" i="76"/>
  <c r="G511" i="76"/>
  <c r="D493" i="76"/>
  <c r="I488" i="76"/>
  <c r="M485" i="76"/>
  <c r="D472" i="76"/>
  <c r="H497" i="76"/>
  <c r="D511" i="76"/>
  <c r="I486" i="76"/>
  <c r="I500" i="76"/>
  <c r="H486" i="76"/>
  <c r="K486" i="76" s="1"/>
  <c r="I519" i="76"/>
  <c r="D486" i="76"/>
  <c r="M511" i="76"/>
  <c r="D519" i="76"/>
  <c r="G486" i="76"/>
  <c r="I511" i="76"/>
  <c r="M509" i="76"/>
  <c r="G519" i="76"/>
  <c r="M486" i="76"/>
  <c r="G514" i="76"/>
  <c r="H511" i="76"/>
  <c r="K511" i="76" s="1"/>
  <c r="H519" i="76"/>
  <c r="D497" i="76"/>
  <c r="D494" i="76"/>
  <c r="M494" i="76"/>
  <c r="G520" i="76"/>
  <c r="M500" i="76"/>
  <c r="H514" i="76"/>
  <c r="I492" i="76"/>
  <c r="D492" i="76"/>
  <c r="M504" i="76"/>
  <c r="I477" i="76"/>
  <c r="H477" i="76"/>
  <c r="H495" i="76"/>
  <c r="I512" i="76"/>
  <c r="G506" i="76"/>
  <c r="M506" i="76"/>
  <c r="I506" i="76"/>
  <c r="K506" i="76" s="1"/>
  <c r="I495" i="76"/>
  <c r="G512" i="76"/>
  <c r="D512" i="76"/>
  <c r="D506" i="76"/>
  <c r="M495" i="76"/>
  <c r="H512" i="76"/>
  <c r="M514" i="76"/>
  <c r="H500" i="76"/>
  <c r="D475" i="76"/>
  <c r="D500" i="76"/>
  <c r="D484" i="76"/>
  <c r="G475" i="76"/>
  <c r="I482" i="76"/>
  <c r="H490" i="76"/>
  <c r="I514" i="76"/>
  <c r="D514" i="76"/>
  <c r="G500" i="76"/>
  <c r="H502" i="76"/>
  <c r="M502" i="76"/>
  <c r="D498" i="76"/>
  <c r="D480" i="76"/>
  <c r="H491" i="76"/>
  <c r="I480" i="76"/>
  <c r="M480" i="76"/>
  <c r="H479" i="76"/>
  <c r="M490" i="76"/>
  <c r="D482" i="76"/>
  <c r="G492" i="76"/>
  <c r="D476" i="76"/>
  <c r="G488" i="76"/>
  <c r="G480" i="76"/>
  <c r="G502" i="76"/>
  <c r="G490" i="76"/>
  <c r="M484" i="76"/>
  <c r="M488" i="76"/>
  <c r="M491" i="76"/>
  <c r="D491" i="76"/>
  <c r="H496" i="76"/>
  <c r="K496" i="76" s="1"/>
  <c r="H509" i="76"/>
  <c r="H498" i="76"/>
  <c r="H488" i="76"/>
  <c r="G485" i="76"/>
  <c r="G509" i="76"/>
  <c r="H493" i="76"/>
  <c r="H492" i="76"/>
  <c r="H480" i="76"/>
  <c r="G476" i="76"/>
  <c r="I498" i="76"/>
  <c r="I484" i="76"/>
  <c r="H503" i="76"/>
  <c r="I485" i="76"/>
  <c r="D496" i="76"/>
  <c r="I502" i="76"/>
  <c r="K502" i="76" s="1"/>
  <c r="I490" i="76"/>
  <c r="M498" i="76"/>
  <c r="H510" i="76"/>
  <c r="G484" i="76"/>
  <c r="G491" i="76"/>
  <c r="M482" i="76"/>
  <c r="D485" i="76"/>
  <c r="M496" i="76"/>
  <c r="I493" i="76"/>
  <c r="D490" i="76"/>
  <c r="G498" i="76"/>
  <c r="G482" i="76"/>
  <c r="G496" i="76"/>
  <c r="D502" i="76"/>
  <c r="M492" i="76"/>
  <c r="H476" i="76"/>
  <c r="H484" i="76"/>
  <c r="D488" i="76"/>
  <c r="I491" i="76"/>
  <c r="M475" i="76"/>
  <c r="H482" i="76"/>
  <c r="D509" i="76"/>
  <c r="G474" i="76"/>
  <c r="H474" i="76"/>
  <c r="I509" i="76"/>
  <c r="M474" i="76"/>
  <c r="I474" i="76"/>
  <c r="D474" i="76"/>
  <c r="I476" i="76"/>
  <c r="I475" i="76"/>
  <c r="M472" i="76"/>
  <c r="H499" i="76"/>
  <c r="D473" i="76"/>
  <c r="M476" i="76"/>
  <c r="G505" i="76"/>
  <c r="I473" i="76"/>
  <c r="D505" i="76"/>
  <c r="M487" i="76"/>
  <c r="G499" i="76"/>
  <c r="M473" i="76"/>
  <c r="M518" i="76"/>
  <c r="I516" i="76"/>
  <c r="I505" i="76"/>
  <c r="H475" i="76"/>
  <c r="D483" i="76"/>
  <c r="H518" i="76"/>
  <c r="H516" i="76"/>
  <c r="M505" i="76"/>
  <c r="G483" i="76"/>
  <c r="H472" i="76"/>
  <c r="D479" i="76"/>
  <c r="G497" i="76"/>
  <c r="I518" i="76"/>
  <c r="D504" i="76"/>
  <c r="I507" i="76"/>
  <c r="I499" i="76"/>
  <c r="D499" i="76"/>
  <c r="M517" i="76"/>
  <c r="I501" i="76"/>
  <c r="I489" i="76"/>
  <c r="K489" i="76" s="1"/>
  <c r="M483" i="76"/>
  <c r="M503" i="76"/>
  <c r="I472" i="76"/>
  <c r="H501" i="76"/>
  <c r="M489" i="76"/>
  <c r="I478" i="76"/>
  <c r="D518" i="76"/>
  <c r="G504" i="76"/>
  <c r="D507" i="76"/>
  <c r="D516" i="76"/>
  <c r="D487" i="76"/>
  <c r="D478" i="76"/>
  <c r="H517" i="76"/>
  <c r="G510" i="76"/>
  <c r="I520" i="76"/>
  <c r="G478" i="76"/>
  <c r="I479" i="76"/>
  <c r="D510" i="76"/>
  <c r="I517" i="76"/>
  <c r="D501" i="76"/>
  <c r="G507" i="76"/>
  <c r="M477" i="76"/>
  <c r="D517" i="76"/>
  <c r="G516" i="76"/>
  <c r="G473" i="76"/>
  <c r="G501" i="76"/>
  <c r="G489" i="76"/>
  <c r="D515" i="76"/>
  <c r="M520" i="76"/>
  <c r="H478" i="76"/>
  <c r="M479" i="76"/>
  <c r="M501" i="76"/>
  <c r="M497" i="76"/>
  <c r="H504" i="76"/>
  <c r="D477" i="76"/>
  <c r="H487" i="76"/>
  <c r="I497" i="76"/>
  <c r="G518" i="76"/>
  <c r="I504" i="76"/>
  <c r="M499" i="76"/>
  <c r="G477" i="76"/>
  <c r="G517" i="76"/>
  <c r="M516" i="76"/>
  <c r="H473" i="76"/>
  <c r="K501" i="76"/>
  <c r="D489" i="76"/>
  <c r="H505" i="76"/>
  <c r="K505" i="76" s="1"/>
  <c r="D520" i="76"/>
  <c r="K520" i="76"/>
  <c r="I483" i="76"/>
  <c r="M478" i="76"/>
  <c r="G479" i="76"/>
  <c r="G472" i="76"/>
  <c r="M510" i="76"/>
  <c r="H515" i="76"/>
  <c r="G487" i="76"/>
  <c r="G503" i="76"/>
  <c r="I510" i="76"/>
  <c r="K510" i="76" s="1"/>
  <c r="I515" i="76"/>
  <c r="I487" i="76"/>
  <c r="H483" i="76"/>
  <c r="M515" i="76"/>
  <c r="I503" i="76"/>
  <c r="K503" i="76" s="1"/>
  <c r="G515" i="76"/>
  <c r="D503" i="76"/>
  <c r="J157" i="53"/>
  <c r="J158" i="53" s="1"/>
  <c r="B194" i="53"/>
  <c r="E137" i="26"/>
  <c r="B167" i="26"/>
  <c r="E138" i="26"/>
  <c r="J226" i="25"/>
  <c r="K222" i="25"/>
  <c r="D193" i="53"/>
  <c r="E63" i="23"/>
  <c r="E65" i="23" s="1"/>
  <c r="N156" i="53"/>
  <c r="C193" i="53"/>
  <c r="I61" i="53"/>
  <c r="G41" i="74"/>
  <c r="H37" i="74"/>
  <c r="I52" i="26"/>
  <c r="N155" i="53"/>
  <c r="I99" i="53"/>
  <c r="AA226" i="79" l="1"/>
  <c r="AB222" i="79"/>
  <c r="H44" i="39"/>
  <c r="K518" i="76"/>
  <c r="K469" i="76"/>
  <c r="K405" i="76"/>
  <c r="K515" i="76"/>
  <c r="K493" i="76"/>
  <c r="K516" i="76"/>
  <c r="K500" i="76"/>
  <c r="K519" i="76"/>
  <c r="K484" i="76"/>
  <c r="K512" i="76"/>
  <c r="K439" i="76"/>
  <c r="K475" i="76"/>
  <c r="K507" i="76"/>
  <c r="K483" i="76"/>
  <c r="K485" i="76"/>
  <c r="K427" i="76"/>
  <c r="K471" i="76"/>
  <c r="K517" i="76"/>
  <c r="K477" i="76"/>
  <c r="K498" i="76"/>
  <c r="K504" i="76"/>
  <c r="K509" i="76"/>
  <c r="K514" i="76"/>
  <c r="K492" i="76"/>
  <c r="K480" i="76"/>
  <c r="K428" i="76"/>
  <c r="K462" i="76"/>
  <c r="K466" i="76"/>
  <c r="K499" i="76"/>
  <c r="K495" i="76"/>
  <c r="K490" i="76"/>
  <c r="K421" i="76"/>
  <c r="K487" i="76"/>
  <c r="K497" i="76"/>
  <c r="K440" i="76"/>
  <c r="K463" i="76"/>
  <c r="K488" i="76"/>
  <c r="K407" i="76"/>
  <c r="K449" i="76"/>
  <c r="K479" i="76"/>
  <c r="K455" i="76"/>
  <c r="K342" i="76"/>
  <c r="K468" i="76"/>
  <c r="K476" i="76"/>
  <c r="K458" i="76"/>
  <c r="K461" i="76"/>
  <c r="K491" i="76"/>
  <c r="K482" i="76"/>
  <c r="K457" i="76"/>
  <c r="K465" i="76"/>
  <c r="K450" i="76"/>
  <c r="K432" i="76"/>
  <c r="K349" i="76"/>
  <c r="K446" i="76"/>
  <c r="K443" i="76"/>
  <c r="K481" i="76"/>
  <c r="K392" i="76"/>
  <c r="K399" i="76"/>
  <c r="K470" i="76"/>
  <c r="K467" i="76"/>
  <c r="K436" i="76"/>
  <c r="K442" i="76"/>
  <c r="K388" i="76"/>
  <c r="K447" i="76"/>
  <c r="K416" i="76"/>
  <c r="K419" i="76"/>
  <c r="K459" i="76"/>
  <c r="K411" i="76"/>
  <c r="K460" i="76"/>
  <c r="K474" i="76"/>
  <c r="K444" i="76"/>
  <c r="K451" i="76"/>
  <c r="K389" i="76"/>
  <c r="K456" i="76"/>
  <c r="K464" i="76"/>
  <c r="K431" i="76"/>
  <c r="K454" i="76"/>
  <c r="K390" i="76"/>
  <c r="K453" i="76"/>
  <c r="K345" i="76"/>
  <c r="K478" i="76"/>
  <c r="K438" i="76"/>
  <c r="K420" i="76"/>
  <c r="K370" i="76"/>
  <c r="K437" i="76"/>
  <c r="K433" i="76"/>
  <c r="K423" i="76"/>
  <c r="K448" i="76"/>
  <c r="K441" i="76"/>
  <c r="K424" i="76"/>
  <c r="K410" i="76"/>
  <c r="K445" i="76"/>
  <c r="K387" i="76"/>
  <c r="K414" i="76"/>
  <c r="K435" i="76"/>
  <c r="K430" i="76"/>
  <c r="K393" i="76"/>
  <c r="K413" i="76"/>
  <c r="K397" i="76"/>
  <c r="K415" i="76"/>
  <c r="K429" i="76"/>
  <c r="K378" i="76"/>
  <c r="K434" i="76"/>
  <c r="K369" i="76"/>
  <c r="K379" i="76"/>
  <c r="K403" i="76"/>
  <c r="K406" i="76"/>
  <c r="K404" i="76"/>
  <c r="K400" i="76"/>
  <c r="K364" i="76"/>
  <c r="K402" i="76"/>
  <c r="K356" i="76"/>
  <c r="K375" i="76"/>
  <c r="K418" i="76"/>
  <c r="K425" i="76"/>
  <c r="K417" i="76"/>
  <c r="K409" i="76"/>
  <c r="K426" i="76"/>
  <c r="K301" i="76"/>
  <c r="K422" i="76"/>
  <c r="K285" i="76"/>
  <c r="K401" i="76"/>
  <c r="K372" i="76"/>
  <c r="K380" i="76"/>
  <c r="K376" i="76"/>
  <c r="K398" i="76"/>
  <c r="K412" i="76"/>
  <c r="K394" i="76"/>
  <c r="K391" i="76"/>
  <c r="K351" i="76"/>
  <c r="K371" i="76"/>
  <c r="K395" i="76"/>
  <c r="K382" i="76"/>
  <c r="K396" i="76"/>
  <c r="K366" i="76"/>
  <c r="K377" i="76"/>
  <c r="K383" i="76"/>
  <c r="K323" i="76"/>
  <c r="K374" i="76"/>
  <c r="K365" i="76"/>
  <c r="K385" i="76"/>
  <c r="K386" i="76"/>
  <c r="K367" i="76"/>
  <c r="K381" i="76"/>
  <c r="K326" i="76"/>
  <c r="K384" i="76"/>
  <c r="K368" i="76"/>
  <c r="K373" i="76"/>
  <c r="K321" i="76"/>
  <c r="K304" i="76"/>
  <c r="K336" i="76"/>
  <c r="K353" i="76"/>
  <c r="K358" i="76"/>
  <c r="K357" i="76"/>
  <c r="K324" i="76"/>
  <c r="K350" i="76"/>
  <c r="K344" i="76"/>
  <c r="K363" i="76"/>
  <c r="K362" i="76"/>
  <c r="K352" i="76"/>
  <c r="K289" i="76"/>
  <c r="K310" i="76"/>
  <c r="K322" i="76"/>
  <c r="K347" i="76"/>
  <c r="K296" i="76"/>
  <c r="K361" i="76"/>
  <c r="K338" i="76"/>
  <c r="K359" i="76"/>
  <c r="K319" i="76"/>
  <c r="K316" i="76"/>
  <c r="K302" i="76"/>
  <c r="K355" i="76"/>
  <c r="K360" i="76"/>
  <c r="K354" i="76"/>
  <c r="K328" i="76"/>
  <c r="K332" i="76"/>
  <c r="K308" i="76"/>
  <c r="K329" i="76"/>
  <c r="K348" i="76"/>
  <c r="K334" i="76"/>
  <c r="K346" i="76"/>
  <c r="K341" i="76"/>
  <c r="K306" i="76"/>
  <c r="K340" i="76"/>
  <c r="K325" i="76"/>
  <c r="K339" i="76"/>
  <c r="K333" i="76"/>
  <c r="K337" i="76"/>
  <c r="K343" i="76"/>
  <c r="K314" i="76"/>
  <c r="K335" i="76"/>
  <c r="K294" i="76"/>
  <c r="K327" i="76"/>
  <c r="K330" i="76"/>
  <c r="K282" i="76"/>
  <c r="K300" i="76"/>
  <c r="K317" i="76"/>
  <c r="K331" i="76"/>
  <c r="K295" i="76"/>
  <c r="K311" i="76"/>
  <c r="K315" i="76"/>
  <c r="K299" i="76"/>
  <c r="K297" i="76"/>
  <c r="K305" i="76"/>
  <c r="K320" i="76"/>
  <c r="K312" i="76"/>
  <c r="K307" i="76"/>
  <c r="K286" i="76"/>
  <c r="K284" i="76"/>
  <c r="K313" i="76"/>
  <c r="K309" i="76"/>
  <c r="K288" i="76"/>
  <c r="K318" i="76"/>
  <c r="K303" i="76"/>
  <c r="K272" i="76"/>
  <c r="K271" i="76"/>
  <c r="K292" i="76"/>
  <c r="K290" i="76"/>
  <c r="K275" i="76"/>
  <c r="K298" i="76"/>
  <c r="K287" i="76"/>
  <c r="K276" i="76"/>
  <c r="K280" i="76"/>
  <c r="K281" i="76"/>
  <c r="K278" i="76"/>
  <c r="K293" i="76"/>
  <c r="K291" i="76"/>
  <c r="K273" i="76"/>
  <c r="K279" i="76"/>
  <c r="K277" i="76"/>
  <c r="K274" i="76"/>
  <c r="K283" i="76"/>
  <c r="N271" i="76"/>
  <c r="O271" i="76" s="1"/>
  <c r="L271" i="76" s="1"/>
  <c r="J159" i="53"/>
  <c r="F181" i="53"/>
  <c r="F180" i="53"/>
  <c r="F176" i="53"/>
  <c r="F177" i="53"/>
  <c r="F185" i="53"/>
  <c r="F179" i="53"/>
  <c r="F178" i="53"/>
  <c r="F184" i="53"/>
  <c r="F182" i="53"/>
  <c r="F183" i="53"/>
  <c r="F186" i="53"/>
  <c r="L160" i="53"/>
  <c r="C194" i="53"/>
  <c r="H131" i="26"/>
  <c r="H132" i="26" s="1"/>
  <c r="H133" i="26" s="1"/>
  <c r="G158" i="26" s="1"/>
  <c r="I41" i="39"/>
  <c r="I43" i="39"/>
  <c r="I42" i="39"/>
  <c r="F245" i="64"/>
  <c r="F242" i="64"/>
  <c r="F188" i="53"/>
  <c r="F190" i="53"/>
  <c r="F191" i="53"/>
  <c r="F187" i="53"/>
  <c r="F189" i="53"/>
  <c r="F192" i="53"/>
  <c r="F175" i="53"/>
  <c r="F174" i="53"/>
  <c r="F173" i="53"/>
  <c r="K473" i="76"/>
  <c r="K472" i="76"/>
  <c r="D194" i="53"/>
  <c r="I80" i="26"/>
  <c r="E142" i="26"/>
  <c r="K226" i="25"/>
  <c r="L222" i="25"/>
  <c r="D64" i="23"/>
  <c r="E64" i="23" s="1"/>
  <c r="E66" i="23" s="1"/>
  <c r="I100" i="53"/>
  <c r="I37" i="74"/>
  <c r="H41" i="74"/>
  <c r="E166" i="53"/>
  <c r="AB226" i="79" l="1"/>
  <c r="AC222" i="79"/>
  <c r="N272" i="76"/>
  <c r="O272" i="76" s="1"/>
  <c r="L272" i="76" s="1"/>
  <c r="D165" i="53"/>
  <c r="F165" i="53" s="1"/>
  <c r="N157" i="53"/>
  <c r="O159" i="53"/>
  <c r="J160" i="53"/>
  <c r="F193" i="53"/>
  <c r="N158" i="53"/>
  <c r="F163" i="53"/>
  <c r="F164" i="53"/>
  <c r="G152" i="26"/>
  <c r="G156" i="26"/>
  <c r="G157" i="26"/>
  <c r="G153" i="26"/>
  <c r="G159" i="26"/>
  <c r="G155" i="26"/>
  <c r="G150" i="26"/>
  <c r="G154" i="26"/>
  <c r="G151" i="26"/>
  <c r="G161" i="26"/>
  <c r="D167" i="26"/>
  <c r="D141" i="26"/>
  <c r="I44" i="39"/>
  <c r="C167" i="26"/>
  <c r="D140" i="26"/>
  <c r="M222" i="25"/>
  <c r="L226" i="25"/>
  <c r="E67" i="23"/>
  <c r="E69" i="23"/>
  <c r="F69" i="23" s="1"/>
  <c r="J37" i="74"/>
  <c r="I41" i="74"/>
  <c r="AC226" i="79" l="1"/>
  <c r="AD222" i="79"/>
  <c r="AD226" i="79" s="1"/>
  <c r="N273" i="76"/>
  <c r="O273" i="76" s="1"/>
  <c r="L273" i="76" s="1"/>
  <c r="F166" i="53"/>
  <c r="F141" i="26"/>
  <c r="G148" i="26"/>
  <c r="G160" i="26"/>
  <c r="F137" i="26"/>
  <c r="F139" i="26"/>
  <c r="G149" i="26"/>
  <c r="G165" i="26"/>
  <c r="G147" i="26"/>
  <c r="G163" i="26"/>
  <c r="G146" i="26"/>
  <c r="F138" i="26"/>
  <c r="F140" i="26"/>
  <c r="G164" i="26"/>
  <c r="E167" i="26"/>
  <c r="G162" i="26"/>
  <c r="M226" i="25"/>
  <c r="N222" i="25"/>
  <c r="J41" i="74"/>
  <c r="K37" i="74"/>
  <c r="N274" i="76" l="1"/>
  <c r="N275" i="76" s="1"/>
  <c r="F142" i="26"/>
  <c r="G166" i="26"/>
  <c r="N226" i="25"/>
  <c r="O222" i="25"/>
  <c r="K41" i="74"/>
  <c r="L37" i="74"/>
  <c r="O274" i="76" l="1"/>
  <c r="L274" i="76" s="1"/>
  <c r="O275" i="76"/>
  <c r="L275" i="76" s="1"/>
  <c r="N276" i="76"/>
  <c r="P222" i="25"/>
  <c r="O226" i="25"/>
  <c r="L41" i="74"/>
  <c r="M37" i="74"/>
  <c r="O276" i="76" l="1"/>
  <c r="L276" i="76" s="1"/>
  <c r="N277" i="76"/>
  <c r="Q222" i="25"/>
  <c r="R222" i="25" s="1"/>
  <c r="P226" i="25"/>
  <c r="N37" i="74"/>
  <c r="M41" i="74"/>
  <c r="R226" i="25" l="1"/>
  <c r="S222" i="25"/>
  <c r="N278" i="76"/>
  <c r="O277" i="76"/>
  <c r="L277" i="76" s="1"/>
  <c r="Q226" i="25"/>
  <c r="O37" i="74"/>
  <c r="N41" i="74"/>
  <c r="S226" i="25" l="1"/>
  <c r="T222" i="25"/>
  <c r="N279" i="76"/>
  <c r="O278" i="76"/>
  <c r="L278" i="76" s="1"/>
  <c r="O41" i="74"/>
  <c r="P37" i="74"/>
  <c r="T226" i="25" l="1"/>
  <c r="U222" i="25"/>
  <c r="O279" i="76"/>
  <c r="L279" i="76" s="1"/>
  <c r="N280" i="76"/>
  <c r="P41" i="74"/>
  <c r="Q37" i="74"/>
  <c r="Q41" i="74" s="1"/>
  <c r="V222" i="25" l="1"/>
  <c r="U226" i="25"/>
  <c r="O280" i="76"/>
  <c r="L280" i="76" s="1"/>
  <c r="N281" i="76"/>
  <c r="V226" i="25" l="1"/>
  <c r="W222" i="25"/>
  <c r="O281" i="76"/>
  <c r="L281" i="76" s="1"/>
  <c r="N282" i="76"/>
  <c r="W226" i="25" l="1"/>
  <c r="X222" i="25"/>
  <c r="O282" i="76"/>
  <c r="L282" i="76" s="1"/>
  <c r="N283" i="76"/>
  <c r="Y222" i="25" l="1"/>
  <c r="X226" i="25"/>
  <c r="O283" i="76"/>
  <c r="L283" i="76" s="1"/>
  <c r="N284" i="76"/>
  <c r="Y226" i="25" l="1"/>
  <c r="Z222" i="25"/>
  <c r="N285" i="76"/>
  <c r="O284" i="76"/>
  <c r="L284" i="76" s="1"/>
  <c r="Z226" i="25" l="1"/>
  <c r="AA222" i="25"/>
  <c r="N286" i="76"/>
  <c r="O285" i="76"/>
  <c r="L285" i="76" s="1"/>
  <c r="AA226" i="25" l="1"/>
  <c r="AB222" i="25"/>
  <c r="O286" i="76"/>
  <c r="L286" i="76" s="1"/>
  <c r="N287" i="76"/>
  <c r="AB226" i="25" l="1"/>
  <c r="AC222" i="25"/>
  <c r="N288" i="76"/>
  <c r="O287" i="76"/>
  <c r="L287" i="76" s="1"/>
  <c r="AD222" i="25" l="1"/>
  <c r="AD226" i="25" s="1"/>
  <c r="AC226" i="25"/>
  <c r="O288" i="76"/>
  <c r="L288" i="76" s="1"/>
  <c r="N289" i="76"/>
  <c r="O289" i="76" l="1"/>
  <c r="L289" i="76" s="1"/>
  <c r="N290" i="76"/>
  <c r="O290" i="76" l="1"/>
  <c r="L290" i="76" s="1"/>
  <c r="N291" i="76"/>
  <c r="N292" i="76" l="1"/>
  <c r="O291" i="76"/>
  <c r="L291" i="76" s="1"/>
  <c r="O292" i="76" l="1"/>
  <c r="L292" i="76" s="1"/>
  <c r="N293" i="76"/>
  <c r="O293" i="76" l="1"/>
  <c r="L293" i="76" s="1"/>
  <c r="N294" i="76"/>
  <c r="N295" i="76" l="1"/>
  <c r="O294" i="76"/>
  <c r="L294" i="76" s="1"/>
  <c r="O295" i="76" l="1"/>
  <c r="L295" i="76" s="1"/>
  <c r="N296" i="76"/>
  <c r="O296" i="76" l="1"/>
  <c r="L296" i="76" s="1"/>
  <c r="N297" i="76"/>
  <c r="O297" i="76" l="1"/>
  <c r="L297" i="76" s="1"/>
  <c r="N298" i="76"/>
  <c r="O298" i="76" l="1"/>
  <c r="L298" i="76" s="1"/>
  <c r="N299" i="76"/>
  <c r="O299" i="76" l="1"/>
  <c r="L299" i="76" s="1"/>
  <c r="N300" i="76"/>
  <c r="N301" i="76" l="1"/>
  <c r="O300" i="76"/>
  <c r="L300" i="76" s="1"/>
  <c r="O301" i="76" l="1"/>
  <c r="L301" i="76" s="1"/>
  <c r="N302" i="76"/>
  <c r="O302" i="76" l="1"/>
  <c r="L302" i="76" s="1"/>
  <c r="N303" i="76"/>
  <c r="O303" i="76" l="1"/>
  <c r="L303" i="76" s="1"/>
  <c r="N304" i="76"/>
  <c r="O304" i="76" l="1"/>
  <c r="L304" i="76" s="1"/>
  <c r="N305" i="76"/>
  <c r="O305" i="76" l="1"/>
  <c r="L305" i="76" s="1"/>
  <c r="N306" i="76"/>
  <c r="O306" i="76" l="1"/>
  <c r="L306" i="76" s="1"/>
  <c r="N307" i="76"/>
  <c r="O307" i="76" l="1"/>
  <c r="L307" i="76" s="1"/>
  <c r="N308" i="76"/>
  <c r="O308" i="76" l="1"/>
  <c r="L308" i="76" s="1"/>
  <c r="N309" i="76"/>
  <c r="O309" i="76" l="1"/>
  <c r="L309" i="76" s="1"/>
  <c r="N310" i="76"/>
  <c r="O310" i="76" l="1"/>
  <c r="L310" i="76" s="1"/>
  <c r="N311" i="76"/>
  <c r="O311" i="76" l="1"/>
  <c r="L311" i="76" s="1"/>
  <c r="N312" i="76"/>
  <c r="O312" i="76" l="1"/>
  <c r="L312" i="76" s="1"/>
  <c r="N313" i="76"/>
  <c r="O313" i="76" l="1"/>
  <c r="L313" i="76" s="1"/>
  <c r="N314" i="76"/>
  <c r="O314" i="76" l="1"/>
  <c r="L314" i="76" s="1"/>
  <c r="N315" i="76"/>
  <c r="O315" i="76" l="1"/>
  <c r="L315" i="76" s="1"/>
  <c r="N316" i="76"/>
  <c r="O316" i="76" l="1"/>
  <c r="L316" i="76" s="1"/>
  <c r="N317" i="76"/>
  <c r="O317" i="76" l="1"/>
  <c r="L317" i="76" s="1"/>
  <c r="N318" i="76"/>
  <c r="O318" i="76" l="1"/>
  <c r="L318" i="76" s="1"/>
  <c r="N319" i="76"/>
  <c r="O319" i="76" l="1"/>
  <c r="L319" i="76" s="1"/>
  <c r="N320" i="76"/>
  <c r="N321" i="76" l="1"/>
  <c r="O320" i="76"/>
  <c r="L320" i="76" s="1"/>
  <c r="O321" i="76" l="1"/>
  <c r="L321" i="76" s="1"/>
  <c r="N322" i="76"/>
  <c r="O322" i="76" l="1"/>
  <c r="L322" i="76" s="1"/>
  <c r="N323" i="76"/>
  <c r="O323" i="76" l="1"/>
  <c r="L323" i="76" s="1"/>
  <c r="N324" i="76"/>
  <c r="N325" i="76" l="1"/>
  <c r="O324" i="76"/>
  <c r="L324" i="76" s="1"/>
  <c r="O325" i="76" l="1"/>
  <c r="L325" i="76" s="1"/>
  <c r="N326" i="76"/>
  <c r="O326" i="76" l="1"/>
  <c r="L326" i="76" s="1"/>
  <c r="N327" i="76"/>
  <c r="O327" i="76" l="1"/>
  <c r="L327" i="76" s="1"/>
  <c r="N328" i="76"/>
  <c r="O328" i="76" l="1"/>
  <c r="L328" i="76" s="1"/>
  <c r="N329" i="76"/>
  <c r="O329" i="76" l="1"/>
  <c r="L329" i="76" s="1"/>
  <c r="N330" i="76"/>
  <c r="N331" i="76" l="1"/>
  <c r="O330" i="76"/>
  <c r="L330" i="76" s="1"/>
  <c r="O331" i="76" l="1"/>
  <c r="L331" i="76" s="1"/>
  <c r="N332" i="76"/>
  <c r="O332" i="76" l="1"/>
  <c r="L332" i="76" s="1"/>
  <c r="N333" i="76"/>
  <c r="O333" i="76" l="1"/>
  <c r="L333" i="76" s="1"/>
  <c r="N334" i="76"/>
  <c r="O334" i="76" l="1"/>
  <c r="L334" i="76" s="1"/>
  <c r="N335" i="76"/>
  <c r="O335" i="76" l="1"/>
  <c r="L335" i="76" s="1"/>
  <c r="N336" i="76"/>
  <c r="O336" i="76" l="1"/>
  <c r="L336" i="76" s="1"/>
  <c r="N337" i="76"/>
  <c r="O337" i="76" l="1"/>
  <c r="L337" i="76" s="1"/>
  <c r="N338" i="76"/>
  <c r="O338" i="76" l="1"/>
  <c r="L338" i="76" s="1"/>
  <c r="N339" i="76"/>
  <c r="O339" i="76" l="1"/>
  <c r="L339" i="76" s="1"/>
  <c r="N340" i="76"/>
  <c r="O340" i="76" l="1"/>
  <c r="L340" i="76" s="1"/>
  <c r="N341" i="76"/>
  <c r="O341" i="76" l="1"/>
  <c r="L341" i="76" s="1"/>
  <c r="N342" i="76"/>
  <c r="O342" i="76" l="1"/>
  <c r="L342" i="76" s="1"/>
  <c r="N343" i="76"/>
  <c r="N344" i="76" l="1"/>
  <c r="O343" i="76"/>
  <c r="L343" i="76" s="1"/>
  <c r="O344" i="76" l="1"/>
  <c r="L344" i="76" s="1"/>
  <c r="N345" i="76"/>
  <c r="O345" i="76" l="1"/>
  <c r="L345" i="76" s="1"/>
  <c r="N346" i="76"/>
  <c r="O346" i="76" l="1"/>
  <c r="L346" i="76" s="1"/>
  <c r="N347" i="76"/>
  <c r="N348" i="76" l="1"/>
  <c r="O347" i="76"/>
  <c r="L347" i="76" s="1"/>
  <c r="O348" i="76" l="1"/>
  <c r="L348" i="76" s="1"/>
  <c r="N349" i="76"/>
  <c r="O349" i="76" l="1"/>
  <c r="L349" i="76" s="1"/>
  <c r="N350" i="76"/>
  <c r="O350" i="76" l="1"/>
  <c r="L350" i="76" s="1"/>
  <c r="N351" i="76"/>
  <c r="O351" i="76" l="1"/>
  <c r="L351" i="76" s="1"/>
  <c r="N352" i="76"/>
  <c r="O352" i="76" l="1"/>
  <c r="L352" i="76" s="1"/>
  <c r="N353" i="76"/>
  <c r="N354" i="76" l="1"/>
  <c r="O353" i="76"/>
  <c r="L353" i="76" s="1"/>
  <c r="O354" i="76" l="1"/>
  <c r="L354" i="76" s="1"/>
  <c r="N355" i="76"/>
  <c r="O355" i="76" l="1"/>
  <c r="L355" i="76" s="1"/>
  <c r="N356" i="76"/>
  <c r="O356" i="76" l="1"/>
  <c r="L356" i="76" s="1"/>
  <c r="N357" i="76"/>
  <c r="O357" i="76" l="1"/>
  <c r="L357" i="76" s="1"/>
  <c r="N358" i="76"/>
  <c r="O358" i="76" l="1"/>
  <c r="L358" i="76" s="1"/>
  <c r="N359" i="76"/>
  <c r="O359" i="76" l="1"/>
  <c r="L359" i="76" s="1"/>
  <c r="N360" i="76"/>
  <c r="O360" i="76" l="1"/>
  <c r="L360" i="76" s="1"/>
  <c r="N361" i="76"/>
  <c r="O361" i="76" l="1"/>
  <c r="L361" i="76" s="1"/>
  <c r="N362" i="76"/>
  <c r="O362" i="76" l="1"/>
  <c r="L362" i="76" s="1"/>
  <c r="N363" i="76"/>
  <c r="O363" i="76" l="1"/>
  <c r="L363" i="76" s="1"/>
  <c r="N364" i="76"/>
  <c r="O364" i="76" l="1"/>
  <c r="L364" i="76" s="1"/>
  <c r="N365" i="76"/>
  <c r="O365" i="76" l="1"/>
  <c r="L365" i="76" s="1"/>
  <c r="N366" i="76"/>
  <c r="O366" i="76" l="1"/>
  <c r="L366" i="76" s="1"/>
  <c r="N367" i="76"/>
  <c r="O367" i="76" l="1"/>
  <c r="L367" i="76" s="1"/>
  <c r="N368" i="76"/>
  <c r="O368" i="76" l="1"/>
  <c r="L368" i="76" s="1"/>
  <c r="N369" i="76"/>
  <c r="O369" i="76" l="1"/>
  <c r="L369" i="76" s="1"/>
  <c r="N370" i="76"/>
  <c r="O370" i="76" l="1"/>
  <c r="L370" i="76" s="1"/>
  <c r="N371" i="76"/>
  <c r="O371" i="76" l="1"/>
  <c r="L371" i="76" s="1"/>
  <c r="N372" i="76"/>
  <c r="O372" i="76" l="1"/>
  <c r="L372" i="76" s="1"/>
  <c r="N373" i="76"/>
  <c r="O373" i="76" l="1"/>
  <c r="L373" i="76" s="1"/>
  <c r="N374" i="76"/>
  <c r="O374" i="76" l="1"/>
  <c r="L374" i="76" s="1"/>
  <c r="N375" i="76"/>
  <c r="O375" i="76" l="1"/>
  <c r="L375" i="76" s="1"/>
  <c r="N376" i="76"/>
  <c r="O376" i="76" l="1"/>
  <c r="L376" i="76" s="1"/>
  <c r="N377" i="76"/>
  <c r="O377" i="76" l="1"/>
  <c r="L377" i="76" s="1"/>
  <c r="N378" i="76"/>
  <c r="O378" i="76" l="1"/>
  <c r="L378" i="76" s="1"/>
  <c r="N379" i="76"/>
  <c r="O379" i="76" l="1"/>
  <c r="L379" i="76" s="1"/>
  <c r="N380" i="76"/>
  <c r="O380" i="76" l="1"/>
  <c r="L380" i="76" s="1"/>
  <c r="N381" i="76"/>
  <c r="O381" i="76" l="1"/>
  <c r="L381" i="76" s="1"/>
  <c r="N382" i="76"/>
  <c r="O382" i="76" l="1"/>
  <c r="L382" i="76" s="1"/>
  <c r="N383" i="76"/>
  <c r="O383" i="76" l="1"/>
  <c r="L383" i="76" s="1"/>
  <c r="N384" i="76"/>
  <c r="O384" i="76" l="1"/>
  <c r="L384" i="76" s="1"/>
  <c r="N385" i="76"/>
  <c r="O385" i="76" l="1"/>
  <c r="L385" i="76" s="1"/>
  <c r="N386" i="76"/>
  <c r="O386" i="76" l="1"/>
  <c r="L386" i="76" s="1"/>
  <c r="N387" i="76"/>
  <c r="O387" i="76" l="1"/>
  <c r="L387" i="76" s="1"/>
  <c r="N388" i="76"/>
  <c r="O388" i="76" l="1"/>
  <c r="L388" i="76" s="1"/>
  <c r="N389" i="76"/>
  <c r="O389" i="76" l="1"/>
  <c r="L389" i="76" s="1"/>
  <c r="N390" i="76"/>
  <c r="O390" i="76" l="1"/>
  <c r="L390" i="76" s="1"/>
  <c r="N391" i="76"/>
  <c r="O391" i="76" l="1"/>
  <c r="L391" i="76" s="1"/>
  <c r="N392" i="76"/>
  <c r="N393" i="76" l="1"/>
  <c r="O392" i="76"/>
  <c r="L392" i="76" s="1"/>
  <c r="O393" i="76" l="1"/>
  <c r="L393" i="76" s="1"/>
  <c r="N394" i="76"/>
  <c r="N395" i="76" l="1"/>
  <c r="O394" i="76"/>
  <c r="L394" i="76" s="1"/>
  <c r="O395" i="76" l="1"/>
  <c r="L395" i="76" s="1"/>
  <c r="N396" i="76"/>
  <c r="O396" i="76" l="1"/>
  <c r="L396" i="76" s="1"/>
  <c r="N397" i="76"/>
  <c r="O397" i="76" l="1"/>
  <c r="L397" i="76" s="1"/>
  <c r="N398" i="76"/>
  <c r="N399" i="76" l="1"/>
  <c r="O398" i="76"/>
  <c r="L398" i="76" s="1"/>
  <c r="N400" i="76" l="1"/>
  <c r="O399" i="76"/>
  <c r="L399" i="76" s="1"/>
  <c r="O400" i="76" l="1"/>
  <c r="L400" i="76" s="1"/>
  <c r="N401" i="76"/>
  <c r="O401" i="76" l="1"/>
  <c r="L401" i="76" s="1"/>
  <c r="N402" i="76"/>
  <c r="O402" i="76" l="1"/>
  <c r="L402" i="76" s="1"/>
  <c r="N403" i="76"/>
  <c r="O403" i="76" l="1"/>
  <c r="L403" i="76" s="1"/>
  <c r="N404" i="76"/>
  <c r="O404" i="76" l="1"/>
  <c r="L404" i="76" s="1"/>
  <c r="N405" i="76"/>
  <c r="O405" i="76" l="1"/>
  <c r="L405" i="76" s="1"/>
  <c r="N406" i="76"/>
  <c r="O406" i="76" l="1"/>
  <c r="L406" i="76" s="1"/>
  <c r="N407" i="76"/>
  <c r="O407" i="76" l="1"/>
  <c r="L407" i="76" s="1"/>
  <c r="N408" i="76"/>
  <c r="O408" i="76" l="1"/>
  <c r="L408" i="76" s="1"/>
  <c r="N409" i="76"/>
  <c r="O409" i="76" l="1"/>
  <c r="L409" i="76" s="1"/>
  <c r="N410" i="76"/>
  <c r="O410" i="76" l="1"/>
  <c r="L410" i="76" s="1"/>
  <c r="N411" i="76"/>
  <c r="O411" i="76" l="1"/>
  <c r="L411" i="76" s="1"/>
  <c r="N412" i="76"/>
  <c r="O412" i="76" l="1"/>
  <c r="L412" i="76" s="1"/>
  <c r="N413" i="76"/>
  <c r="O413" i="76" l="1"/>
  <c r="L413" i="76" s="1"/>
  <c r="N414" i="76"/>
  <c r="O414" i="76" l="1"/>
  <c r="L414" i="76" s="1"/>
  <c r="N415" i="76"/>
  <c r="O415" i="76" l="1"/>
  <c r="L415" i="76" s="1"/>
  <c r="N416" i="76"/>
  <c r="O416" i="76" l="1"/>
  <c r="L416" i="76" s="1"/>
  <c r="N417" i="76"/>
  <c r="O417" i="76" l="1"/>
  <c r="L417" i="76" s="1"/>
  <c r="N418" i="76"/>
  <c r="O418" i="76" l="1"/>
  <c r="L418" i="76" s="1"/>
  <c r="N419" i="76"/>
  <c r="O419" i="76" l="1"/>
  <c r="L419" i="76" s="1"/>
  <c r="N420" i="76"/>
  <c r="O420" i="76" l="1"/>
  <c r="L420" i="76" s="1"/>
  <c r="N421" i="76"/>
  <c r="O421" i="76" l="1"/>
  <c r="L421" i="76" s="1"/>
  <c r="N422" i="76"/>
  <c r="O422" i="76" l="1"/>
  <c r="L422" i="76" s="1"/>
  <c r="N423" i="76"/>
  <c r="O423" i="76" l="1"/>
  <c r="L423" i="76" s="1"/>
  <c r="N424" i="76"/>
  <c r="O424" i="76" l="1"/>
  <c r="L424" i="76" s="1"/>
  <c r="N425" i="76"/>
  <c r="O425" i="76" l="1"/>
  <c r="L425" i="76" s="1"/>
  <c r="N426" i="76"/>
  <c r="O426" i="76" l="1"/>
  <c r="L426" i="76" s="1"/>
  <c r="N427" i="76"/>
  <c r="O427" i="76" l="1"/>
  <c r="L427" i="76" s="1"/>
  <c r="N428" i="76"/>
  <c r="O428" i="76" l="1"/>
  <c r="L428" i="76" s="1"/>
  <c r="N429" i="76"/>
  <c r="O429" i="76" l="1"/>
  <c r="L429" i="76" s="1"/>
  <c r="N430" i="76"/>
  <c r="N431" i="76" l="1"/>
  <c r="O430" i="76"/>
  <c r="L430" i="76" s="1"/>
  <c r="O431" i="76" l="1"/>
  <c r="L431" i="76" s="1"/>
  <c r="N432" i="76"/>
  <c r="O432" i="76" l="1"/>
  <c r="L432" i="76" s="1"/>
  <c r="N433" i="76"/>
  <c r="O433" i="76" l="1"/>
  <c r="L433" i="76" s="1"/>
  <c r="N434" i="76"/>
  <c r="O434" i="76" l="1"/>
  <c r="L434" i="76" s="1"/>
  <c r="N435" i="76"/>
  <c r="O435" i="76" l="1"/>
  <c r="L435" i="76" s="1"/>
  <c r="N436" i="76"/>
  <c r="O436" i="76" l="1"/>
  <c r="L436" i="76" s="1"/>
  <c r="N437" i="76"/>
  <c r="N438" i="76" l="1"/>
  <c r="O437" i="76"/>
  <c r="L437" i="76" s="1"/>
  <c r="O438" i="76" l="1"/>
  <c r="L438" i="76" s="1"/>
  <c r="N439" i="76"/>
  <c r="O439" i="76" l="1"/>
  <c r="L439" i="76" s="1"/>
  <c r="N440" i="76"/>
  <c r="O440" i="76" l="1"/>
  <c r="L440" i="76" s="1"/>
  <c r="N441" i="76"/>
  <c r="O441" i="76" l="1"/>
  <c r="L441" i="76" s="1"/>
  <c r="N442" i="76"/>
  <c r="O442" i="76" l="1"/>
  <c r="L442" i="76" s="1"/>
  <c r="N443" i="76"/>
  <c r="O443" i="76" l="1"/>
  <c r="L443" i="76" s="1"/>
  <c r="N444" i="76"/>
  <c r="O444" i="76" l="1"/>
  <c r="L444" i="76" s="1"/>
  <c r="N445" i="76"/>
  <c r="O445" i="76" l="1"/>
  <c r="L445" i="76" s="1"/>
  <c r="N446" i="76"/>
  <c r="O446" i="76" l="1"/>
  <c r="L446" i="76" s="1"/>
  <c r="N447" i="76"/>
  <c r="O447" i="76" l="1"/>
  <c r="L447" i="76" s="1"/>
  <c r="N448" i="76"/>
  <c r="O448" i="76" l="1"/>
  <c r="L448" i="76" s="1"/>
  <c r="N449" i="76"/>
  <c r="O449" i="76" l="1"/>
  <c r="L449" i="76" s="1"/>
  <c r="N450" i="76"/>
  <c r="O450" i="76" l="1"/>
  <c r="L450" i="76" s="1"/>
  <c r="N451" i="76"/>
  <c r="O451" i="76" l="1"/>
  <c r="L451" i="76" s="1"/>
  <c r="N452" i="76"/>
  <c r="O452" i="76" l="1"/>
  <c r="L452" i="76" s="1"/>
  <c r="N453" i="76"/>
  <c r="N454" i="76" l="1"/>
  <c r="O453" i="76"/>
  <c r="L453" i="76" s="1"/>
  <c r="O454" i="76" l="1"/>
  <c r="L454" i="76" s="1"/>
  <c r="N455" i="76"/>
  <c r="O455" i="76" l="1"/>
  <c r="L455" i="76" s="1"/>
  <c r="N456" i="76"/>
  <c r="O456" i="76" l="1"/>
  <c r="L456" i="76" s="1"/>
  <c r="N457" i="76"/>
  <c r="O457" i="76" l="1"/>
  <c r="L457" i="76" s="1"/>
  <c r="N458" i="76"/>
  <c r="O458" i="76" l="1"/>
  <c r="L458" i="76" s="1"/>
  <c r="N459" i="76"/>
  <c r="O459" i="76" l="1"/>
  <c r="L459" i="76" s="1"/>
  <c r="N460" i="76"/>
  <c r="O460" i="76" l="1"/>
  <c r="L460" i="76" s="1"/>
  <c r="N461" i="76"/>
  <c r="O461" i="76" l="1"/>
  <c r="L461" i="76" s="1"/>
  <c r="N462" i="76"/>
  <c r="O462" i="76" l="1"/>
  <c r="L462" i="76" s="1"/>
  <c r="N463" i="76"/>
  <c r="O463" i="76" l="1"/>
  <c r="L463" i="76" s="1"/>
  <c r="N464" i="76"/>
  <c r="N465" i="76" l="1"/>
  <c r="O464" i="76"/>
  <c r="L464" i="76" s="1"/>
  <c r="O465" i="76" l="1"/>
  <c r="L465" i="76" s="1"/>
  <c r="N466" i="76"/>
  <c r="O466" i="76" l="1"/>
  <c r="L466" i="76" s="1"/>
  <c r="N467" i="76"/>
  <c r="O467" i="76" l="1"/>
  <c r="L467" i="76" s="1"/>
  <c r="N468" i="76"/>
  <c r="O468" i="76" l="1"/>
  <c r="L468" i="76" s="1"/>
  <c r="N469" i="76"/>
  <c r="O469" i="76" l="1"/>
  <c r="L469" i="76" s="1"/>
  <c r="N470" i="76"/>
  <c r="O470" i="76" l="1"/>
  <c r="L470" i="76" s="1"/>
  <c r="N471" i="76"/>
  <c r="O471" i="76" l="1"/>
  <c r="L471" i="76" s="1"/>
  <c r="N472" i="76"/>
  <c r="O472" i="76" l="1"/>
  <c r="L472" i="76" s="1"/>
  <c r="N473" i="76"/>
  <c r="N474" i="76" l="1"/>
  <c r="O473" i="76"/>
  <c r="L473" i="76" s="1"/>
  <c r="N475" i="76" l="1"/>
  <c r="O474" i="76"/>
  <c r="L474" i="76" s="1"/>
  <c r="N476" i="76" l="1"/>
  <c r="O475" i="76"/>
  <c r="L475" i="76" s="1"/>
  <c r="N477" i="76" l="1"/>
  <c r="O476" i="76"/>
  <c r="L476" i="76" s="1"/>
  <c r="N478" i="76" l="1"/>
  <c r="O477" i="76"/>
  <c r="L477" i="76" s="1"/>
  <c r="O478" i="76" l="1"/>
  <c r="L478" i="76" s="1"/>
  <c r="N479" i="76"/>
  <c r="N480" i="76" l="1"/>
  <c r="O479" i="76"/>
  <c r="L479" i="76" s="1"/>
  <c r="N481" i="76" l="1"/>
  <c r="O480" i="76"/>
  <c r="L480" i="76" s="1"/>
  <c r="N482" i="76" l="1"/>
  <c r="O481" i="76"/>
  <c r="L481" i="76" s="1"/>
  <c r="N483" i="76" l="1"/>
  <c r="O482" i="76"/>
  <c r="L482" i="76" s="1"/>
  <c r="N484" i="76" l="1"/>
  <c r="O483" i="76"/>
  <c r="L483" i="76" s="1"/>
  <c r="O484" i="76" l="1"/>
  <c r="L484" i="76" s="1"/>
  <c r="N485" i="76"/>
  <c r="O485" i="76" l="1"/>
  <c r="L485" i="76" s="1"/>
  <c r="N486" i="76"/>
  <c r="O486" i="76" l="1"/>
  <c r="L486" i="76" s="1"/>
  <c r="N487" i="76"/>
  <c r="O487" i="76" l="1"/>
  <c r="L487" i="76" s="1"/>
  <c r="N488" i="76"/>
  <c r="O488" i="76" l="1"/>
  <c r="L488" i="76" s="1"/>
  <c r="N489" i="76"/>
  <c r="O489" i="76" l="1"/>
  <c r="L489" i="76" s="1"/>
  <c r="N490" i="76"/>
  <c r="O490" i="76" l="1"/>
  <c r="L490" i="76" s="1"/>
  <c r="N491" i="76"/>
  <c r="O491" i="76" l="1"/>
  <c r="L491" i="76" s="1"/>
  <c r="N492" i="76"/>
  <c r="O492" i="76" l="1"/>
  <c r="L492" i="76" s="1"/>
  <c r="N493" i="76"/>
  <c r="O493" i="76" l="1"/>
  <c r="L493" i="76" s="1"/>
  <c r="N494" i="76"/>
  <c r="O494" i="76" l="1"/>
  <c r="L494" i="76" s="1"/>
  <c r="N495" i="76"/>
  <c r="O495" i="76" l="1"/>
  <c r="L495" i="76" s="1"/>
  <c r="N496" i="76"/>
  <c r="O496" i="76" l="1"/>
  <c r="L496" i="76" s="1"/>
  <c r="N497" i="76"/>
  <c r="O497" i="76" l="1"/>
  <c r="L497" i="76" s="1"/>
  <c r="N498" i="76"/>
  <c r="O498" i="76" l="1"/>
  <c r="L498" i="76" s="1"/>
  <c r="N499" i="76"/>
  <c r="O499" i="76" l="1"/>
  <c r="L499" i="76" s="1"/>
  <c r="N500" i="76"/>
  <c r="O500" i="76" l="1"/>
  <c r="L500" i="76" s="1"/>
  <c r="N501" i="76"/>
  <c r="O501" i="76" l="1"/>
  <c r="L501" i="76" s="1"/>
  <c r="N502" i="76"/>
  <c r="O502" i="76" l="1"/>
  <c r="L502" i="76" s="1"/>
  <c r="N503" i="76"/>
  <c r="O503" i="76" l="1"/>
  <c r="L503" i="76" s="1"/>
  <c r="N504" i="76"/>
  <c r="O504" i="76" l="1"/>
  <c r="L504" i="76" s="1"/>
  <c r="N505" i="76"/>
  <c r="O505" i="76" l="1"/>
  <c r="L505" i="76" s="1"/>
  <c r="N506" i="76"/>
  <c r="O506" i="76" l="1"/>
  <c r="L506" i="76" s="1"/>
  <c r="N507" i="76"/>
  <c r="O507" i="76" l="1"/>
  <c r="L507" i="76" s="1"/>
  <c r="N508" i="76"/>
  <c r="O508" i="76" l="1"/>
  <c r="L508" i="76" s="1"/>
  <c r="N509" i="76"/>
  <c r="O509" i="76" l="1"/>
  <c r="L509" i="76" s="1"/>
  <c r="N510" i="76"/>
  <c r="O510" i="76" l="1"/>
  <c r="L510" i="76" s="1"/>
  <c r="N511" i="76"/>
  <c r="O511" i="76" l="1"/>
  <c r="L511" i="76" s="1"/>
  <c r="N512" i="76"/>
  <c r="O512" i="76" l="1"/>
  <c r="L512" i="76" s="1"/>
  <c r="N513" i="76"/>
  <c r="O513" i="76" l="1"/>
  <c r="L513" i="76" s="1"/>
  <c r="N514" i="76"/>
  <c r="O514" i="76" l="1"/>
  <c r="L514" i="76" s="1"/>
  <c r="N515" i="76"/>
  <c r="O515" i="76" l="1"/>
  <c r="L515" i="76" s="1"/>
  <c r="N516" i="76"/>
  <c r="O516" i="76" l="1"/>
  <c r="L516" i="76" s="1"/>
  <c r="N517" i="76"/>
  <c r="O517" i="76" l="1"/>
  <c r="L517" i="76" s="1"/>
  <c r="N518" i="76"/>
  <c r="O518" i="76" l="1"/>
  <c r="L518" i="76" s="1"/>
  <c r="N519" i="76"/>
  <c r="O519" i="76" l="1"/>
  <c r="L519" i="76" s="1"/>
  <c r="N520" i="76"/>
  <c r="O520" i="76" s="1"/>
  <c r="L520" i="76" s="1"/>
  <c r="M521" i="76" l="1"/>
  <c r="P519" i="76"/>
  <c r="A519" i="76" s="1"/>
  <c r="G776" i="76" s="1"/>
  <c r="P518" i="76"/>
  <c r="A518" i="76" s="1"/>
  <c r="G775" i="76" s="1"/>
  <c r="P520" i="76"/>
  <c r="A520" i="76" s="1"/>
  <c r="G777" i="76" s="1"/>
  <c r="P506" i="76"/>
  <c r="A506" i="76" s="1"/>
  <c r="G763" i="76" s="1"/>
  <c r="P470" i="76"/>
  <c r="A470" i="76" s="1"/>
  <c r="G727" i="76" s="1"/>
  <c r="P359" i="76"/>
  <c r="A359" i="76" s="1"/>
  <c r="G616" i="76" s="1"/>
  <c r="P340" i="76"/>
  <c r="A340" i="76" s="1"/>
  <c r="G597" i="76" s="1"/>
  <c r="P395" i="76"/>
  <c r="A395" i="76" s="1"/>
  <c r="G652" i="76" s="1"/>
  <c r="P413" i="76"/>
  <c r="A413" i="76" s="1"/>
  <c r="G670" i="76" s="1"/>
  <c r="P492" i="76"/>
  <c r="A492" i="76" s="1"/>
  <c r="G749" i="76" s="1"/>
  <c r="P500" i="76"/>
  <c r="A500" i="76" s="1"/>
  <c r="G757" i="76" s="1"/>
  <c r="P438" i="76"/>
  <c r="A438" i="76" s="1"/>
  <c r="G695" i="76" s="1"/>
  <c r="P408" i="76"/>
  <c r="A408" i="76" s="1"/>
  <c r="G665" i="76" s="1"/>
  <c r="P441" i="76"/>
  <c r="A441" i="76" s="1"/>
  <c r="G698" i="76" s="1"/>
  <c r="P325" i="76"/>
  <c r="A325" i="76" s="1"/>
  <c r="G582" i="76" s="1"/>
  <c r="P282" i="76"/>
  <c r="A282" i="76" s="1"/>
  <c r="G539" i="76" s="1"/>
  <c r="P466" i="76"/>
  <c r="A466" i="76" s="1"/>
  <c r="G723" i="76" s="1"/>
  <c r="P501" i="76"/>
  <c r="A501" i="76" s="1"/>
  <c r="G758" i="76" s="1"/>
  <c r="P419" i="76"/>
  <c r="A419" i="76" s="1"/>
  <c r="G676" i="76" s="1"/>
  <c r="P369" i="76"/>
  <c r="A369" i="76" s="1"/>
  <c r="G626" i="76" s="1"/>
  <c r="P426" i="76"/>
  <c r="A426" i="76" s="1"/>
  <c r="G683" i="76" s="1"/>
  <c r="P295" i="76"/>
  <c r="A295" i="76" s="1"/>
  <c r="G552" i="76" s="1"/>
  <c r="P329" i="76"/>
  <c r="A329" i="76" s="1"/>
  <c r="G586" i="76" s="1"/>
  <c r="P341" i="76"/>
  <c r="A341" i="76" s="1"/>
  <c r="G598" i="76" s="1"/>
  <c r="P484" i="76"/>
  <c r="A484" i="76" s="1"/>
  <c r="G741" i="76" s="1"/>
  <c r="P409" i="76"/>
  <c r="A409" i="76" s="1"/>
  <c r="G666" i="76" s="1"/>
  <c r="P442" i="76"/>
  <c r="A442" i="76" s="1"/>
  <c r="G699" i="76" s="1"/>
  <c r="P336" i="76"/>
  <c r="A336" i="76" s="1"/>
  <c r="G593" i="76" s="1"/>
  <c r="P430" i="76"/>
  <c r="A430" i="76" s="1"/>
  <c r="G687" i="76" s="1"/>
  <c r="P467" i="76"/>
  <c r="A467" i="76" s="1"/>
  <c r="G724" i="76" s="1"/>
  <c r="P321" i="76"/>
  <c r="A321" i="76" s="1"/>
  <c r="G578" i="76" s="1"/>
  <c r="P274" i="76"/>
  <c r="A274" i="76" s="1"/>
  <c r="G531" i="76" s="1"/>
  <c r="P487" i="76"/>
  <c r="A487" i="76" s="1"/>
  <c r="G744" i="76" s="1"/>
  <c r="P504" i="76"/>
  <c r="A504" i="76" s="1"/>
  <c r="G761" i="76" s="1"/>
  <c r="P335" i="76"/>
  <c r="A335" i="76" s="1"/>
  <c r="G592" i="76" s="1"/>
  <c r="P342" i="76"/>
  <c r="A342" i="76" s="1"/>
  <c r="G599" i="76" s="1"/>
  <c r="P365" i="76"/>
  <c r="A365" i="76" s="1"/>
  <c r="G622" i="76" s="1"/>
  <c r="P347" i="76"/>
  <c r="A347" i="76" s="1"/>
  <c r="G604" i="76" s="1"/>
  <c r="P493" i="76"/>
  <c r="A493" i="76" s="1"/>
  <c r="G750" i="76" s="1"/>
  <c r="P412" i="76"/>
  <c r="A412" i="76" s="1"/>
  <c r="G669" i="76" s="1"/>
  <c r="P313" i="76"/>
  <c r="A313" i="76" s="1"/>
  <c r="G570" i="76" s="1"/>
  <c r="P517" i="76"/>
  <c r="A517" i="76" s="1"/>
  <c r="G774" i="76" s="1"/>
  <c r="P511" i="76"/>
  <c r="A511" i="76" s="1"/>
  <c r="G768" i="76" s="1"/>
  <c r="P435" i="76"/>
  <c r="A435" i="76" s="1"/>
  <c r="G692" i="76" s="1"/>
  <c r="P358" i="76"/>
  <c r="A358" i="76" s="1"/>
  <c r="G615" i="76" s="1"/>
  <c r="P331" i="76"/>
  <c r="A331" i="76" s="1"/>
  <c r="G588" i="76" s="1"/>
  <c r="P383" i="76"/>
  <c r="A383" i="76" s="1"/>
  <c r="G640" i="76" s="1"/>
  <c r="P458" i="76"/>
  <c r="A458" i="76" s="1"/>
  <c r="G715" i="76" s="1"/>
  <c r="P311" i="76"/>
  <c r="A311" i="76" s="1"/>
  <c r="G568" i="76" s="1"/>
  <c r="P306" i="76"/>
  <c r="A306" i="76" s="1"/>
  <c r="G563" i="76" s="1"/>
  <c r="P284" i="76"/>
  <c r="A284" i="76" s="1"/>
  <c r="G541" i="76" s="1"/>
  <c r="P420" i="76"/>
  <c r="A420" i="76" s="1"/>
  <c r="G677" i="76" s="1"/>
  <c r="P344" i="76"/>
  <c r="A344" i="76" s="1"/>
  <c r="G601" i="76" s="1"/>
  <c r="P482" i="76"/>
  <c r="A482" i="76" s="1"/>
  <c r="G739" i="76" s="1"/>
  <c r="P338" i="76"/>
  <c r="A338" i="76" s="1"/>
  <c r="G595" i="76" s="1"/>
  <c r="P450" i="76"/>
  <c r="A450" i="76" s="1"/>
  <c r="G707" i="76" s="1"/>
  <c r="P437" i="76"/>
  <c r="A437" i="76" s="1"/>
  <c r="G694" i="76" s="1"/>
  <c r="P351" i="76"/>
  <c r="A351" i="76" s="1"/>
  <c r="G608" i="76" s="1"/>
  <c r="P307" i="76"/>
  <c r="A307" i="76" s="1"/>
  <c r="G564" i="76" s="1"/>
  <c r="P290" i="76"/>
  <c r="A290" i="76" s="1"/>
  <c r="G547" i="76" s="1"/>
  <c r="P275" i="76"/>
  <c r="A275" i="76" s="1"/>
  <c r="G532" i="76" s="1"/>
  <c r="P483" i="76"/>
  <c r="A483" i="76" s="1"/>
  <c r="G740" i="76" s="1"/>
  <c r="P330" i="76"/>
  <c r="A330" i="76" s="1"/>
  <c r="G587" i="76" s="1"/>
  <c r="P291" i="76"/>
  <c r="A291" i="76" s="1"/>
  <c r="G548" i="76" s="1"/>
  <c r="P280" i="76"/>
  <c r="A280" i="76" s="1"/>
  <c r="G537" i="76" s="1"/>
  <c r="P324" i="76"/>
  <c r="A324" i="76" s="1"/>
  <c r="G581" i="76" s="1"/>
  <c r="P319" i="76"/>
  <c r="A319" i="76" s="1"/>
  <c r="G576" i="76" s="1"/>
  <c r="P283" i="76"/>
  <c r="A283" i="76" s="1"/>
  <c r="G540" i="76" s="1"/>
  <c r="P393" i="76"/>
  <c r="A393" i="76" s="1"/>
  <c r="G650" i="76" s="1"/>
  <c r="P374" i="76"/>
  <c r="A374" i="76" s="1"/>
  <c r="G631" i="76" s="1"/>
  <c r="P460" i="76"/>
  <c r="A460" i="76" s="1"/>
  <c r="G717" i="76" s="1"/>
  <c r="P494" i="76"/>
  <c r="A494" i="76" s="1"/>
  <c r="G751" i="76" s="1"/>
  <c r="P314" i="76"/>
  <c r="A314" i="76" s="1"/>
  <c r="G571" i="76" s="1"/>
  <c r="P433" i="76"/>
  <c r="A433" i="76" s="1"/>
  <c r="G690" i="76" s="1"/>
  <c r="P429" i="76"/>
  <c r="A429" i="76" s="1"/>
  <c r="G686" i="76" s="1"/>
  <c r="P509" i="76"/>
  <c r="A509" i="76" s="1"/>
  <c r="G766" i="76" s="1"/>
  <c r="P513" i="76"/>
  <c r="A513" i="76" s="1"/>
  <c r="G770" i="76" s="1"/>
  <c r="P431" i="76"/>
  <c r="A431" i="76" s="1"/>
  <c r="G688" i="76" s="1"/>
  <c r="P294" i="76"/>
  <c r="A294" i="76" s="1"/>
  <c r="G551" i="76" s="1"/>
  <c r="P391" i="76"/>
  <c r="A391" i="76" s="1"/>
  <c r="G648" i="76" s="1"/>
  <c r="P406" i="76"/>
  <c r="A406" i="76" s="1"/>
  <c r="G663" i="76" s="1"/>
  <c r="P355" i="76"/>
  <c r="A355" i="76" s="1"/>
  <c r="G612" i="76" s="1"/>
  <c r="P376" i="76"/>
  <c r="A376" i="76" s="1"/>
  <c r="G633" i="76" s="1"/>
  <c r="P323" i="76"/>
  <c r="A323" i="76" s="1"/>
  <c r="G580" i="76" s="1"/>
  <c r="P405" i="76"/>
  <c r="A405" i="76" s="1"/>
  <c r="G662" i="76" s="1"/>
  <c r="P485" i="76"/>
  <c r="A485" i="76" s="1"/>
  <c r="G742" i="76" s="1"/>
  <c r="P364" i="76"/>
  <c r="A364" i="76" s="1"/>
  <c r="G621" i="76" s="1"/>
  <c r="P315" i="76"/>
  <c r="A315" i="76" s="1"/>
  <c r="G572" i="76" s="1"/>
  <c r="P445" i="76"/>
  <c r="A445" i="76" s="1"/>
  <c r="G702" i="76" s="1"/>
  <c r="P415" i="76"/>
  <c r="A415" i="76" s="1"/>
  <c r="G672" i="76" s="1"/>
  <c r="P436" i="76"/>
  <c r="A436" i="76" s="1"/>
  <c r="G693" i="76" s="1"/>
  <c r="P468" i="76"/>
  <c r="A468" i="76" s="1"/>
  <c r="G725" i="76" s="1"/>
  <c r="P479" i="76"/>
  <c r="A479" i="76" s="1"/>
  <c r="G736" i="76" s="1"/>
  <c r="P366" i="76"/>
  <c r="A366" i="76" s="1"/>
  <c r="G623" i="76" s="1"/>
  <c r="P400" i="76"/>
  <c r="A400" i="76" s="1"/>
  <c r="G657" i="76" s="1"/>
  <c r="P320" i="76"/>
  <c r="A320" i="76" s="1"/>
  <c r="G577" i="76" s="1"/>
  <c r="P496" i="76"/>
  <c r="A496" i="76" s="1"/>
  <c r="G753" i="76" s="1"/>
  <c r="P332" i="76"/>
  <c r="A332" i="76" s="1"/>
  <c r="G589" i="76" s="1"/>
  <c r="P345" i="76"/>
  <c r="A345" i="76" s="1"/>
  <c r="G602" i="76" s="1"/>
  <c r="P352" i="76"/>
  <c r="A352" i="76" s="1"/>
  <c r="G609" i="76" s="1"/>
  <c r="P465" i="76"/>
  <c r="A465" i="76" s="1"/>
  <c r="G722" i="76" s="1"/>
  <c r="P411" i="76"/>
  <c r="A411" i="76" s="1"/>
  <c r="G668" i="76" s="1"/>
  <c r="P497" i="76"/>
  <c r="A497" i="76" s="1"/>
  <c r="G754" i="76" s="1"/>
  <c r="P423" i="76"/>
  <c r="A423" i="76" s="1"/>
  <c r="G680" i="76" s="1"/>
  <c r="P398" i="76"/>
  <c r="A398" i="76" s="1"/>
  <c r="G655" i="76" s="1"/>
  <c r="P305" i="76"/>
  <c r="A305" i="76" s="1"/>
  <c r="G562" i="76" s="1"/>
  <c r="P303" i="76"/>
  <c r="A303" i="76" s="1"/>
  <c r="G560" i="76" s="1"/>
  <c r="P318" i="76"/>
  <c r="A318" i="76" s="1"/>
  <c r="G575" i="76" s="1"/>
  <c r="P459" i="76"/>
  <c r="A459" i="76" s="1"/>
  <c r="G716" i="76" s="1"/>
  <c r="P514" i="76"/>
  <c r="A514" i="76" s="1"/>
  <c r="G771" i="76" s="1"/>
  <c r="P508" i="76"/>
  <c r="A508" i="76" s="1"/>
  <c r="G765" i="76" s="1"/>
  <c r="P403" i="76"/>
  <c r="A403" i="76" s="1"/>
  <c r="G660" i="76" s="1"/>
  <c r="P372" i="76"/>
  <c r="A372" i="76" s="1"/>
  <c r="G629" i="76" s="1"/>
  <c r="P396" i="76"/>
  <c r="A396" i="76" s="1"/>
  <c r="G653" i="76" s="1"/>
  <c r="P410" i="76"/>
  <c r="A410" i="76" s="1"/>
  <c r="G667" i="76" s="1"/>
  <c r="P475" i="76"/>
  <c r="A475" i="76" s="1"/>
  <c r="G732" i="76" s="1"/>
  <c r="P428" i="76"/>
  <c r="A428" i="76" s="1"/>
  <c r="G685" i="76" s="1"/>
  <c r="P381" i="76"/>
  <c r="A381" i="76" s="1"/>
  <c r="G638" i="76" s="1"/>
  <c r="P452" i="76"/>
  <c r="A452" i="76" s="1"/>
  <c r="G709" i="76" s="1"/>
  <c r="P451" i="76"/>
  <c r="A451" i="76" s="1"/>
  <c r="G708" i="76" s="1"/>
  <c r="P301" i="76"/>
  <c r="A301" i="76" s="1"/>
  <c r="G558" i="76" s="1"/>
  <c r="P281" i="76"/>
  <c r="A281" i="76" s="1"/>
  <c r="G538" i="76" s="1"/>
  <c r="P296" i="76"/>
  <c r="A296" i="76" s="1"/>
  <c r="G553" i="76" s="1"/>
  <c r="P477" i="76"/>
  <c r="A477" i="76" s="1"/>
  <c r="G734" i="76" s="1"/>
  <c r="P312" i="76"/>
  <c r="A312" i="76" s="1"/>
  <c r="G569" i="76" s="1"/>
  <c r="P471" i="76"/>
  <c r="A471" i="76" s="1"/>
  <c r="G728" i="76" s="1"/>
  <c r="P360" i="76"/>
  <c r="A360" i="76" s="1"/>
  <c r="G617" i="76" s="1"/>
  <c r="P499" i="76"/>
  <c r="A499" i="76" s="1"/>
  <c r="G756" i="76" s="1"/>
  <c r="P498" i="76"/>
  <c r="A498" i="76" s="1"/>
  <c r="G755" i="76" s="1"/>
  <c r="P328" i="76"/>
  <c r="A328" i="76" s="1"/>
  <c r="G585" i="76" s="1"/>
  <c r="P502" i="76"/>
  <c r="A502" i="76" s="1"/>
  <c r="G759" i="76" s="1"/>
  <c r="P297" i="76"/>
  <c r="A297" i="76" s="1"/>
  <c r="G554" i="76" s="1"/>
  <c r="P356" i="76"/>
  <c r="A356" i="76" s="1"/>
  <c r="G613" i="76" s="1"/>
  <c r="P434" i="76"/>
  <c r="A434" i="76" s="1"/>
  <c r="G691" i="76" s="1"/>
  <c r="P457" i="76"/>
  <c r="A457" i="76" s="1"/>
  <c r="G714" i="76" s="1"/>
  <c r="P472" i="76"/>
  <c r="A472" i="76" s="1"/>
  <c r="G729" i="76" s="1"/>
  <c r="P495" i="76"/>
  <c r="A495" i="76" s="1"/>
  <c r="G752" i="76" s="1"/>
  <c r="P427" i="76"/>
  <c r="A427" i="76" s="1"/>
  <c r="G684" i="76" s="1"/>
  <c r="P379" i="76"/>
  <c r="A379" i="76" s="1"/>
  <c r="G636" i="76" s="1"/>
  <c r="P349" i="76"/>
  <c r="A349" i="76" s="1"/>
  <c r="G606" i="76" s="1"/>
  <c r="P326" i="76"/>
  <c r="A326" i="76" s="1"/>
  <c r="G583" i="76" s="1"/>
  <c r="P370" i="76"/>
  <c r="A370" i="76" s="1"/>
  <c r="G627" i="76" s="1"/>
  <c r="P346" i="76"/>
  <c r="A346" i="76" s="1"/>
  <c r="G603" i="76" s="1"/>
  <c r="P512" i="76"/>
  <c r="A512" i="76" s="1"/>
  <c r="G769" i="76" s="1"/>
  <c r="P510" i="76"/>
  <c r="A510" i="76" s="1"/>
  <c r="G767" i="76" s="1"/>
  <c r="P416" i="76"/>
  <c r="A416" i="76" s="1"/>
  <c r="G673" i="76" s="1"/>
  <c r="P354" i="76"/>
  <c r="A354" i="76" s="1"/>
  <c r="G611" i="76" s="1"/>
  <c r="P298" i="76"/>
  <c r="A298" i="76" s="1"/>
  <c r="G555" i="76" s="1"/>
  <c r="P407" i="76"/>
  <c r="A407" i="76" s="1"/>
  <c r="G664" i="76" s="1"/>
  <c r="P357" i="76"/>
  <c r="A357" i="76" s="1"/>
  <c r="G614" i="76" s="1"/>
  <c r="P444" i="76"/>
  <c r="A444" i="76" s="1"/>
  <c r="G701" i="76" s="1"/>
  <c r="P299" i="76"/>
  <c r="A299" i="76" s="1"/>
  <c r="G556" i="76" s="1"/>
  <c r="P390" i="76"/>
  <c r="A390" i="76" s="1"/>
  <c r="G647" i="76" s="1"/>
  <c r="P273" i="76"/>
  <c r="A273" i="76" s="1"/>
  <c r="G530" i="76" s="1"/>
  <c r="P397" i="76"/>
  <c r="A397" i="76" s="1"/>
  <c r="G654" i="76" s="1"/>
  <c r="P432" i="76"/>
  <c r="A432" i="76" s="1"/>
  <c r="G689" i="76" s="1"/>
  <c r="P308" i="76"/>
  <c r="A308" i="76" s="1"/>
  <c r="G565" i="76" s="1"/>
  <c r="P401" i="76"/>
  <c r="A401" i="76" s="1"/>
  <c r="G658" i="76" s="1"/>
  <c r="P371" i="76"/>
  <c r="A371" i="76" s="1"/>
  <c r="G628" i="76" s="1"/>
  <c r="P300" i="76"/>
  <c r="A300" i="76" s="1"/>
  <c r="G557" i="76" s="1"/>
  <c r="P454" i="76"/>
  <c r="A454" i="76" s="1"/>
  <c r="G711" i="76" s="1"/>
  <c r="P392" i="76"/>
  <c r="A392" i="76" s="1"/>
  <c r="G649" i="76" s="1"/>
  <c r="P424" i="76"/>
  <c r="A424" i="76" s="1"/>
  <c r="G681" i="76" s="1"/>
  <c r="P377" i="76"/>
  <c r="A377" i="76" s="1"/>
  <c r="G634" i="76" s="1"/>
  <c r="P343" i="76"/>
  <c r="A343" i="76" s="1"/>
  <c r="G600" i="76" s="1"/>
  <c r="P272" i="76"/>
  <c r="A272" i="76" s="1"/>
  <c r="G529" i="76" s="1"/>
  <c r="P439" i="76"/>
  <c r="A439" i="76" s="1"/>
  <c r="G696" i="76" s="1"/>
  <c r="P289" i="76"/>
  <c r="A289" i="76" s="1"/>
  <c r="G546" i="76" s="1"/>
  <c r="P489" i="76"/>
  <c r="A489" i="76" s="1"/>
  <c r="G746" i="76" s="1"/>
  <c r="P461" i="76"/>
  <c r="A461" i="76" s="1"/>
  <c r="G718" i="76" s="1"/>
  <c r="P455" i="76"/>
  <c r="A455" i="76" s="1"/>
  <c r="G712" i="76" s="1"/>
  <c r="P389" i="76"/>
  <c r="A389" i="76" s="1"/>
  <c r="G646" i="76" s="1"/>
  <c r="P456" i="76"/>
  <c r="A456" i="76" s="1"/>
  <c r="G713" i="76" s="1"/>
  <c r="P316" i="76"/>
  <c r="A316" i="76" s="1"/>
  <c r="G573" i="76" s="1"/>
  <c r="P287" i="76"/>
  <c r="A287" i="76" s="1"/>
  <c r="G544" i="76" s="1"/>
  <c r="P476" i="76"/>
  <c r="A476" i="76" s="1"/>
  <c r="G733" i="76" s="1"/>
  <c r="P293" i="76"/>
  <c r="A293" i="76" s="1"/>
  <c r="G550" i="76" s="1"/>
  <c r="P286" i="76"/>
  <c r="A286" i="76" s="1"/>
  <c r="G543" i="76" s="1"/>
  <c r="P507" i="76"/>
  <c r="A507" i="76" s="1"/>
  <c r="G764" i="76" s="1"/>
  <c r="P516" i="76"/>
  <c r="A516" i="76" s="1"/>
  <c r="G773" i="76" s="1"/>
  <c r="P453" i="76"/>
  <c r="A453" i="76" s="1"/>
  <c r="G710" i="76" s="1"/>
  <c r="P292" i="76"/>
  <c r="A292" i="76" s="1"/>
  <c r="G549" i="76" s="1"/>
  <c r="P486" i="76"/>
  <c r="A486" i="76" s="1"/>
  <c r="G743" i="76" s="1"/>
  <c r="P404" i="76"/>
  <c r="A404" i="76" s="1"/>
  <c r="G661" i="76" s="1"/>
  <c r="P309" i="76"/>
  <c r="A309" i="76" s="1"/>
  <c r="G566" i="76" s="1"/>
  <c r="P382" i="76"/>
  <c r="A382" i="76" s="1"/>
  <c r="G639" i="76" s="1"/>
  <c r="P478" i="76"/>
  <c r="A478" i="76" s="1"/>
  <c r="G735" i="76" s="1"/>
  <c r="P317" i="76"/>
  <c r="A317" i="76" s="1"/>
  <c r="G574" i="76" s="1"/>
  <c r="P363" i="76"/>
  <c r="A363" i="76" s="1"/>
  <c r="G620" i="76" s="1"/>
  <c r="P422" i="76"/>
  <c r="A422" i="76" s="1"/>
  <c r="G679" i="76" s="1"/>
  <c r="P285" i="76"/>
  <c r="A285" i="76" s="1"/>
  <c r="G542" i="76" s="1"/>
  <c r="P417" i="76"/>
  <c r="A417" i="76" s="1"/>
  <c r="G674" i="76" s="1"/>
  <c r="P288" i="76"/>
  <c r="A288" i="76" s="1"/>
  <c r="G545" i="76" s="1"/>
  <c r="P277" i="76"/>
  <c r="A277" i="76" s="1"/>
  <c r="G534" i="76" s="1"/>
  <c r="P425" i="76"/>
  <c r="A425" i="76" s="1"/>
  <c r="G682" i="76" s="1"/>
  <c r="P375" i="76"/>
  <c r="A375" i="76" s="1"/>
  <c r="G632" i="76" s="1"/>
  <c r="P447" i="76"/>
  <c r="A447" i="76" s="1"/>
  <c r="G704" i="76" s="1"/>
  <c r="P373" i="76"/>
  <c r="A373" i="76" s="1"/>
  <c r="G630" i="76" s="1"/>
  <c r="P464" i="76"/>
  <c r="A464" i="76" s="1"/>
  <c r="G721" i="76" s="1"/>
  <c r="P361" i="76"/>
  <c r="A361" i="76" s="1"/>
  <c r="G618" i="76" s="1"/>
  <c r="P473" i="76"/>
  <c r="A473" i="76" s="1"/>
  <c r="G730" i="76" s="1"/>
  <c r="P385" i="76"/>
  <c r="A385" i="76" s="1"/>
  <c r="G642" i="76" s="1"/>
  <c r="P491" i="76"/>
  <c r="A491" i="76" s="1"/>
  <c r="G748" i="76" s="1"/>
  <c r="P388" i="76"/>
  <c r="A388" i="76" s="1"/>
  <c r="G645" i="76" s="1"/>
  <c r="P310" i="76"/>
  <c r="A310" i="76" s="1"/>
  <c r="G567" i="76" s="1"/>
  <c r="P337" i="76"/>
  <c r="A337" i="76" s="1"/>
  <c r="G594" i="76" s="1"/>
  <c r="P480" i="76"/>
  <c r="A480" i="76" s="1"/>
  <c r="G737" i="76" s="1"/>
  <c r="P271" i="76"/>
  <c r="A271" i="76" s="1"/>
  <c r="G528" i="76" s="1"/>
  <c r="P421" i="76"/>
  <c r="A421" i="76" s="1"/>
  <c r="G678" i="76" s="1"/>
  <c r="P394" i="76"/>
  <c r="A394" i="76" s="1"/>
  <c r="G651" i="76" s="1"/>
  <c r="P443" i="76"/>
  <c r="A443" i="76" s="1"/>
  <c r="G700" i="76" s="1"/>
  <c r="P327" i="76"/>
  <c r="A327" i="76" s="1"/>
  <c r="G584" i="76" s="1"/>
  <c r="P505" i="76"/>
  <c r="A505" i="76" s="1"/>
  <c r="G762" i="76" s="1"/>
  <c r="P278" i="76"/>
  <c r="A278" i="76" s="1"/>
  <c r="G535" i="76" s="1"/>
  <c r="P362" i="76"/>
  <c r="A362" i="76" s="1"/>
  <c r="G619" i="76" s="1"/>
  <c r="P339" i="76"/>
  <c r="A339" i="76" s="1"/>
  <c r="G596" i="76" s="1"/>
  <c r="P462" i="76"/>
  <c r="A462" i="76" s="1"/>
  <c r="G719" i="76" s="1"/>
  <c r="P368" i="76"/>
  <c r="A368" i="76" s="1"/>
  <c r="G625" i="76" s="1"/>
  <c r="P515" i="76"/>
  <c r="A515" i="76" s="1"/>
  <c r="G772" i="76" s="1"/>
  <c r="P503" i="76"/>
  <c r="A503" i="76" s="1"/>
  <c r="G760" i="76" s="1"/>
  <c r="P463" i="76"/>
  <c r="A463" i="76" s="1"/>
  <c r="G720" i="76" s="1"/>
  <c r="P348" i="76"/>
  <c r="A348" i="76" s="1"/>
  <c r="G605" i="76" s="1"/>
  <c r="P387" i="76"/>
  <c r="A387" i="76" s="1"/>
  <c r="G644" i="76" s="1"/>
  <c r="P279" i="76"/>
  <c r="A279" i="76" s="1"/>
  <c r="G536" i="76" s="1"/>
  <c r="P333" i="76"/>
  <c r="A333" i="76" s="1"/>
  <c r="G590" i="76" s="1"/>
  <c r="P334" i="76"/>
  <c r="A334" i="76" s="1"/>
  <c r="G591" i="76" s="1"/>
  <c r="P449" i="76"/>
  <c r="A449" i="76" s="1"/>
  <c r="G706" i="76" s="1"/>
  <c r="P490" i="76"/>
  <c r="A490" i="76" s="1"/>
  <c r="G747" i="76" s="1"/>
  <c r="P378" i="76"/>
  <c r="A378" i="76" s="1"/>
  <c r="G635" i="76" s="1"/>
  <c r="P304" i="76"/>
  <c r="A304" i="76" s="1"/>
  <c r="G561" i="76" s="1"/>
  <c r="P350" i="76"/>
  <c r="A350" i="76" s="1"/>
  <c r="G607" i="76" s="1"/>
  <c r="P469" i="76"/>
  <c r="A469" i="76" s="1"/>
  <c r="G726" i="76" s="1"/>
  <c r="P402" i="76"/>
  <c r="A402" i="76" s="1"/>
  <c r="G659" i="76" s="1"/>
  <c r="P276" i="76"/>
  <c r="A276" i="76" s="1"/>
  <c r="G533" i="76" s="1"/>
  <c r="P481" i="76"/>
  <c r="A481" i="76" s="1"/>
  <c r="G738" i="76" s="1"/>
  <c r="P380" i="76"/>
  <c r="A380" i="76" s="1"/>
  <c r="G637" i="76" s="1"/>
  <c r="P488" i="76"/>
  <c r="A488" i="76" s="1"/>
  <c r="G745" i="76" s="1"/>
  <c r="P440" i="76"/>
  <c r="A440" i="76" s="1"/>
  <c r="G697" i="76" s="1"/>
  <c r="P448" i="76"/>
  <c r="A448" i="76" s="1"/>
  <c r="G705" i="76" s="1"/>
  <c r="P353" i="76"/>
  <c r="A353" i="76" s="1"/>
  <c r="G610" i="76" s="1"/>
  <c r="P446" i="76"/>
  <c r="A446" i="76" s="1"/>
  <c r="G703" i="76" s="1"/>
  <c r="P399" i="76"/>
  <c r="A399" i="76" s="1"/>
  <c r="G656" i="76" s="1"/>
  <c r="P302" i="76"/>
  <c r="A302" i="76" s="1"/>
  <c r="G559" i="76" s="1"/>
  <c r="P414" i="76"/>
  <c r="A414" i="76" s="1"/>
  <c r="G671" i="76" s="1"/>
  <c r="P418" i="76"/>
  <c r="A418" i="76" s="1"/>
  <c r="G675" i="76" s="1"/>
  <c r="P367" i="76"/>
  <c r="A367" i="76" s="1"/>
  <c r="G624" i="76" s="1"/>
  <c r="P322" i="76"/>
  <c r="A322" i="76" s="1"/>
  <c r="G579" i="76" s="1"/>
  <c r="P474" i="76"/>
  <c r="A474" i="76" s="1"/>
  <c r="G731" i="76" s="1"/>
  <c r="P386" i="76"/>
  <c r="A386" i="76" s="1"/>
  <c r="G643" i="76" s="1"/>
  <c r="P384" i="76"/>
  <c r="A384" i="76" s="1"/>
  <c r="G641" i="76" s="1"/>
  <c r="D705" i="76" l="1"/>
  <c r="C705" i="76"/>
  <c r="D542" i="76"/>
  <c r="C542" i="76"/>
  <c r="D714" i="76"/>
  <c r="C714" i="76"/>
  <c r="D578" i="76"/>
  <c r="C578" i="76"/>
  <c r="D745" i="76"/>
  <c r="C745" i="76"/>
  <c r="C720" i="76"/>
  <c r="D720" i="76"/>
  <c r="D731" i="76"/>
  <c r="C731" i="76"/>
  <c r="D610" i="76"/>
  <c r="C610" i="76"/>
  <c r="D726" i="76"/>
  <c r="C726" i="76"/>
  <c r="C536" i="76"/>
  <c r="D536" i="76"/>
  <c r="C596" i="76"/>
  <c r="D596" i="76"/>
  <c r="D528" i="76"/>
  <c r="C528" i="76"/>
  <c r="D618" i="76"/>
  <c r="C618" i="76"/>
  <c r="D674" i="76"/>
  <c r="C674" i="76"/>
  <c r="D661" i="76"/>
  <c r="C661" i="76"/>
  <c r="C733" i="76"/>
  <c r="D733" i="76"/>
  <c r="D546" i="76"/>
  <c r="C546" i="76"/>
  <c r="D557" i="76"/>
  <c r="C557" i="76"/>
  <c r="D556" i="76"/>
  <c r="C556" i="76"/>
  <c r="D769" i="76"/>
  <c r="C769" i="76"/>
  <c r="D729" i="76"/>
  <c r="C729" i="76"/>
  <c r="D756" i="76"/>
  <c r="C756" i="76"/>
  <c r="D708" i="76"/>
  <c r="C708" i="76"/>
  <c r="D660" i="76"/>
  <c r="C660" i="76"/>
  <c r="C680" i="76"/>
  <c r="D680" i="76"/>
  <c r="D577" i="76"/>
  <c r="C577" i="76"/>
  <c r="C572" i="76"/>
  <c r="D572" i="76"/>
  <c r="C648" i="76"/>
  <c r="D648" i="76"/>
  <c r="C751" i="76"/>
  <c r="D751" i="76"/>
  <c r="C548" i="76"/>
  <c r="D548" i="76"/>
  <c r="D707" i="76"/>
  <c r="C707" i="76"/>
  <c r="D715" i="76"/>
  <c r="C715" i="76"/>
  <c r="C669" i="76"/>
  <c r="D669" i="76"/>
  <c r="D531" i="76"/>
  <c r="C531" i="76"/>
  <c r="D598" i="76"/>
  <c r="C598" i="76"/>
  <c r="D539" i="76"/>
  <c r="C539" i="76"/>
  <c r="D652" i="76"/>
  <c r="C652" i="76"/>
  <c r="D737" i="76"/>
  <c r="C737" i="76"/>
  <c r="C701" i="76"/>
  <c r="D701" i="76"/>
  <c r="D657" i="76"/>
  <c r="C657" i="76"/>
  <c r="D595" i="76"/>
  <c r="C595" i="76"/>
  <c r="C597" i="76"/>
  <c r="D597" i="76"/>
  <c r="C624" i="76"/>
  <c r="D624" i="76"/>
  <c r="D697" i="76"/>
  <c r="C697" i="76"/>
  <c r="D561" i="76"/>
  <c r="C561" i="76"/>
  <c r="D605" i="76"/>
  <c r="C605" i="76"/>
  <c r="C535" i="76"/>
  <c r="D535" i="76"/>
  <c r="D594" i="76"/>
  <c r="C594" i="76"/>
  <c r="D630" i="76"/>
  <c r="C630" i="76"/>
  <c r="C679" i="76"/>
  <c r="D679" i="76"/>
  <c r="C549" i="76"/>
  <c r="D549" i="76"/>
  <c r="C573" i="76"/>
  <c r="D573" i="76"/>
  <c r="D529" i="76"/>
  <c r="C529" i="76"/>
  <c r="D658" i="76"/>
  <c r="C658" i="76"/>
  <c r="D614" i="76"/>
  <c r="C614" i="76"/>
  <c r="D627" i="76"/>
  <c r="C627" i="76"/>
  <c r="D691" i="76"/>
  <c r="C691" i="76"/>
  <c r="C728" i="76"/>
  <c r="D728" i="76"/>
  <c r="D638" i="76"/>
  <c r="C638" i="76"/>
  <c r="D771" i="76"/>
  <c r="C771" i="76"/>
  <c r="D668" i="76"/>
  <c r="C668" i="76"/>
  <c r="C623" i="76"/>
  <c r="D623" i="76"/>
  <c r="D742" i="76"/>
  <c r="C742" i="76"/>
  <c r="C688" i="76"/>
  <c r="D688" i="76"/>
  <c r="C631" i="76"/>
  <c r="D631" i="76"/>
  <c r="C740" i="76"/>
  <c r="D740" i="76"/>
  <c r="D739" i="76"/>
  <c r="C739" i="76"/>
  <c r="C588" i="76"/>
  <c r="D588" i="76"/>
  <c r="D604" i="76"/>
  <c r="C604" i="76"/>
  <c r="C724" i="76"/>
  <c r="D724" i="76"/>
  <c r="C552" i="76"/>
  <c r="D552" i="76"/>
  <c r="D698" i="76"/>
  <c r="C698" i="76"/>
  <c r="C616" i="76"/>
  <c r="D616" i="76"/>
  <c r="C743" i="76"/>
  <c r="D743" i="76"/>
  <c r="C765" i="76"/>
  <c r="D765" i="76"/>
  <c r="D587" i="76"/>
  <c r="C587" i="76"/>
  <c r="C704" i="76"/>
  <c r="D704" i="76"/>
  <c r="C664" i="76"/>
  <c r="D664" i="76"/>
  <c r="C583" i="76"/>
  <c r="D583" i="76"/>
  <c r="D613" i="76"/>
  <c r="C613" i="76"/>
  <c r="D569" i="76"/>
  <c r="C569" i="76"/>
  <c r="C685" i="76"/>
  <c r="D685" i="76"/>
  <c r="D716" i="76"/>
  <c r="C716" i="76"/>
  <c r="D722" i="76"/>
  <c r="C722" i="76"/>
  <c r="C736" i="76"/>
  <c r="D736" i="76"/>
  <c r="D662" i="76"/>
  <c r="C662" i="76"/>
  <c r="D770" i="76"/>
  <c r="C770" i="76"/>
  <c r="D650" i="76"/>
  <c r="C650" i="76"/>
  <c r="C532" i="76"/>
  <c r="D532" i="76"/>
  <c r="D601" i="76"/>
  <c r="C601" i="76"/>
  <c r="C615" i="76"/>
  <c r="D615" i="76"/>
  <c r="D622" i="76"/>
  <c r="C622" i="76"/>
  <c r="C687" i="76"/>
  <c r="D687" i="76"/>
  <c r="D683" i="76"/>
  <c r="C683" i="76"/>
  <c r="D665" i="76"/>
  <c r="C665" i="76"/>
  <c r="C727" i="76"/>
  <c r="D727" i="76"/>
  <c r="C607" i="76"/>
  <c r="D607" i="76"/>
  <c r="C544" i="76"/>
  <c r="D544" i="76"/>
  <c r="D709" i="76"/>
  <c r="C709" i="76"/>
  <c r="C621" i="76"/>
  <c r="D621" i="76"/>
  <c r="D750" i="76"/>
  <c r="C750" i="76"/>
  <c r="C620" i="76"/>
  <c r="D620" i="76"/>
  <c r="D565" i="76"/>
  <c r="C565" i="76"/>
  <c r="C637" i="76"/>
  <c r="D637" i="76"/>
  <c r="D747" i="76"/>
  <c r="C747" i="76"/>
  <c r="C760" i="76"/>
  <c r="D760" i="76"/>
  <c r="C584" i="76"/>
  <c r="D584" i="76"/>
  <c r="D645" i="76"/>
  <c r="C645" i="76"/>
  <c r="C632" i="76"/>
  <c r="D632" i="76"/>
  <c r="D574" i="76"/>
  <c r="C574" i="76"/>
  <c r="C773" i="76"/>
  <c r="D773" i="76"/>
  <c r="D646" i="76"/>
  <c r="C646" i="76"/>
  <c r="D634" i="76"/>
  <c r="C634" i="76"/>
  <c r="D689" i="76"/>
  <c r="C689" i="76"/>
  <c r="D555" i="76"/>
  <c r="C555" i="76"/>
  <c r="D606" i="76"/>
  <c r="C606" i="76"/>
  <c r="D554" i="76"/>
  <c r="C554" i="76"/>
  <c r="D734" i="76"/>
  <c r="C734" i="76"/>
  <c r="D732" i="76"/>
  <c r="C732" i="76"/>
  <c r="C575" i="76"/>
  <c r="D575" i="76"/>
  <c r="D609" i="76"/>
  <c r="C609" i="76"/>
  <c r="C725" i="76"/>
  <c r="D725" i="76"/>
  <c r="D580" i="76"/>
  <c r="C580" i="76"/>
  <c r="D766" i="76"/>
  <c r="C766" i="76"/>
  <c r="D540" i="76"/>
  <c r="C540" i="76"/>
  <c r="D547" i="76"/>
  <c r="C547" i="76"/>
  <c r="C677" i="76"/>
  <c r="D677" i="76"/>
  <c r="D692" i="76"/>
  <c r="C692" i="76"/>
  <c r="C599" i="76"/>
  <c r="D599" i="76"/>
  <c r="D593" i="76"/>
  <c r="C593" i="76"/>
  <c r="D626" i="76"/>
  <c r="C626" i="76"/>
  <c r="C695" i="76"/>
  <c r="D695" i="76"/>
  <c r="D763" i="76"/>
  <c r="C763" i="76"/>
  <c r="D619" i="76"/>
  <c r="C619" i="76"/>
  <c r="C628" i="76"/>
  <c r="D628" i="76"/>
  <c r="D754" i="76"/>
  <c r="C754" i="76"/>
  <c r="C717" i="76"/>
  <c r="D717" i="76"/>
  <c r="D582" i="76"/>
  <c r="C582" i="76"/>
  <c r="D762" i="76"/>
  <c r="C762" i="76"/>
  <c r="C600" i="76"/>
  <c r="D600" i="76"/>
  <c r="C559" i="76"/>
  <c r="D559" i="76"/>
  <c r="D738" i="76"/>
  <c r="C738" i="76"/>
  <c r="D706" i="76"/>
  <c r="C706" i="76"/>
  <c r="C772" i="76"/>
  <c r="D772" i="76"/>
  <c r="C700" i="76"/>
  <c r="D700" i="76"/>
  <c r="C748" i="76"/>
  <c r="D748" i="76"/>
  <c r="D682" i="76"/>
  <c r="C682" i="76"/>
  <c r="C735" i="76"/>
  <c r="D735" i="76"/>
  <c r="D764" i="76"/>
  <c r="C764" i="76"/>
  <c r="C712" i="76"/>
  <c r="D712" i="76"/>
  <c r="D681" i="76"/>
  <c r="C681" i="76"/>
  <c r="D654" i="76"/>
  <c r="C654" i="76"/>
  <c r="D611" i="76"/>
  <c r="C611" i="76"/>
  <c r="D636" i="76"/>
  <c r="C636" i="76"/>
  <c r="C759" i="76"/>
  <c r="D759" i="76"/>
  <c r="D553" i="76"/>
  <c r="C553" i="76"/>
  <c r="D667" i="76"/>
  <c r="C667" i="76"/>
  <c r="C560" i="76"/>
  <c r="D560" i="76"/>
  <c r="D602" i="76"/>
  <c r="C602" i="76"/>
  <c r="D693" i="76"/>
  <c r="C693" i="76"/>
  <c r="D633" i="76"/>
  <c r="C633" i="76"/>
  <c r="D686" i="76"/>
  <c r="C686" i="76"/>
  <c r="C576" i="76"/>
  <c r="D576" i="76"/>
  <c r="D564" i="76"/>
  <c r="C564" i="76"/>
  <c r="C541" i="76"/>
  <c r="D541" i="76"/>
  <c r="C768" i="76"/>
  <c r="D768" i="76"/>
  <c r="C592" i="76"/>
  <c r="D592" i="76"/>
  <c r="D699" i="76"/>
  <c r="C699" i="76"/>
  <c r="C676" i="76"/>
  <c r="D676" i="76"/>
  <c r="C757" i="76"/>
  <c r="D757" i="76"/>
  <c r="D777" i="76"/>
  <c r="C777" i="76"/>
  <c r="D579" i="76"/>
  <c r="C579" i="76"/>
  <c r="D721" i="76"/>
  <c r="C721" i="76"/>
  <c r="D603" i="76"/>
  <c r="C603" i="76"/>
  <c r="C640" i="76"/>
  <c r="D640" i="76"/>
  <c r="D675" i="76"/>
  <c r="C675" i="76"/>
  <c r="C567" i="76"/>
  <c r="D567" i="76"/>
  <c r="D713" i="76"/>
  <c r="C713" i="76"/>
  <c r="C671" i="76"/>
  <c r="D671" i="76"/>
  <c r="D641" i="76"/>
  <c r="C641" i="76"/>
  <c r="C656" i="76"/>
  <c r="D656" i="76"/>
  <c r="C533" i="76"/>
  <c r="D533" i="76"/>
  <c r="C591" i="76"/>
  <c r="D591" i="76"/>
  <c r="D625" i="76"/>
  <c r="C625" i="76"/>
  <c r="D651" i="76"/>
  <c r="C651" i="76"/>
  <c r="D642" i="76"/>
  <c r="C642" i="76"/>
  <c r="D534" i="76"/>
  <c r="C534" i="76"/>
  <c r="C639" i="76"/>
  <c r="D639" i="76"/>
  <c r="C543" i="76"/>
  <c r="D543" i="76"/>
  <c r="D718" i="76"/>
  <c r="C718" i="76"/>
  <c r="D649" i="76"/>
  <c r="C649" i="76"/>
  <c r="D530" i="76"/>
  <c r="C530" i="76"/>
  <c r="D673" i="76"/>
  <c r="C673" i="76"/>
  <c r="C684" i="76"/>
  <c r="D684" i="76"/>
  <c r="D585" i="76"/>
  <c r="C585" i="76"/>
  <c r="D538" i="76"/>
  <c r="C538" i="76"/>
  <c r="C653" i="76"/>
  <c r="D653" i="76"/>
  <c r="D562" i="76"/>
  <c r="C562" i="76"/>
  <c r="C589" i="76"/>
  <c r="D589" i="76"/>
  <c r="C672" i="76"/>
  <c r="D672" i="76"/>
  <c r="D612" i="76"/>
  <c r="C612" i="76"/>
  <c r="D690" i="76"/>
  <c r="C690" i="76"/>
  <c r="C581" i="76"/>
  <c r="D581" i="76"/>
  <c r="C608" i="76"/>
  <c r="D608" i="76"/>
  <c r="D563" i="76"/>
  <c r="C563" i="76"/>
  <c r="D774" i="76"/>
  <c r="C774" i="76"/>
  <c r="D761" i="76"/>
  <c r="C761" i="76"/>
  <c r="D666" i="76"/>
  <c r="C666" i="76"/>
  <c r="D758" i="76"/>
  <c r="C758" i="76"/>
  <c r="D749" i="76"/>
  <c r="C749" i="76"/>
  <c r="C775" i="76"/>
  <c r="D775" i="76"/>
  <c r="C644" i="76"/>
  <c r="D644" i="76"/>
  <c r="C696" i="76"/>
  <c r="D696" i="76"/>
  <c r="D617" i="76"/>
  <c r="C617" i="76"/>
  <c r="C551" i="76"/>
  <c r="D551" i="76"/>
  <c r="D586" i="76"/>
  <c r="C586" i="76"/>
  <c r="D635" i="76"/>
  <c r="C635" i="76"/>
  <c r="D710" i="76"/>
  <c r="C710" i="76"/>
  <c r="D643" i="76"/>
  <c r="C643" i="76"/>
  <c r="C703" i="76"/>
  <c r="D703" i="76"/>
  <c r="D659" i="76"/>
  <c r="C659" i="76"/>
  <c r="D590" i="76"/>
  <c r="C590" i="76"/>
  <c r="C719" i="76"/>
  <c r="D719" i="76"/>
  <c r="D678" i="76"/>
  <c r="C678" i="76"/>
  <c r="D730" i="76"/>
  <c r="C730" i="76"/>
  <c r="D545" i="76"/>
  <c r="C545" i="76"/>
  <c r="D566" i="76"/>
  <c r="C566" i="76"/>
  <c r="D550" i="76"/>
  <c r="C550" i="76"/>
  <c r="D746" i="76"/>
  <c r="C746" i="76"/>
  <c r="C711" i="76"/>
  <c r="D711" i="76"/>
  <c r="C647" i="76"/>
  <c r="D647" i="76"/>
  <c r="C767" i="76"/>
  <c r="D767" i="76"/>
  <c r="C752" i="76"/>
  <c r="D752" i="76"/>
  <c r="D755" i="76"/>
  <c r="C755" i="76"/>
  <c r="D558" i="76"/>
  <c r="C558" i="76"/>
  <c r="C629" i="76"/>
  <c r="D629" i="76"/>
  <c r="C655" i="76"/>
  <c r="D655" i="76"/>
  <c r="D753" i="76"/>
  <c r="C753" i="76"/>
  <c r="D702" i="76"/>
  <c r="C702" i="76"/>
  <c r="C663" i="76"/>
  <c r="D663" i="76"/>
  <c r="D571" i="76"/>
  <c r="C571" i="76"/>
  <c r="D537" i="76"/>
  <c r="C537" i="76"/>
  <c r="D694" i="76"/>
  <c r="C694" i="76"/>
  <c r="C568" i="76"/>
  <c r="D568" i="76"/>
  <c r="D570" i="76"/>
  <c r="C570" i="76"/>
  <c r="C744" i="76"/>
  <c r="D744" i="76"/>
  <c r="D741" i="76"/>
  <c r="C741" i="76"/>
  <c r="D723" i="76"/>
  <c r="C723" i="76"/>
  <c r="D670" i="76"/>
  <c r="C670" i="76"/>
  <c r="C776" i="76"/>
  <c r="D776" i="76"/>
  <c r="L212" i="25"/>
  <c r="M212" i="25"/>
  <c r="N212" i="25"/>
  <c r="O212" i="25"/>
  <c r="P212" i="25"/>
  <c r="Q212" i="25"/>
  <c r="R212" i="25"/>
  <c r="S212" i="25"/>
  <c r="T212" i="25"/>
  <c r="U212" i="25"/>
  <c r="V212" i="25"/>
  <c r="W212" i="25"/>
  <c r="X212" i="25"/>
  <c r="Y212" i="25"/>
  <c r="Z212" i="25"/>
  <c r="AA212" i="25"/>
  <c r="AB212" i="25"/>
  <c r="AC212" i="25"/>
  <c r="AD212" i="25"/>
  <c r="J212" i="25"/>
  <c r="J210" i="25"/>
  <c r="F17" i="51"/>
  <c r="F18" i="51" s="1"/>
  <c r="F19" i="5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E6" authorId="0" shapeId="0" xr:uid="{00000000-0006-0000-0000-000001000000}">
      <text>
        <r>
          <rPr>
            <sz val="9"/>
            <color indexed="81"/>
            <rFont val="Tahoma"/>
            <family val="2"/>
          </rPr>
          <t>Para facilitar el diligenciamiento de los formatos, se evita la protección de hojas, celdas o cualquier tipo de información.
La mayoría de las celdas formuladas no están protegidas, por tanto, se recomienda precaución, con el fin de mantener la fórmula original, no obstante, hay celdas cuyo encabezado esté subrayado en color azul, estás están protegidas en virtud de su formulación, la cual, presenta una especial complejidad.</t>
        </r>
      </text>
    </comment>
    <comment ref="I24" authorId="0" shapeId="0" xr:uid="{00000000-0006-0000-0000-000002000000}">
      <text>
        <r>
          <rPr>
            <sz val="9"/>
            <color indexed="81"/>
            <rFont val="Tahoma"/>
            <family val="2"/>
          </rPr>
          <t xml:space="preserve">Contratos interadministrativos,
Contratos de prestación de servicios profesionales, 
Contratos sin pluralidad de oferentes, 
Entre otros. </t>
        </r>
      </text>
    </comment>
    <comment ref="J24" authorId="0" shapeId="0" xr:uid="{00000000-0006-0000-0000-000003000000}">
      <text>
        <r>
          <rPr>
            <sz val="9"/>
            <color indexed="81"/>
            <rFont val="Tahoma"/>
            <family val="2"/>
          </rPr>
          <t xml:space="preserve">Mínina cuantía, 
Selección abreviada por menor cuantía, 
Licitación pública, 
Concurso de méritos,
Selección abreviada por subasta inversa,
Entre otros.
</t>
        </r>
      </text>
    </comment>
    <comment ref="K24" authorId="0" shapeId="0" xr:uid="{00000000-0006-0000-0000-000004000000}">
      <text>
        <r>
          <rPr>
            <sz val="9"/>
            <color indexed="81"/>
            <rFont val="Tahoma"/>
            <family val="2"/>
          </rPr>
          <t>Convenios solidarios,
Convenios interadministrativos,
Convenios de asociación o administrativos,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13" authorId="0" shapeId="0" xr:uid="{00000000-0006-0000-0100-000001000000}">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00000000-0006-0000-0100-000002000000}">
      <text>
        <r>
          <rPr>
            <sz val="9"/>
            <color indexed="81"/>
            <rFont val="Tahoma"/>
            <family val="2"/>
          </rPr>
          <t>Desplegar las celdas ocultas en caso de requerirse</t>
        </r>
      </text>
    </comment>
    <comment ref="C14" authorId="0" shapeId="0" xr:uid="{00000000-0006-0000-0100-000003000000}">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00000000-0006-0000-0100-000004000000}">
      <text>
        <r>
          <rPr>
            <sz val="9"/>
            <color indexed="81"/>
            <rFont val="Tahoma"/>
            <family val="2"/>
          </rPr>
          <t>% de importancia de cada subactividad respecto a la meta/ producto a obtener</t>
        </r>
      </text>
    </comment>
    <comment ref="A16" authorId="0" shapeId="0" xr:uid="{00000000-0006-0000-0100-000005000000}">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00000000-0006-0000-0100-000006000000}">
      <text>
        <r>
          <rPr>
            <sz val="9"/>
            <color indexed="81"/>
            <rFont val="Tahoma"/>
            <family val="2"/>
          </rPr>
          <t>la suma del % de peso físico de los alcances debe de dar el 100% del producto a obtener.</t>
        </r>
      </text>
    </comment>
    <comment ref="A18" authorId="0" shapeId="0" xr:uid="{00000000-0006-0000-0100-000007000000}">
      <text>
        <r>
          <rPr>
            <sz val="9"/>
            <color indexed="81"/>
            <rFont val="Tahoma"/>
            <family val="2"/>
          </rPr>
          <t>La suma del % de peso físico de las actividades debe de dar el 100% del alcance.</t>
        </r>
      </text>
    </comment>
    <comment ref="A19" authorId="0" shapeId="0" xr:uid="{00000000-0006-0000-0100-000008000000}">
      <text>
        <r>
          <rPr>
            <sz val="9"/>
            <color indexed="81"/>
            <rFont val="Tahoma"/>
            <family val="2"/>
          </rPr>
          <t xml:space="preserve">
La suma del % de peso físico de las subactividades debe de dar el 100% de la actividad.</t>
        </r>
      </text>
    </comment>
    <comment ref="A20" authorId="0" shapeId="0" xr:uid="{00000000-0006-0000-0100-000009000000}">
      <text>
        <r>
          <rPr>
            <sz val="9"/>
            <color indexed="81"/>
            <rFont val="Tahoma"/>
            <family val="2"/>
          </rPr>
          <t>La suma del % de peso físico de las subactividades debe de dar el 100% de la actividad.</t>
        </r>
      </text>
    </comment>
    <comment ref="A21" authorId="0" shapeId="0" xr:uid="{00000000-0006-0000-0100-00000A000000}">
      <text>
        <r>
          <rPr>
            <sz val="9"/>
            <color indexed="81"/>
            <rFont val="Tahoma"/>
            <family val="2"/>
          </rPr>
          <t>La suma del % de peso físico de las subactividades debe de dar el 100% de la actividad.</t>
        </r>
      </text>
    </comment>
    <comment ref="A22" authorId="0" shapeId="0" xr:uid="{00000000-0006-0000-0100-00000B000000}">
      <text>
        <r>
          <rPr>
            <sz val="9"/>
            <color indexed="81"/>
            <rFont val="Tahoma"/>
            <family val="2"/>
          </rPr>
          <t>La suma del % de peso físico de las subactividades debe de dar el 100% de la actividad.</t>
        </r>
      </text>
    </comment>
    <comment ref="A23" authorId="0" shapeId="0" xr:uid="{00000000-0006-0000-0100-00000C000000}">
      <text>
        <r>
          <rPr>
            <sz val="9"/>
            <color indexed="81"/>
            <rFont val="Tahoma"/>
            <family val="2"/>
          </rPr>
          <t>La suma del % de peso físico de las subactividades debe de dar el 100% de la actividad.</t>
        </r>
      </text>
    </comment>
    <comment ref="A24" authorId="0" shapeId="0" xr:uid="{00000000-0006-0000-0100-00000D000000}">
      <text>
        <r>
          <rPr>
            <sz val="9"/>
            <color indexed="81"/>
            <rFont val="Tahoma"/>
            <family val="2"/>
          </rPr>
          <t xml:space="preserve">
La suma del % de peso físico de las actividades debe de dar el 100% del alcance.</t>
        </r>
      </text>
    </comment>
    <comment ref="A25" authorId="0" shapeId="0" xr:uid="{00000000-0006-0000-0100-00000E000000}">
      <text>
        <r>
          <rPr>
            <sz val="9"/>
            <color indexed="81"/>
            <rFont val="Tahoma"/>
            <family val="2"/>
          </rPr>
          <t xml:space="preserve">
La suma del % de peso físico de las subactividades debe de dar el 100% de la actividad.</t>
        </r>
      </text>
    </comment>
    <comment ref="A26" authorId="0" shapeId="0" xr:uid="{00000000-0006-0000-0100-00000F000000}">
      <text>
        <r>
          <rPr>
            <sz val="9"/>
            <color indexed="81"/>
            <rFont val="Tahoma"/>
            <family val="2"/>
          </rPr>
          <t xml:space="preserve">
La suma del % de peso físico de las subactividades debe de dar el 100% de la actividad.</t>
        </r>
      </text>
    </comment>
    <comment ref="A27" authorId="0" shapeId="0" xr:uid="{00000000-0006-0000-0100-000010000000}">
      <text>
        <r>
          <rPr>
            <sz val="9"/>
            <color indexed="81"/>
            <rFont val="Tahoma"/>
            <family val="2"/>
          </rPr>
          <t>La suma del % de peso físico de las subactividades debe de dar el 100% de la actividad.</t>
        </r>
      </text>
    </comment>
    <comment ref="A28" authorId="0" shapeId="0" xr:uid="{00000000-0006-0000-0100-000011000000}">
      <text>
        <r>
          <rPr>
            <sz val="9"/>
            <color indexed="81"/>
            <rFont val="Tahoma"/>
            <family val="2"/>
          </rPr>
          <t xml:space="preserve">La suma del % de peso físico de las subactividades debe de dar el 100% de la actividad.
</t>
        </r>
      </text>
    </comment>
    <comment ref="A29" authorId="0" shapeId="0" xr:uid="{00000000-0006-0000-0100-000012000000}">
      <text>
        <r>
          <rPr>
            <sz val="9"/>
            <color indexed="81"/>
            <rFont val="Tahoma"/>
            <family val="2"/>
          </rPr>
          <t xml:space="preserve">
La suma del % de peso físico de las subactividades debe de dar el 100% de la actividad.</t>
        </r>
      </text>
    </comment>
    <comment ref="A30" authorId="0" shapeId="0" xr:uid="{00000000-0006-0000-0100-000013000000}">
      <text>
        <r>
          <rPr>
            <sz val="9"/>
            <color indexed="81"/>
            <rFont val="Tahoma"/>
            <family val="2"/>
          </rPr>
          <t xml:space="preserve">
La suma del % de peso físico de las actividades debe de dar el 100% del alcance.</t>
        </r>
      </text>
    </comment>
    <comment ref="A31" authorId="0" shapeId="0" xr:uid="{00000000-0006-0000-0100-000014000000}">
      <text>
        <r>
          <rPr>
            <sz val="9"/>
            <color indexed="81"/>
            <rFont val="Tahoma"/>
            <family val="2"/>
          </rPr>
          <t xml:space="preserve">
La suma del % de peso físico de las subactividades debe de dar el 100% de la actividad.</t>
        </r>
      </text>
    </comment>
    <comment ref="A32" authorId="0" shapeId="0" xr:uid="{00000000-0006-0000-0100-000015000000}">
      <text>
        <r>
          <rPr>
            <sz val="9"/>
            <color indexed="81"/>
            <rFont val="Tahoma"/>
            <family val="2"/>
          </rPr>
          <t xml:space="preserve">
La suma del % de peso físico de las subactividades debe de dar el 100% de la actividad.</t>
        </r>
      </text>
    </comment>
    <comment ref="A33" authorId="0" shapeId="0" xr:uid="{00000000-0006-0000-0100-000016000000}">
      <text>
        <r>
          <rPr>
            <sz val="9"/>
            <color indexed="81"/>
            <rFont val="Tahoma"/>
            <family val="2"/>
          </rPr>
          <t xml:space="preserve">
La suma del % de peso físico de las subactividades debe de dar el 100% de la actividad.</t>
        </r>
      </text>
    </comment>
    <comment ref="A34" authorId="0" shapeId="0" xr:uid="{00000000-0006-0000-0100-000017000000}">
      <text>
        <r>
          <rPr>
            <sz val="9"/>
            <color indexed="81"/>
            <rFont val="Tahoma"/>
            <family val="2"/>
          </rPr>
          <t xml:space="preserve">
La suma del % de peso físico de las subactividades debe de dar el 100% de la actividad.</t>
        </r>
      </text>
    </comment>
    <comment ref="A35" authorId="0" shapeId="0" xr:uid="{00000000-0006-0000-0100-000018000000}">
      <text>
        <r>
          <rPr>
            <sz val="9"/>
            <color indexed="81"/>
            <rFont val="Tahoma"/>
            <family val="2"/>
          </rPr>
          <t xml:space="preserve">
La suma del % de peso físico de las subactividades debe de dar el 100% de la actividad.</t>
        </r>
      </text>
    </comment>
    <comment ref="A36" authorId="0" shapeId="0" xr:uid="{00000000-0006-0000-0100-000019000000}">
      <text>
        <r>
          <rPr>
            <sz val="9"/>
            <color indexed="81"/>
            <rFont val="Tahoma"/>
            <family val="2"/>
          </rPr>
          <t xml:space="preserve">
La suma del % de peso físico de las actividades debe de dar el 100% del alcance.</t>
        </r>
      </text>
    </comment>
    <comment ref="A37" authorId="0" shapeId="0" xr:uid="{00000000-0006-0000-0100-00001A000000}">
      <text>
        <r>
          <rPr>
            <sz val="9"/>
            <color indexed="81"/>
            <rFont val="Tahoma"/>
            <family val="2"/>
          </rPr>
          <t xml:space="preserve">
La suma del % de peso físico de las subactividades debe de dar el 100% de la actividad.</t>
        </r>
      </text>
    </comment>
    <comment ref="A38" authorId="0" shapeId="0" xr:uid="{00000000-0006-0000-0100-00001B000000}">
      <text>
        <r>
          <rPr>
            <sz val="9"/>
            <color indexed="81"/>
            <rFont val="Tahoma"/>
            <family val="2"/>
          </rPr>
          <t xml:space="preserve">
La suma del % de peso físico de las subactividades debe de dar el 100% de la actividad.</t>
        </r>
      </text>
    </comment>
    <comment ref="A39" authorId="0" shapeId="0" xr:uid="{00000000-0006-0000-0100-00001C000000}">
      <text>
        <r>
          <rPr>
            <sz val="9"/>
            <color indexed="81"/>
            <rFont val="Tahoma"/>
            <family val="2"/>
          </rPr>
          <t xml:space="preserve">
La suma del % de peso físico de las subactividades debe de dar el 100% de la actividad.</t>
        </r>
      </text>
    </comment>
    <comment ref="A40" authorId="0" shapeId="0" xr:uid="{00000000-0006-0000-0100-00001D000000}">
      <text>
        <r>
          <rPr>
            <sz val="9"/>
            <color indexed="81"/>
            <rFont val="Tahoma"/>
            <family val="2"/>
          </rPr>
          <t xml:space="preserve">
La suma del % de peso físico de las subactividades debe de dar el 100% de la actividad.</t>
        </r>
      </text>
    </comment>
    <comment ref="A41" authorId="0" shapeId="0" xr:uid="{00000000-0006-0000-0100-00001E000000}">
      <text>
        <r>
          <rPr>
            <sz val="9"/>
            <color indexed="81"/>
            <rFont val="Tahoma"/>
            <family val="2"/>
          </rPr>
          <t xml:space="preserve">
La suma del % de peso físico de las subactividades debe de dar el 100% de la actividad.</t>
        </r>
      </text>
    </comment>
    <comment ref="A42" authorId="0" shapeId="0" xr:uid="{00000000-0006-0000-0100-00001F000000}">
      <text>
        <r>
          <rPr>
            <sz val="9"/>
            <color indexed="81"/>
            <rFont val="Tahoma"/>
            <family val="2"/>
          </rPr>
          <t xml:space="preserve">
La suma del % de peso físico de las actividades debe de dar el 100% del alcance.</t>
        </r>
      </text>
    </comment>
    <comment ref="A43" authorId="0" shapeId="0" xr:uid="{00000000-0006-0000-0100-000020000000}">
      <text>
        <r>
          <rPr>
            <sz val="9"/>
            <color indexed="81"/>
            <rFont val="Tahoma"/>
            <family val="2"/>
          </rPr>
          <t xml:space="preserve">
La suma del % de peso físico de las subactividades debe de dar el 100% de la actividad.</t>
        </r>
      </text>
    </comment>
    <comment ref="A44" authorId="0" shapeId="0" xr:uid="{00000000-0006-0000-0100-000021000000}">
      <text>
        <r>
          <rPr>
            <sz val="9"/>
            <color indexed="81"/>
            <rFont val="Tahoma"/>
            <family val="2"/>
          </rPr>
          <t xml:space="preserve">
La suma del % de peso físico de las subactividades debe de dar el 100% de la actividad.</t>
        </r>
      </text>
    </comment>
    <comment ref="A45" authorId="0" shapeId="0" xr:uid="{00000000-0006-0000-0100-000022000000}">
      <text>
        <r>
          <rPr>
            <sz val="9"/>
            <color indexed="81"/>
            <rFont val="Tahoma"/>
            <family val="2"/>
          </rPr>
          <t xml:space="preserve">
La suma del % de peso físico de las subactividades debe de dar el 100% de la actividad.</t>
        </r>
      </text>
    </comment>
    <comment ref="A46" authorId="0" shapeId="0" xr:uid="{00000000-0006-0000-0100-000023000000}">
      <text>
        <r>
          <rPr>
            <sz val="9"/>
            <color indexed="81"/>
            <rFont val="Tahoma"/>
            <family val="2"/>
          </rPr>
          <t xml:space="preserve">
La suma del % de peso físico de las subactividades debe de dar el 100% de la actividad.</t>
        </r>
      </text>
    </comment>
    <comment ref="A47" authorId="0" shapeId="0" xr:uid="{00000000-0006-0000-0100-000024000000}">
      <text>
        <r>
          <rPr>
            <sz val="9"/>
            <color indexed="81"/>
            <rFont val="Tahoma"/>
            <family val="2"/>
          </rPr>
          <t xml:space="preserve">
La suma del % de peso físico de las subactividades debe de dar el 100% de la actividad.</t>
        </r>
      </text>
    </comment>
    <comment ref="A48" authorId="0" shapeId="0" xr:uid="{00000000-0006-0000-0100-000025000000}">
      <text>
        <r>
          <rPr>
            <sz val="9"/>
            <color indexed="81"/>
            <rFont val="Tahoma"/>
            <family val="2"/>
          </rPr>
          <t xml:space="preserve">
la suma del % de peso físico de los alcances debe de dar el 100% del producto a obtener.</t>
        </r>
      </text>
    </comment>
    <comment ref="A49" authorId="0" shapeId="0" xr:uid="{00000000-0006-0000-0100-000026000000}">
      <text>
        <r>
          <rPr>
            <sz val="9"/>
            <color indexed="81"/>
            <rFont val="Tahoma"/>
            <family val="2"/>
          </rPr>
          <t xml:space="preserve">
La suma del % de peso físico de las actividades debe de dar el 100% del alcance.</t>
        </r>
      </text>
    </comment>
    <comment ref="A50" authorId="0" shapeId="0" xr:uid="{00000000-0006-0000-0100-000027000000}">
      <text>
        <r>
          <rPr>
            <sz val="9"/>
            <color indexed="81"/>
            <rFont val="Tahoma"/>
            <family val="2"/>
          </rPr>
          <t xml:space="preserve">
La suma del % de peso físico de las subactividades debe de dar el 100% de la actividad.</t>
        </r>
      </text>
    </comment>
    <comment ref="A51" authorId="0" shapeId="0" xr:uid="{00000000-0006-0000-0100-000028000000}">
      <text>
        <r>
          <rPr>
            <sz val="9"/>
            <color indexed="81"/>
            <rFont val="Tahoma"/>
            <family val="2"/>
          </rPr>
          <t xml:space="preserve">
La suma del % de peso físico de las subactividades debe de dar el 100% de la actividad.</t>
        </r>
      </text>
    </comment>
    <comment ref="A52" authorId="0" shapeId="0" xr:uid="{00000000-0006-0000-0100-000029000000}">
      <text>
        <r>
          <rPr>
            <b/>
            <sz val="9"/>
            <color indexed="81"/>
            <rFont val="Tahoma"/>
            <family val="2"/>
          </rPr>
          <t xml:space="preserve">
</t>
        </r>
        <r>
          <rPr>
            <sz val="9"/>
            <color indexed="81"/>
            <rFont val="Tahoma"/>
            <family val="2"/>
          </rPr>
          <t>La suma del % de peso físico de las subactividades debe de dar el 100% de la actividad.</t>
        </r>
      </text>
    </comment>
    <comment ref="A53" authorId="0" shapeId="0" xr:uid="{00000000-0006-0000-0100-00002A000000}">
      <text>
        <r>
          <rPr>
            <sz val="9"/>
            <color indexed="81"/>
            <rFont val="Tahoma"/>
            <family val="2"/>
          </rPr>
          <t xml:space="preserve">
La suma del % de peso físico de las subactividades debe de dar el 100% de la actividad.</t>
        </r>
      </text>
    </comment>
    <comment ref="A54" authorId="0" shapeId="0" xr:uid="{00000000-0006-0000-0100-00002B000000}">
      <text>
        <r>
          <rPr>
            <sz val="9"/>
            <color indexed="81"/>
            <rFont val="Tahoma"/>
            <family val="2"/>
          </rPr>
          <t xml:space="preserve">
La suma del % de peso físico de las subactividades debe de dar el 100% de la actividad.</t>
        </r>
      </text>
    </comment>
    <comment ref="A55" authorId="0" shapeId="0" xr:uid="{00000000-0006-0000-0100-00002C000000}">
      <text>
        <r>
          <rPr>
            <sz val="9"/>
            <color indexed="81"/>
            <rFont val="Tahoma"/>
            <family val="2"/>
          </rPr>
          <t xml:space="preserve">
La suma del % de peso físico de las actividades debe de dar el 100% del alcance.</t>
        </r>
      </text>
    </comment>
    <comment ref="A56" authorId="0" shapeId="0" xr:uid="{00000000-0006-0000-0100-00002D000000}">
      <text>
        <r>
          <rPr>
            <sz val="9"/>
            <color indexed="81"/>
            <rFont val="Tahoma"/>
            <family val="2"/>
          </rPr>
          <t xml:space="preserve">
La suma del % de peso físico de las subactividades debe de dar el 100% de la actividad.</t>
        </r>
      </text>
    </comment>
    <comment ref="A57" authorId="0" shapeId="0" xr:uid="{00000000-0006-0000-0100-00002E000000}">
      <text>
        <r>
          <rPr>
            <sz val="9"/>
            <color indexed="81"/>
            <rFont val="Tahoma"/>
            <family val="2"/>
          </rPr>
          <t xml:space="preserve">
La suma del % de peso físico de las subactividades debe de dar el 100% de la actividad.</t>
        </r>
      </text>
    </comment>
    <comment ref="A58" authorId="0" shapeId="0" xr:uid="{00000000-0006-0000-0100-00002F000000}">
      <text>
        <r>
          <rPr>
            <sz val="9"/>
            <color indexed="81"/>
            <rFont val="Tahoma"/>
            <family val="2"/>
          </rPr>
          <t xml:space="preserve">
La suma del % de peso físico de las subactividades debe de dar el 100% de la actividad.</t>
        </r>
      </text>
    </comment>
    <comment ref="A59" authorId="0" shapeId="0" xr:uid="{00000000-0006-0000-0100-000030000000}">
      <text>
        <r>
          <rPr>
            <sz val="9"/>
            <color indexed="81"/>
            <rFont val="Tahoma"/>
            <family val="2"/>
          </rPr>
          <t xml:space="preserve">
La suma del % de peso físico de las subactividades debe de dar el 100% de la actividad.</t>
        </r>
      </text>
    </comment>
    <comment ref="A60" authorId="0" shapeId="0" xr:uid="{00000000-0006-0000-0100-000031000000}">
      <text>
        <r>
          <rPr>
            <sz val="9"/>
            <color indexed="81"/>
            <rFont val="Tahoma"/>
            <family val="2"/>
          </rPr>
          <t xml:space="preserve">
La suma del % de peso físico de las subactividades debe de dar el 100% de la actividad.</t>
        </r>
      </text>
    </comment>
    <comment ref="A61" authorId="0" shapeId="0" xr:uid="{00000000-0006-0000-0100-000032000000}">
      <text>
        <r>
          <rPr>
            <sz val="9"/>
            <color indexed="81"/>
            <rFont val="Tahoma"/>
            <family val="2"/>
          </rPr>
          <t xml:space="preserve">
La suma del % de peso físico de las actividades debe de dar el 100% del alcance.</t>
        </r>
      </text>
    </comment>
    <comment ref="A62" authorId="0" shapeId="0" xr:uid="{00000000-0006-0000-0100-000033000000}">
      <text>
        <r>
          <rPr>
            <sz val="9"/>
            <color indexed="81"/>
            <rFont val="Tahoma"/>
            <family val="2"/>
          </rPr>
          <t xml:space="preserve">
La suma del % de peso físico de las subactividades debe de dar el 100% de la actividad.</t>
        </r>
      </text>
    </comment>
    <comment ref="A63" authorId="0" shapeId="0" xr:uid="{00000000-0006-0000-0100-000034000000}">
      <text>
        <r>
          <rPr>
            <sz val="9"/>
            <color indexed="81"/>
            <rFont val="Tahoma"/>
            <family val="2"/>
          </rPr>
          <t xml:space="preserve">
La suma del % de peso físico de las subactividades debe de dar el 100% de la actividad.</t>
        </r>
      </text>
    </comment>
    <comment ref="A64" authorId="0" shapeId="0" xr:uid="{00000000-0006-0000-0100-000035000000}">
      <text>
        <r>
          <rPr>
            <sz val="9"/>
            <color indexed="81"/>
            <rFont val="Tahoma"/>
            <family val="2"/>
          </rPr>
          <t xml:space="preserve">
La suma del % de peso físico de las subactividades debe de dar el 100% de la actividad.</t>
        </r>
      </text>
    </comment>
    <comment ref="A65" authorId="0" shapeId="0" xr:uid="{00000000-0006-0000-0100-000036000000}">
      <text>
        <r>
          <rPr>
            <sz val="9"/>
            <color indexed="81"/>
            <rFont val="Tahoma"/>
            <family val="2"/>
          </rPr>
          <t xml:space="preserve">
La suma del % de peso físico de las subactividades debe de dar el 100% de la actividad.</t>
        </r>
      </text>
    </comment>
    <comment ref="A66" authorId="0" shapeId="0" xr:uid="{00000000-0006-0000-0100-000037000000}">
      <text>
        <r>
          <rPr>
            <sz val="9"/>
            <color indexed="81"/>
            <rFont val="Tahoma"/>
            <family val="2"/>
          </rPr>
          <t xml:space="preserve">
La suma del % de peso físico de las subactividades debe de dar el 100% de la actividad.</t>
        </r>
      </text>
    </comment>
    <comment ref="A67" authorId="0" shapeId="0" xr:uid="{00000000-0006-0000-0100-000038000000}">
      <text>
        <r>
          <rPr>
            <sz val="9"/>
            <color indexed="81"/>
            <rFont val="Tahoma"/>
            <family val="2"/>
          </rPr>
          <t xml:space="preserve">
La suma del % de peso físico de las actividades debe de dar el 100% del alcance.</t>
        </r>
      </text>
    </comment>
    <comment ref="A68" authorId="0" shapeId="0" xr:uid="{00000000-0006-0000-0100-000039000000}">
      <text>
        <r>
          <rPr>
            <sz val="9"/>
            <color indexed="81"/>
            <rFont val="Tahoma"/>
            <family val="2"/>
          </rPr>
          <t xml:space="preserve">
La suma del % de peso físico de las subactividades debe de dar el 100% de la actividad.</t>
        </r>
      </text>
    </comment>
    <comment ref="A69" authorId="0" shapeId="0" xr:uid="{00000000-0006-0000-0100-00003A000000}">
      <text>
        <r>
          <rPr>
            <sz val="9"/>
            <color indexed="81"/>
            <rFont val="Tahoma"/>
            <family val="2"/>
          </rPr>
          <t xml:space="preserve">
La suma del % de peso físico de las subactividades debe de dar el 100% de la actividad.</t>
        </r>
      </text>
    </comment>
    <comment ref="A70" authorId="0" shapeId="0" xr:uid="{00000000-0006-0000-0100-00003B000000}">
      <text>
        <r>
          <rPr>
            <sz val="9"/>
            <color indexed="81"/>
            <rFont val="Tahoma"/>
            <family val="2"/>
          </rPr>
          <t xml:space="preserve">
La suma del % de peso físico de las subactividades debe de dar el 100% de la actividad.</t>
        </r>
      </text>
    </comment>
    <comment ref="A71" authorId="0" shapeId="0" xr:uid="{00000000-0006-0000-0100-00003C000000}">
      <text>
        <r>
          <rPr>
            <sz val="9"/>
            <color indexed="81"/>
            <rFont val="Tahoma"/>
            <family val="2"/>
          </rPr>
          <t xml:space="preserve">
La suma del % de peso físico de las subactividades debe de dar el 100% de la actividad.</t>
        </r>
      </text>
    </comment>
    <comment ref="A72" authorId="0" shapeId="0" xr:uid="{00000000-0006-0000-0100-00003D000000}">
      <text>
        <r>
          <rPr>
            <sz val="9"/>
            <color indexed="81"/>
            <rFont val="Tahoma"/>
            <family val="2"/>
          </rPr>
          <t xml:space="preserve">
La suma del % de peso físico de las subactividades debe de dar el 100% de la actividad.</t>
        </r>
      </text>
    </comment>
    <comment ref="A73" authorId="0" shapeId="0" xr:uid="{00000000-0006-0000-0100-00003E000000}">
      <text>
        <r>
          <rPr>
            <sz val="9"/>
            <color indexed="81"/>
            <rFont val="Tahoma"/>
            <family val="2"/>
          </rPr>
          <t xml:space="preserve">
La suma del % de peso físico de las actividades debe de dar el 100% del alcance.</t>
        </r>
      </text>
    </comment>
    <comment ref="A74" authorId="0" shapeId="0" xr:uid="{00000000-0006-0000-0100-00003F000000}">
      <text>
        <r>
          <rPr>
            <sz val="9"/>
            <color indexed="81"/>
            <rFont val="Tahoma"/>
            <family val="2"/>
          </rPr>
          <t xml:space="preserve">
La suma del % de peso físico de las subactividades debe de dar el 100% de la actividad.</t>
        </r>
      </text>
    </comment>
    <comment ref="A75" authorId="0" shapeId="0" xr:uid="{00000000-0006-0000-0100-000040000000}">
      <text>
        <r>
          <rPr>
            <sz val="9"/>
            <color indexed="81"/>
            <rFont val="Tahoma"/>
            <family val="2"/>
          </rPr>
          <t xml:space="preserve">
La suma del % de peso físico de las subactividades debe de dar el 100% de la actividad.</t>
        </r>
      </text>
    </comment>
    <comment ref="A76" authorId="0" shapeId="0" xr:uid="{00000000-0006-0000-0100-000041000000}">
      <text>
        <r>
          <rPr>
            <sz val="9"/>
            <color indexed="81"/>
            <rFont val="Tahoma"/>
            <family val="2"/>
          </rPr>
          <t xml:space="preserve">
La suma del % de peso físico de las subactividades debe de dar el 100% de la actividad.</t>
        </r>
      </text>
    </comment>
    <comment ref="A77" authorId="0" shapeId="0" xr:uid="{00000000-0006-0000-0100-000042000000}">
      <text>
        <r>
          <rPr>
            <sz val="9"/>
            <color indexed="81"/>
            <rFont val="Tahoma"/>
            <family val="2"/>
          </rPr>
          <t xml:space="preserve">
La suma del % de peso físico de las subactividades debe de dar el 100% de la actividad.</t>
        </r>
      </text>
    </comment>
    <comment ref="A78" authorId="0" shapeId="0" xr:uid="{00000000-0006-0000-0100-000043000000}">
      <text>
        <r>
          <rPr>
            <sz val="9"/>
            <color indexed="81"/>
            <rFont val="Tahoma"/>
            <family val="2"/>
          </rPr>
          <t xml:space="preserve">
La suma del % de peso físico de las subactividades debe de dar el 100% de la actividad.</t>
        </r>
      </text>
    </comment>
    <comment ref="A79" authorId="0" shapeId="0" xr:uid="{00000000-0006-0000-0100-000044000000}">
      <text>
        <r>
          <rPr>
            <sz val="9"/>
            <color indexed="81"/>
            <rFont val="Tahoma"/>
            <family val="2"/>
          </rPr>
          <t xml:space="preserve">
la suma del % de peso físico de los alcances debe de dar el 100% del producto a obtener.</t>
        </r>
      </text>
    </comment>
    <comment ref="A80" authorId="0" shapeId="0" xr:uid="{00000000-0006-0000-0100-000045000000}">
      <text>
        <r>
          <rPr>
            <sz val="9"/>
            <color indexed="81"/>
            <rFont val="Tahoma"/>
            <family val="2"/>
          </rPr>
          <t xml:space="preserve">
La suma del % de peso físico de las actividades debe de dar el 100% del alcance.</t>
        </r>
      </text>
    </comment>
    <comment ref="A81" authorId="0" shapeId="0" xr:uid="{00000000-0006-0000-0100-000046000000}">
      <text>
        <r>
          <rPr>
            <sz val="9"/>
            <color indexed="81"/>
            <rFont val="Tahoma"/>
            <family val="2"/>
          </rPr>
          <t xml:space="preserve">
La suma del % de peso físico de las subactividades debe de dar el 100% de la actividad.</t>
        </r>
      </text>
    </comment>
    <comment ref="A82" authorId="0" shapeId="0" xr:uid="{00000000-0006-0000-0100-000047000000}">
      <text>
        <r>
          <rPr>
            <sz val="9"/>
            <color indexed="81"/>
            <rFont val="Tahoma"/>
            <family val="2"/>
          </rPr>
          <t xml:space="preserve">
La suma del % de peso físico de las subactividades debe de dar el 100% de la actividad.</t>
        </r>
      </text>
    </comment>
    <comment ref="A83" authorId="0" shapeId="0" xr:uid="{00000000-0006-0000-0100-000048000000}">
      <text>
        <r>
          <rPr>
            <sz val="9"/>
            <color indexed="81"/>
            <rFont val="Tahoma"/>
            <family val="2"/>
          </rPr>
          <t xml:space="preserve">
La suma del % de peso físico de las subactividades debe de dar el 100% de la actividad.</t>
        </r>
      </text>
    </comment>
    <comment ref="A84" authorId="0" shapeId="0" xr:uid="{00000000-0006-0000-0100-000049000000}">
      <text>
        <r>
          <rPr>
            <sz val="9"/>
            <color indexed="81"/>
            <rFont val="Tahoma"/>
            <family val="2"/>
          </rPr>
          <t xml:space="preserve">
La suma del % de peso físico de las subactividades debe de dar el 100% de la actividad.</t>
        </r>
      </text>
    </comment>
    <comment ref="A85" authorId="0" shapeId="0" xr:uid="{00000000-0006-0000-0100-00004A000000}">
      <text>
        <r>
          <rPr>
            <sz val="9"/>
            <color indexed="81"/>
            <rFont val="Tahoma"/>
            <family val="2"/>
          </rPr>
          <t xml:space="preserve">
La suma del % de peso físico de las subactividades debe de dar el 100% de la actividad.</t>
        </r>
      </text>
    </comment>
    <comment ref="A86" authorId="0" shapeId="0" xr:uid="{00000000-0006-0000-0100-00004B000000}">
      <text>
        <r>
          <rPr>
            <sz val="9"/>
            <color indexed="81"/>
            <rFont val="Tahoma"/>
            <family val="2"/>
          </rPr>
          <t xml:space="preserve">
La suma del % de peso físico de las actividades debe de dar el 100% del alcance.</t>
        </r>
      </text>
    </comment>
    <comment ref="A87" authorId="0" shapeId="0" xr:uid="{00000000-0006-0000-0100-00004C000000}">
      <text>
        <r>
          <rPr>
            <sz val="9"/>
            <color indexed="81"/>
            <rFont val="Tahoma"/>
            <family val="2"/>
          </rPr>
          <t xml:space="preserve">
La suma del % de peso físico de las subactividades debe de dar el 100% de la actividad.</t>
        </r>
      </text>
    </comment>
    <comment ref="A88" authorId="0" shapeId="0" xr:uid="{00000000-0006-0000-0100-00004D000000}">
      <text>
        <r>
          <rPr>
            <sz val="9"/>
            <color indexed="81"/>
            <rFont val="Tahoma"/>
            <family val="2"/>
          </rPr>
          <t xml:space="preserve">
La suma del % de peso físico de las subactividades debe de dar el 100% de la actividad.</t>
        </r>
      </text>
    </comment>
    <comment ref="A89" authorId="0" shapeId="0" xr:uid="{00000000-0006-0000-0100-00004E000000}">
      <text>
        <r>
          <rPr>
            <sz val="9"/>
            <color indexed="81"/>
            <rFont val="Tahoma"/>
            <family val="2"/>
          </rPr>
          <t xml:space="preserve">
La suma del % de peso físico de las subactividades debe de dar el 100% de la actividad.</t>
        </r>
      </text>
    </comment>
    <comment ref="A90" authorId="0" shapeId="0" xr:uid="{00000000-0006-0000-0100-00004F000000}">
      <text>
        <r>
          <rPr>
            <sz val="9"/>
            <color indexed="81"/>
            <rFont val="Tahoma"/>
            <family val="2"/>
          </rPr>
          <t xml:space="preserve">
La suma del % de peso físico de las subactividades debe de dar el 100% de la actividad.</t>
        </r>
      </text>
    </comment>
    <comment ref="A91" authorId="0" shapeId="0" xr:uid="{00000000-0006-0000-0100-000050000000}">
      <text>
        <r>
          <rPr>
            <sz val="9"/>
            <color indexed="81"/>
            <rFont val="Tahoma"/>
            <family val="2"/>
          </rPr>
          <t xml:space="preserve">
La suma del % de peso físico de las subactividades debe de dar el 100% de la actividad.</t>
        </r>
      </text>
    </comment>
    <comment ref="A92" authorId="0" shapeId="0" xr:uid="{00000000-0006-0000-0100-000051000000}">
      <text>
        <r>
          <rPr>
            <sz val="9"/>
            <color indexed="81"/>
            <rFont val="Tahoma"/>
            <family val="2"/>
          </rPr>
          <t xml:space="preserve">
La suma del % de peso físico de las actividades debe de dar el 100% del alcance.</t>
        </r>
      </text>
    </comment>
    <comment ref="A93" authorId="0" shapeId="0" xr:uid="{00000000-0006-0000-0100-000052000000}">
      <text>
        <r>
          <rPr>
            <sz val="9"/>
            <color indexed="81"/>
            <rFont val="Tahoma"/>
            <family val="2"/>
          </rPr>
          <t xml:space="preserve">
La suma del % de peso físico de las subactividades debe de dar el 100% de la actividad.</t>
        </r>
      </text>
    </comment>
    <comment ref="A94" authorId="0" shapeId="0" xr:uid="{00000000-0006-0000-0100-000053000000}">
      <text>
        <r>
          <rPr>
            <sz val="9"/>
            <color indexed="81"/>
            <rFont val="Tahoma"/>
            <family val="2"/>
          </rPr>
          <t xml:space="preserve">
La suma del % de peso físico de las subactividades debe de dar el 100% de la actividad.</t>
        </r>
      </text>
    </comment>
    <comment ref="A95" authorId="0" shapeId="0" xr:uid="{00000000-0006-0000-0100-000054000000}">
      <text>
        <r>
          <rPr>
            <sz val="9"/>
            <color indexed="81"/>
            <rFont val="Tahoma"/>
            <family val="2"/>
          </rPr>
          <t xml:space="preserve">
La suma del % de peso físico de las subactividades debe de dar el 100% de la actividad.</t>
        </r>
      </text>
    </comment>
    <comment ref="A96" authorId="0" shapeId="0" xr:uid="{00000000-0006-0000-0100-000055000000}">
      <text>
        <r>
          <rPr>
            <sz val="9"/>
            <color indexed="81"/>
            <rFont val="Tahoma"/>
            <family val="2"/>
          </rPr>
          <t xml:space="preserve">
La suma del % de peso físico de las subactividades debe de dar el 100% de la actividad.</t>
        </r>
      </text>
    </comment>
    <comment ref="A97" authorId="0" shapeId="0" xr:uid="{00000000-0006-0000-0100-000056000000}">
      <text>
        <r>
          <rPr>
            <sz val="9"/>
            <color indexed="81"/>
            <rFont val="Tahoma"/>
            <family val="2"/>
          </rPr>
          <t xml:space="preserve">
La suma del % de peso físico de las subactividades debe de dar el 100% de la actividad.</t>
        </r>
      </text>
    </comment>
    <comment ref="A98" authorId="0" shapeId="0" xr:uid="{00000000-0006-0000-0100-000057000000}">
      <text>
        <r>
          <rPr>
            <sz val="9"/>
            <color indexed="81"/>
            <rFont val="Tahoma"/>
            <family val="2"/>
          </rPr>
          <t xml:space="preserve">
La suma del % de peso físico de las actividades debe de dar el 100% del alcance.</t>
        </r>
      </text>
    </comment>
    <comment ref="A99" authorId="0" shapeId="0" xr:uid="{00000000-0006-0000-0100-000058000000}">
      <text>
        <r>
          <rPr>
            <sz val="9"/>
            <color indexed="81"/>
            <rFont val="Tahoma"/>
            <family val="2"/>
          </rPr>
          <t xml:space="preserve">
La suma del % de peso físico de las subactividades debe de dar el 100% de la actividad.</t>
        </r>
      </text>
    </comment>
    <comment ref="A100" authorId="0" shapeId="0" xr:uid="{00000000-0006-0000-0100-000059000000}">
      <text>
        <r>
          <rPr>
            <sz val="9"/>
            <color indexed="81"/>
            <rFont val="Tahoma"/>
            <family val="2"/>
          </rPr>
          <t xml:space="preserve">
La suma del % de peso físico de las subactividades debe de dar el 100% de la actividad.</t>
        </r>
      </text>
    </comment>
    <comment ref="A101" authorId="0" shapeId="0" xr:uid="{00000000-0006-0000-0100-00005A000000}">
      <text>
        <r>
          <rPr>
            <sz val="9"/>
            <color indexed="81"/>
            <rFont val="Tahoma"/>
            <family val="2"/>
          </rPr>
          <t xml:space="preserve">
La suma del % de peso físico de las subactividades debe de dar el 100% de la actividad.</t>
        </r>
      </text>
    </comment>
    <comment ref="A102" authorId="0" shapeId="0" xr:uid="{00000000-0006-0000-0100-00005B000000}">
      <text>
        <r>
          <rPr>
            <sz val="9"/>
            <color indexed="81"/>
            <rFont val="Tahoma"/>
            <family val="2"/>
          </rPr>
          <t xml:space="preserve">
La suma del % de peso físico de las subactividades debe de dar el 100% de la actividad.</t>
        </r>
      </text>
    </comment>
    <comment ref="A103" authorId="0" shapeId="0" xr:uid="{00000000-0006-0000-0100-00005C000000}">
      <text>
        <r>
          <rPr>
            <sz val="9"/>
            <color indexed="81"/>
            <rFont val="Tahoma"/>
            <family val="2"/>
          </rPr>
          <t xml:space="preserve">
La suma del % de peso físico de las subactividades debe de dar el 100% de la actividad.</t>
        </r>
      </text>
    </comment>
    <comment ref="A104" authorId="0" shapeId="0" xr:uid="{00000000-0006-0000-0100-00005D000000}">
      <text>
        <r>
          <rPr>
            <sz val="9"/>
            <color indexed="81"/>
            <rFont val="Tahoma"/>
            <family val="2"/>
          </rPr>
          <t xml:space="preserve">
La suma del % de peso físico de las actividades debe de dar el 100% del alcance.</t>
        </r>
      </text>
    </comment>
    <comment ref="A105" authorId="0" shapeId="0" xr:uid="{00000000-0006-0000-0100-00005E000000}">
      <text>
        <r>
          <rPr>
            <sz val="9"/>
            <color indexed="81"/>
            <rFont val="Tahoma"/>
            <family val="2"/>
          </rPr>
          <t xml:space="preserve">
La suma del % de peso físico de las subactividades debe de dar el 100% de la actividad.</t>
        </r>
      </text>
    </comment>
    <comment ref="A106" authorId="0" shapeId="0" xr:uid="{00000000-0006-0000-0100-00005F000000}">
      <text>
        <r>
          <rPr>
            <sz val="9"/>
            <color indexed="81"/>
            <rFont val="Tahoma"/>
            <family val="2"/>
          </rPr>
          <t xml:space="preserve">
La suma del % de peso físico de las subactividades debe de dar el 100% de la actividad.</t>
        </r>
      </text>
    </comment>
    <comment ref="A107" authorId="0" shapeId="0" xr:uid="{00000000-0006-0000-0100-000060000000}">
      <text>
        <r>
          <rPr>
            <sz val="9"/>
            <color indexed="81"/>
            <rFont val="Tahoma"/>
            <family val="2"/>
          </rPr>
          <t xml:space="preserve">
La suma del % de peso físico de las subactividades debe de dar el 100% de la actividad.</t>
        </r>
      </text>
    </comment>
    <comment ref="A108" authorId="0" shapeId="0" xr:uid="{00000000-0006-0000-0100-000061000000}">
      <text>
        <r>
          <rPr>
            <sz val="9"/>
            <color indexed="81"/>
            <rFont val="Tahoma"/>
            <family val="2"/>
          </rPr>
          <t xml:space="preserve">
La suma del % de peso físico de las subactividades debe de dar el 100% de la actividad.</t>
        </r>
      </text>
    </comment>
    <comment ref="A109" authorId="0" shapeId="0" xr:uid="{00000000-0006-0000-0100-000062000000}">
      <text>
        <r>
          <rPr>
            <sz val="9"/>
            <color indexed="81"/>
            <rFont val="Tahoma"/>
            <family val="2"/>
          </rPr>
          <t xml:space="preserve">
La suma del % de peso físico de las subactividades debe de dar el 100% de la actividad.</t>
        </r>
      </text>
    </comment>
    <comment ref="A110" authorId="0" shapeId="0" xr:uid="{00000000-0006-0000-0100-000063000000}">
      <text>
        <r>
          <rPr>
            <sz val="9"/>
            <color indexed="81"/>
            <rFont val="Tahoma"/>
            <family val="2"/>
          </rPr>
          <t xml:space="preserve">
la suma del % de peso físico de los alcances debe de dar el 100% del producto a obtener.</t>
        </r>
      </text>
    </comment>
    <comment ref="A111" authorId="0" shapeId="0" xr:uid="{00000000-0006-0000-0100-000064000000}">
      <text>
        <r>
          <rPr>
            <sz val="9"/>
            <color indexed="81"/>
            <rFont val="Tahoma"/>
            <family val="2"/>
          </rPr>
          <t xml:space="preserve">
La suma del % de peso físico de las actividades debe de dar el 100% del alcance.</t>
        </r>
      </text>
    </comment>
    <comment ref="A112" authorId="0" shapeId="0" xr:uid="{00000000-0006-0000-0100-000065000000}">
      <text>
        <r>
          <rPr>
            <sz val="9"/>
            <color indexed="81"/>
            <rFont val="Tahoma"/>
            <family val="2"/>
          </rPr>
          <t xml:space="preserve">
La suma del % de peso físico de las subactividades debe de dar el 100% de la actividad.</t>
        </r>
      </text>
    </comment>
    <comment ref="A113" authorId="0" shapeId="0" xr:uid="{00000000-0006-0000-0100-000066000000}">
      <text>
        <r>
          <rPr>
            <sz val="9"/>
            <color indexed="81"/>
            <rFont val="Tahoma"/>
            <family val="2"/>
          </rPr>
          <t xml:space="preserve">
La suma del % de peso físico de las subactividades debe de dar el 100% de la actividad.</t>
        </r>
      </text>
    </comment>
    <comment ref="A114" authorId="0" shapeId="0" xr:uid="{00000000-0006-0000-0100-000067000000}">
      <text>
        <r>
          <rPr>
            <sz val="9"/>
            <color indexed="81"/>
            <rFont val="Tahoma"/>
            <family val="2"/>
          </rPr>
          <t xml:space="preserve">
La suma del % de peso físico de las subactividades debe de dar el 100% de la actividad.</t>
        </r>
      </text>
    </comment>
    <comment ref="A115" authorId="0" shapeId="0" xr:uid="{00000000-0006-0000-0100-000068000000}">
      <text>
        <r>
          <rPr>
            <sz val="9"/>
            <color indexed="81"/>
            <rFont val="Tahoma"/>
            <family val="2"/>
          </rPr>
          <t xml:space="preserve">
La suma del % de peso físico de las subactividades debe de dar el 100% de la actividad.</t>
        </r>
      </text>
    </comment>
    <comment ref="A116" authorId="0" shapeId="0" xr:uid="{00000000-0006-0000-0100-000069000000}">
      <text>
        <r>
          <rPr>
            <sz val="9"/>
            <color indexed="81"/>
            <rFont val="Tahoma"/>
            <family val="2"/>
          </rPr>
          <t xml:space="preserve">
La suma del % de peso físico de las subactividades debe de dar el 100% de la actividad.</t>
        </r>
      </text>
    </comment>
    <comment ref="A117" authorId="0" shapeId="0" xr:uid="{00000000-0006-0000-0100-00006A000000}">
      <text>
        <r>
          <rPr>
            <sz val="9"/>
            <color indexed="81"/>
            <rFont val="Tahoma"/>
            <family val="2"/>
          </rPr>
          <t xml:space="preserve">
La suma del % de peso físico de las actividades debe de dar el 100% del alcance.</t>
        </r>
      </text>
    </comment>
    <comment ref="A118" authorId="0" shapeId="0" xr:uid="{00000000-0006-0000-0100-00006B000000}">
      <text>
        <r>
          <rPr>
            <sz val="9"/>
            <color indexed="81"/>
            <rFont val="Tahoma"/>
            <family val="2"/>
          </rPr>
          <t xml:space="preserve">
La suma del % de peso físico de las subactividades debe de dar el 100% de la actividad.</t>
        </r>
      </text>
    </comment>
    <comment ref="A119" authorId="0" shapeId="0" xr:uid="{00000000-0006-0000-0100-00006C000000}">
      <text>
        <r>
          <rPr>
            <sz val="9"/>
            <color indexed="81"/>
            <rFont val="Tahoma"/>
            <family val="2"/>
          </rPr>
          <t xml:space="preserve">
La suma del % de peso físico de las subactividades debe de dar el 100% de la actividad.</t>
        </r>
      </text>
    </comment>
    <comment ref="A120" authorId="0" shapeId="0" xr:uid="{00000000-0006-0000-0100-00006D000000}">
      <text>
        <r>
          <rPr>
            <sz val="9"/>
            <color indexed="81"/>
            <rFont val="Tahoma"/>
            <family val="2"/>
          </rPr>
          <t xml:space="preserve">
La suma del % de peso físico de las subactividades debe de dar el 100% de la actividad.</t>
        </r>
      </text>
    </comment>
    <comment ref="A121" authorId="0" shapeId="0" xr:uid="{00000000-0006-0000-0100-00006E000000}">
      <text>
        <r>
          <rPr>
            <sz val="9"/>
            <color indexed="81"/>
            <rFont val="Tahoma"/>
            <family val="2"/>
          </rPr>
          <t xml:space="preserve">
La suma del % de peso físico de las subactividades debe de dar el 100% de la actividad.</t>
        </r>
      </text>
    </comment>
    <comment ref="A122" authorId="0" shapeId="0" xr:uid="{00000000-0006-0000-0100-00006F000000}">
      <text>
        <r>
          <rPr>
            <sz val="9"/>
            <color indexed="81"/>
            <rFont val="Tahoma"/>
            <family val="2"/>
          </rPr>
          <t xml:space="preserve">
La suma del % de peso físico de las subactividades debe de dar el 100% de la actividad.</t>
        </r>
      </text>
    </comment>
    <comment ref="A123" authorId="0" shapeId="0" xr:uid="{00000000-0006-0000-0100-000070000000}">
      <text>
        <r>
          <rPr>
            <sz val="9"/>
            <color indexed="81"/>
            <rFont val="Tahoma"/>
            <family val="2"/>
          </rPr>
          <t xml:space="preserve">
La suma del % de peso físico de las actividades debe de dar el 100% del alcance.</t>
        </r>
      </text>
    </comment>
    <comment ref="A124" authorId="0" shapeId="0" xr:uid="{00000000-0006-0000-0100-000071000000}">
      <text>
        <r>
          <rPr>
            <sz val="9"/>
            <color indexed="81"/>
            <rFont val="Tahoma"/>
            <family val="2"/>
          </rPr>
          <t xml:space="preserve">
La suma del % de peso físico de las subactividades debe de dar el 100% de la actividad.</t>
        </r>
      </text>
    </comment>
    <comment ref="A125" authorId="0" shapeId="0" xr:uid="{00000000-0006-0000-0100-000072000000}">
      <text>
        <r>
          <rPr>
            <sz val="9"/>
            <color indexed="81"/>
            <rFont val="Tahoma"/>
            <family val="2"/>
          </rPr>
          <t xml:space="preserve">
La suma del % de peso físico de las subactividades debe de dar el 100% de la actividad.</t>
        </r>
      </text>
    </comment>
    <comment ref="A126" authorId="0" shapeId="0" xr:uid="{00000000-0006-0000-0100-000073000000}">
      <text>
        <r>
          <rPr>
            <sz val="9"/>
            <color indexed="81"/>
            <rFont val="Tahoma"/>
            <family val="2"/>
          </rPr>
          <t xml:space="preserve">
La suma del % de peso físico de las subactividades debe de dar el 100% de la actividad.</t>
        </r>
      </text>
    </comment>
    <comment ref="A127" authorId="0" shapeId="0" xr:uid="{00000000-0006-0000-0100-000074000000}">
      <text>
        <r>
          <rPr>
            <sz val="9"/>
            <color indexed="81"/>
            <rFont val="Tahoma"/>
            <family val="2"/>
          </rPr>
          <t xml:space="preserve">
La suma del % de peso físico de las subactividades debe de dar el 100% de la actividad.</t>
        </r>
      </text>
    </comment>
    <comment ref="A128" authorId="0" shapeId="0" xr:uid="{00000000-0006-0000-0100-000075000000}">
      <text>
        <r>
          <rPr>
            <sz val="9"/>
            <color indexed="81"/>
            <rFont val="Tahoma"/>
            <family val="2"/>
          </rPr>
          <t xml:space="preserve">
La suma del % de peso físico de las subactividades debe de dar el 100% de la actividad.</t>
        </r>
      </text>
    </comment>
    <comment ref="A129" authorId="0" shapeId="0" xr:uid="{00000000-0006-0000-0100-000076000000}">
      <text>
        <r>
          <rPr>
            <sz val="9"/>
            <color indexed="81"/>
            <rFont val="Tahoma"/>
            <family val="2"/>
          </rPr>
          <t xml:space="preserve">
La suma del % de peso físico de las actividades debe de dar el 100% del alcance.</t>
        </r>
      </text>
    </comment>
    <comment ref="A130" authorId="0" shapeId="0" xr:uid="{00000000-0006-0000-0100-000077000000}">
      <text>
        <r>
          <rPr>
            <sz val="9"/>
            <color indexed="81"/>
            <rFont val="Tahoma"/>
            <family val="2"/>
          </rPr>
          <t xml:space="preserve">
La suma del % de peso físico de las subactividades debe de dar el 100% de la actividad.</t>
        </r>
      </text>
    </comment>
    <comment ref="A131" authorId="0" shapeId="0" xr:uid="{00000000-0006-0000-0100-000078000000}">
      <text>
        <r>
          <rPr>
            <sz val="9"/>
            <color indexed="81"/>
            <rFont val="Tahoma"/>
            <family val="2"/>
          </rPr>
          <t xml:space="preserve">
La suma del % de peso físico de las subactividades debe de dar el 100% de la actividad.</t>
        </r>
      </text>
    </comment>
    <comment ref="A132" authorId="0" shapeId="0" xr:uid="{00000000-0006-0000-0100-000079000000}">
      <text>
        <r>
          <rPr>
            <sz val="9"/>
            <color indexed="81"/>
            <rFont val="Tahoma"/>
            <family val="2"/>
          </rPr>
          <t xml:space="preserve">
La suma del % de peso físico de las subactividades debe de dar el 100% de la actividad.</t>
        </r>
      </text>
    </comment>
    <comment ref="A133" authorId="0" shapeId="0" xr:uid="{00000000-0006-0000-0100-00007A000000}">
      <text>
        <r>
          <rPr>
            <sz val="9"/>
            <color indexed="81"/>
            <rFont val="Tahoma"/>
            <family val="2"/>
          </rPr>
          <t xml:space="preserve">
La suma del % de peso físico de las subactividades debe de dar el 100% de la actividad.</t>
        </r>
      </text>
    </comment>
    <comment ref="A134" authorId="0" shapeId="0" xr:uid="{00000000-0006-0000-0100-00007B000000}">
      <text>
        <r>
          <rPr>
            <sz val="9"/>
            <color indexed="81"/>
            <rFont val="Tahoma"/>
            <family val="2"/>
          </rPr>
          <t xml:space="preserve">
La suma del % de peso físico de las subactividades debe de dar el 100% de la actividad.</t>
        </r>
      </text>
    </comment>
    <comment ref="A135" authorId="0" shapeId="0" xr:uid="{00000000-0006-0000-0100-00007C000000}">
      <text>
        <r>
          <rPr>
            <sz val="9"/>
            <color indexed="81"/>
            <rFont val="Tahoma"/>
            <family val="2"/>
          </rPr>
          <t xml:space="preserve">
La suma del % de peso físico de las actividades debe de dar el 100% del alcance.</t>
        </r>
      </text>
    </comment>
    <comment ref="A136" authorId="0" shapeId="0" xr:uid="{00000000-0006-0000-0100-00007D000000}">
      <text>
        <r>
          <rPr>
            <sz val="9"/>
            <color indexed="81"/>
            <rFont val="Tahoma"/>
            <family val="2"/>
          </rPr>
          <t xml:space="preserve">
La suma del % de peso físico de las subactividades debe de dar el 100% de la actividad.</t>
        </r>
      </text>
    </comment>
    <comment ref="A137" authorId="0" shapeId="0" xr:uid="{00000000-0006-0000-0100-00007E000000}">
      <text>
        <r>
          <rPr>
            <sz val="9"/>
            <color indexed="81"/>
            <rFont val="Tahoma"/>
            <family val="2"/>
          </rPr>
          <t xml:space="preserve">
La suma del % de peso físico de las subactividades debe de dar el 100% de la actividad.</t>
        </r>
      </text>
    </comment>
    <comment ref="A138" authorId="0" shapeId="0" xr:uid="{00000000-0006-0000-0100-00007F000000}">
      <text>
        <r>
          <rPr>
            <sz val="9"/>
            <color indexed="81"/>
            <rFont val="Tahoma"/>
            <family val="2"/>
          </rPr>
          <t xml:space="preserve">
La suma del % de peso físico de las subactividades debe de dar el 100% de la actividad.</t>
        </r>
      </text>
    </comment>
    <comment ref="A139" authorId="0" shapeId="0" xr:uid="{00000000-0006-0000-0100-000080000000}">
      <text>
        <r>
          <rPr>
            <sz val="9"/>
            <color indexed="81"/>
            <rFont val="Tahoma"/>
            <family val="2"/>
          </rPr>
          <t xml:space="preserve">
La suma del % de peso físico de las subactividades debe de dar el 100% de la actividad.</t>
        </r>
      </text>
    </comment>
    <comment ref="A140" authorId="0" shapeId="0" xr:uid="{00000000-0006-0000-0100-000081000000}">
      <text>
        <r>
          <rPr>
            <sz val="9"/>
            <color indexed="81"/>
            <rFont val="Tahoma"/>
            <family val="2"/>
          </rPr>
          <t xml:space="preserve">
La suma del % de peso físico de las subactividades debe de dar el 100% de la actividad.</t>
        </r>
      </text>
    </comment>
    <comment ref="A141" authorId="0" shapeId="0" xr:uid="{00000000-0006-0000-0100-000082000000}">
      <text>
        <r>
          <rPr>
            <sz val="9"/>
            <color indexed="81"/>
            <rFont val="Tahoma"/>
            <family val="2"/>
          </rPr>
          <t xml:space="preserve">
la suma del % de peso físico de los alcances debe de dar el 100% del producto a obtener.</t>
        </r>
      </text>
    </comment>
    <comment ref="A142" authorId="0" shapeId="0" xr:uid="{00000000-0006-0000-0100-000083000000}">
      <text>
        <r>
          <rPr>
            <sz val="9"/>
            <color indexed="81"/>
            <rFont val="Tahoma"/>
            <family val="2"/>
          </rPr>
          <t xml:space="preserve">
La suma del % de peso físico de las actividades debe de dar el 100% del alcance.</t>
        </r>
      </text>
    </comment>
    <comment ref="A143" authorId="0" shapeId="0" xr:uid="{00000000-0006-0000-0100-000084000000}">
      <text>
        <r>
          <rPr>
            <sz val="9"/>
            <color indexed="81"/>
            <rFont val="Tahoma"/>
            <family val="2"/>
          </rPr>
          <t xml:space="preserve">
La suma del % de peso físico de las subactividades debe de dar el 100% de la actividad.</t>
        </r>
      </text>
    </comment>
    <comment ref="A144" authorId="0" shapeId="0" xr:uid="{00000000-0006-0000-0100-000085000000}">
      <text>
        <r>
          <rPr>
            <sz val="9"/>
            <color indexed="81"/>
            <rFont val="Tahoma"/>
            <family val="2"/>
          </rPr>
          <t xml:space="preserve">
La suma del % de peso físico de las subactividades debe de dar el 100% de la actividad.</t>
        </r>
      </text>
    </comment>
    <comment ref="A145" authorId="0" shapeId="0" xr:uid="{00000000-0006-0000-0100-000086000000}">
      <text>
        <r>
          <rPr>
            <sz val="9"/>
            <color indexed="81"/>
            <rFont val="Tahoma"/>
            <family val="2"/>
          </rPr>
          <t xml:space="preserve">
La suma del % de peso físico de las subactividades debe de dar el 100% de la actividad.</t>
        </r>
      </text>
    </comment>
    <comment ref="A146" authorId="0" shapeId="0" xr:uid="{00000000-0006-0000-0100-000087000000}">
      <text>
        <r>
          <rPr>
            <sz val="9"/>
            <color indexed="81"/>
            <rFont val="Tahoma"/>
            <family val="2"/>
          </rPr>
          <t xml:space="preserve">
La suma del % de peso físico de las subactividades debe de dar el 100% de la actividad.</t>
        </r>
      </text>
    </comment>
    <comment ref="A147" authorId="0" shapeId="0" xr:uid="{00000000-0006-0000-0100-000088000000}">
      <text>
        <r>
          <rPr>
            <sz val="9"/>
            <color indexed="81"/>
            <rFont val="Tahoma"/>
            <family val="2"/>
          </rPr>
          <t xml:space="preserve">
La suma del % de peso físico de las subactividades debe de dar el 100% de la actividad.</t>
        </r>
      </text>
    </comment>
    <comment ref="A148" authorId="0" shapeId="0" xr:uid="{00000000-0006-0000-0100-000089000000}">
      <text>
        <r>
          <rPr>
            <sz val="9"/>
            <color indexed="81"/>
            <rFont val="Tahoma"/>
            <family val="2"/>
          </rPr>
          <t xml:space="preserve">
La suma del % de peso físico de las actividades debe de dar el 100% del alcance.</t>
        </r>
      </text>
    </comment>
    <comment ref="A149" authorId="0" shapeId="0" xr:uid="{00000000-0006-0000-0100-00008A000000}">
      <text>
        <r>
          <rPr>
            <sz val="9"/>
            <color indexed="81"/>
            <rFont val="Tahoma"/>
            <family val="2"/>
          </rPr>
          <t xml:space="preserve">
La suma del % de peso físico de las subactividades debe de dar el 100% de la actividad.</t>
        </r>
      </text>
    </comment>
    <comment ref="A150" authorId="0" shapeId="0" xr:uid="{00000000-0006-0000-0100-00008B000000}">
      <text>
        <r>
          <rPr>
            <sz val="9"/>
            <color indexed="81"/>
            <rFont val="Tahoma"/>
            <family val="2"/>
          </rPr>
          <t xml:space="preserve">
La suma del % de peso físico de las subactividades debe de dar el 100% de la actividad.</t>
        </r>
      </text>
    </comment>
    <comment ref="A151" authorId="0" shapeId="0" xr:uid="{00000000-0006-0000-0100-00008C000000}">
      <text>
        <r>
          <rPr>
            <sz val="9"/>
            <color indexed="81"/>
            <rFont val="Tahoma"/>
            <family val="2"/>
          </rPr>
          <t xml:space="preserve">
La suma del % de peso físico de las subactividades debe de dar el 100% de la actividad.</t>
        </r>
      </text>
    </comment>
    <comment ref="A152" authorId="0" shapeId="0" xr:uid="{00000000-0006-0000-0100-00008D000000}">
      <text>
        <r>
          <rPr>
            <sz val="9"/>
            <color indexed="81"/>
            <rFont val="Tahoma"/>
            <family val="2"/>
          </rPr>
          <t xml:space="preserve">
La suma del % de peso físico de las subactividades debe de dar el 100% de la actividad.</t>
        </r>
      </text>
    </comment>
    <comment ref="A153" authorId="0" shapeId="0" xr:uid="{00000000-0006-0000-0100-00008E000000}">
      <text>
        <r>
          <rPr>
            <sz val="9"/>
            <color indexed="81"/>
            <rFont val="Tahoma"/>
            <family val="2"/>
          </rPr>
          <t xml:space="preserve">
La suma del % de peso físico de las subactividades debe de dar el 100% de la actividad.</t>
        </r>
      </text>
    </comment>
    <comment ref="A154" authorId="0" shapeId="0" xr:uid="{00000000-0006-0000-0100-00008F000000}">
      <text>
        <r>
          <rPr>
            <sz val="9"/>
            <color indexed="81"/>
            <rFont val="Tahoma"/>
            <family val="2"/>
          </rPr>
          <t xml:space="preserve">
La suma del % de peso físico de las actividades debe de dar el 100% del alcance.</t>
        </r>
      </text>
    </comment>
    <comment ref="A155" authorId="0" shapeId="0" xr:uid="{00000000-0006-0000-0100-000090000000}">
      <text>
        <r>
          <rPr>
            <sz val="9"/>
            <color indexed="81"/>
            <rFont val="Tahoma"/>
            <family val="2"/>
          </rPr>
          <t xml:space="preserve">
La suma del % de peso físico de las subactividades debe de dar el 100% de la actividad.</t>
        </r>
      </text>
    </comment>
    <comment ref="A156" authorId="0" shapeId="0" xr:uid="{00000000-0006-0000-0100-000091000000}">
      <text>
        <r>
          <rPr>
            <sz val="9"/>
            <color indexed="81"/>
            <rFont val="Tahoma"/>
            <family val="2"/>
          </rPr>
          <t xml:space="preserve">
La suma del % de peso físico de las subactividades debe de dar el 100% de la actividad.</t>
        </r>
      </text>
    </comment>
    <comment ref="A157" authorId="0" shapeId="0" xr:uid="{00000000-0006-0000-0100-000092000000}">
      <text>
        <r>
          <rPr>
            <sz val="9"/>
            <color indexed="81"/>
            <rFont val="Tahoma"/>
            <family val="2"/>
          </rPr>
          <t xml:space="preserve">
La suma del % de peso físico de las subactividades debe de dar el 100% de la actividad.</t>
        </r>
      </text>
    </comment>
    <comment ref="A158" authorId="0" shapeId="0" xr:uid="{00000000-0006-0000-0100-000093000000}">
      <text>
        <r>
          <rPr>
            <sz val="9"/>
            <color indexed="81"/>
            <rFont val="Tahoma"/>
            <family val="2"/>
          </rPr>
          <t xml:space="preserve">
La suma del % de peso físico de las subactividades debe de dar el 100% de la actividad.</t>
        </r>
      </text>
    </comment>
    <comment ref="A159" authorId="0" shapeId="0" xr:uid="{00000000-0006-0000-0100-000094000000}">
      <text>
        <r>
          <rPr>
            <sz val="9"/>
            <color indexed="81"/>
            <rFont val="Tahoma"/>
            <family val="2"/>
          </rPr>
          <t xml:space="preserve">
La suma del % de peso físico de las subactividades debe de dar el 100% de la actividad.</t>
        </r>
      </text>
    </comment>
    <comment ref="A160" authorId="0" shapeId="0" xr:uid="{00000000-0006-0000-0100-000095000000}">
      <text>
        <r>
          <rPr>
            <sz val="9"/>
            <color indexed="81"/>
            <rFont val="Tahoma"/>
            <family val="2"/>
          </rPr>
          <t xml:space="preserve">
La suma del % de peso físico de las actividades debe de dar el 100% del alcance.</t>
        </r>
      </text>
    </comment>
    <comment ref="A161" authorId="0" shapeId="0" xr:uid="{00000000-0006-0000-0100-000096000000}">
      <text>
        <r>
          <rPr>
            <sz val="9"/>
            <color indexed="81"/>
            <rFont val="Tahoma"/>
            <family val="2"/>
          </rPr>
          <t xml:space="preserve">
La suma del % de peso físico de las subactividades debe de dar el 100% de la actividad.</t>
        </r>
      </text>
    </comment>
    <comment ref="A162" authorId="0" shapeId="0" xr:uid="{00000000-0006-0000-0100-000097000000}">
      <text>
        <r>
          <rPr>
            <sz val="9"/>
            <color indexed="81"/>
            <rFont val="Tahoma"/>
            <family val="2"/>
          </rPr>
          <t xml:space="preserve">
La suma del % de peso físico de las subactividades debe de dar el 100% de la actividad.</t>
        </r>
      </text>
    </comment>
    <comment ref="A163" authorId="0" shapeId="0" xr:uid="{00000000-0006-0000-0100-000098000000}">
      <text>
        <r>
          <rPr>
            <sz val="9"/>
            <color indexed="81"/>
            <rFont val="Tahoma"/>
            <family val="2"/>
          </rPr>
          <t xml:space="preserve">
La suma del % de peso físico de las subactividades debe de dar el 100% de la actividad.</t>
        </r>
      </text>
    </comment>
    <comment ref="A164" authorId="0" shapeId="0" xr:uid="{00000000-0006-0000-0100-000099000000}">
      <text>
        <r>
          <rPr>
            <sz val="9"/>
            <color indexed="81"/>
            <rFont val="Tahoma"/>
            <family val="2"/>
          </rPr>
          <t xml:space="preserve">
La suma del % de peso físico de las subactividades debe de dar el 100% de la actividad.</t>
        </r>
      </text>
    </comment>
    <comment ref="A165" authorId="0" shapeId="0" xr:uid="{00000000-0006-0000-0100-00009A000000}">
      <text>
        <r>
          <rPr>
            <sz val="9"/>
            <color indexed="81"/>
            <rFont val="Tahoma"/>
            <family val="2"/>
          </rPr>
          <t xml:space="preserve">
La suma del % de peso físico de las subactividades debe de dar el 100% de la actividad.</t>
        </r>
      </text>
    </comment>
    <comment ref="A166" authorId="0" shapeId="0" xr:uid="{00000000-0006-0000-0100-00009B000000}">
      <text>
        <r>
          <rPr>
            <sz val="9"/>
            <color indexed="81"/>
            <rFont val="Tahoma"/>
            <family val="2"/>
          </rPr>
          <t xml:space="preserve">
La suma del % de peso físico de las actividades debe de dar el 100% del alcance.</t>
        </r>
      </text>
    </comment>
    <comment ref="A167" authorId="0" shapeId="0" xr:uid="{00000000-0006-0000-0100-00009C000000}">
      <text>
        <r>
          <rPr>
            <sz val="9"/>
            <color indexed="81"/>
            <rFont val="Tahoma"/>
            <family val="2"/>
          </rPr>
          <t xml:space="preserve">
La suma del % de peso físico de las subactividades debe de dar el 100% de la actividad.</t>
        </r>
      </text>
    </comment>
    <comment ref="A168" authorId="0" shapeId="0" xr:uid="{00000000-0006-0000-0100-00009D000000}">
      <text>
        <r>
          <rPr>
            <sz val="9"/>
            <color indexed="81"/>
            <rFont val="Tahoma"/>
            <family val="2"/>
          </rPr>
          <t xml:space="preserve">
La suma del % de peso físico de las subactividades debe de dar el 100% de la actividad.</t>
        </r>
      </text>
    </comment>
    <comment ref="A169" authorId="0" shapeId="0" xr:uid="{00000000-0006-0000-0100-00009E000000}">
      <text>
        <r>
          <rPr>
            <sz val="9"/>
            <color indexed="81"/>
            <rFont val="Tahoma"/>
            <family val="2"/>
          </rPr>
          <t xml:space="preserve">
La suma del % de peso físico de las subactividades debe de dar el 100% de la actividad.</t>
        </r>
      </text>
    </comment>
    <comment ref="A170" authorId="0" shapeId="0" xr:uid="{00000000-0006-0000-0100-00009F000000}">
      <text>
        <r>
          <rPr>
            <sz val="9"/>
            <color indexed="81"/>
            <rFont val="Tahoma"/>
            <family val="2"/>
          </rPr>
          <t xml:space="preserve">
La suma del % de peso físico de las subactividades debe de dar el 100% de la actividad.</t>
        </r>
      </text>
    </comment>
    <comment ref="A171" authorId="0" shapeId="0" xr:uid="{00000000-0006-0000-0100-0000A0000000}">
      <text>
        <r>
          <rPr>
            <sz val="9"/>
            <color indexed="81"/>
            <rFont val="Tahoma"/>
            <family val="2"/>
          </rPr>
          <t xml:space="preserve">
La suma del % de peso físico de las subactividades debe de dar el 100% de la actividad.</t>
        </r>
      </text>
    </comment>
    <comment ref="A172" authorId="0" shapeId="0" xr:uid="{00000000-0006-0000-0100-0000A1000000}">
      <text>
        <r>
          <rPr>
            <sz val="9"/>
            <color indexed="81"/>
            <rFont val="Tahoma"/>
            <family val="2"/>
          </rPr>
          <t xml:space="preserve">
la suma del % de peso físico de los alcances debe de dar el 100% del producto a obtener.</t>
        </r>
      </text>
    </comment>
    <comment ref="A173" authorId="0" shapeId="0" xr:uid="{00000000-0006-0000-0100-0000A2000000}">
      <text>
        <r>
          <rPr>
            <sz val="9"/>
            <color indexed="81"/>
            <rFont val="Tahoma"/>
            <family val="2"/>
          </rPr>
          <t xml:space="preserve">
La suma del % de peso físico de las actividades debe de dar el 100% del alcance.</t>
        </r>
      </text>
    </comment>
    <comment ref="A174" authorId="0" shapeId="0" xr:uid="{00000000-0006-0000-0100-0000A3000000}">
      <text>
        <r>
          <rPr>
            <sz val="9"/>
            <color indexed="81"/>
            <rFont val="Tahoma"/>
            <family val="2"/>
          </rPr>
          <t xml:space="preserve">
La suma del % de peso físico de las subactividades debe de dar el 100% de la actividad.</t>
        </r>
      </text>
    </comment>
    <comment ref="A175" authorId="0" shapeId="0" xr:uid="{00000000-0006-0000-0100-0000A4000000}">
      <text>
        <r>
          <rPr>
            <sz val="9"/>
            <color indexed="81"/>
            <rFont val="Tahoma"/>
            <family val="2"/>
          </rPr>
          <t xml:space="preserve">
La suma del % de peso físico de las subactividades debe de dar el 100% de la actividad.</t>
        </r>
      </text>
    </comment>
    <comment ref="A176" authorId="0" shapeId="0" xr:uid="{00000000-0006-0000-0100-0000A5000000}">
      <text>
        <r>
          <rPr>
            <sz val="9"/>
            <color indexed="81"/>
            <rFont val="Tahoma"/>
            <family val="2"/>
          </rPr>
          <t xml:space="preserve">
La suma del % de peso físico de las subactividades debe de dar el 100% de la actividad.</t>
        </r>
      </text>
    </comment>
    <comment ref="A177" authorId="0" shapeId="0" xr:uid="{00000000-0006-0000-0100-0000A6000000}">
      <text>
        <r>
          <rPr>
            <sz val="9"/>
            <color indexed="81"/>
            <rFont val="Tahoma"/>
            <family val="2"/>
          </rPr>
          <t xml:space="preserve">
La suma del % de peso físico de las subactividades debe de dar el 100% de la actividad.</t>
        </r>
      </text>
    </comment>
    <comment ref="A178" authorId="0" shapeId="0" xr:uid="{00000000-0006-0000-0100-0000A7000000}">
      <text>
        <r>
          <rPr>
            <sz val="9"/>
            <color indexed="81"/>
            <rFont val="Tahoma"/>
            <family val="2"/>
          </rPr>
          <t xml:space="preserve">
La suma del % de peso físico de las subactividades debe de dar el 100% de la actividad.</t>
        </r>
      </text>
    </comment>
    <comment ref="A179" authorId="0" shapeId="0" xr:uid="{00000000-0006-0000-0100-0000A8000000}">
      <text>
        <r>
          <rPr>
            <sz val="9"/>
            <color indexed="81"/>
            <rFont val="Tahoma"/>
            <family val="2"/>
          </rPr>
          <t xml:space="preserve">
La suma del % de peso físico de las actividades debe de dar el 100% del alcance.</t>
        </r>
      </text>
    </comment>
    <comment ref="A180" authorId="0" shapeId="0" xr:uid="{00000000-0006-0000-0100-0000A9000000}">
      <text>
        <r>
          <rPr>
            <sz val="9"/>
            <color indexed="81"/>
            <rFont val="Tahoma"/>
            <family val="2"/>
          </rPr>
          <t xml:space="preserve">
La suma del % de peso físico de las subactividades debe de dar el 100% de la actividad.</t>
        </r>
      </text>
    </comment>
    <comment ref="A181" authorId="0" shapeId="0" xr:uid="{00000000-0006-0000-0100-0000AA000000}">
      <text>
        <r>
          <rPr>
            <sz val="9"/>
            <color indexed="81"/>
            <rFont val="Tahoma"/>
            <family val="2"/>
          </rPr>
          <t xml:space="preserve">
La suma del % de peso físico de las subactividades debe de dar el 100% de la actividad.</t>
        </r>
      </text>
    </comment>
    <comment ref="A182" authorId="0" shapeId="0" xr:uid="{00000000-0006-0000-0100-0000AB000000}">
      <text>
        <r>
          <rPr>
            <sz val="9"/>
            <color indexed="81"/>
            <rFont val="Tahoma"/>
            <family val="2"/>
          </rPr>
          <t xml:space="preserve">
La suma del % de peso físico de las subactividades debe de dar el 100% de la actividad.</t>
        </r>
      </text>
    </comment>
    <comment ref="A183" authorId="0" shapeId="0" xr:uid="{00000000-0006-0000-0100-0000AC000000}">
      <text>
        <r>
          <rPr>
            <sz val="9"/>
            <color indexed="81"/>
            <rFont val="Tahoma"/>
            <family val="2"/>
          </rPr>
          <t xml:space="preserve">
La suma del % de peso físico de las subactividades debe de dar el 100% de la actividad.</t>
        </r>
      </text>
    </comment>
    <comment ref="A184" authorId="0" shapeId="0" xr:uid="{00000000-0006-0000-0100-0000AD000000}">
      <text>
        <r>
          <rPr>
            <sz val="9"/>
            <color indexed="81"/>
            <rFont val="Tahoma"/>
            <family val="2"/>
          </rPr>
          <t xml:space="preserve">
La suma del % de peso físico de las subactividades debe de dar el 100% de la actividad.</t>
        </r>
      </text>
    </comment>
    <comment ref="A185" authorId="0" shapeId="0" xr:uid="{00000000-0006-0000-0100-0000AE000000}">
      <text>
        <r>
          <rPr>
            <sz val="9"/>
            <color indexed="81"/>
            <rFont val="Tahoma"/>
            <family val="2"/>
          </rPr>
          <t xml:space="preserve">
La suma del % de peso físico de las actividades debe de dar el 100% del alcance.</t>
        </r>
      </text>
    </comment>
    <comment ref="A186" authorId="0" shapeId="0" xr:uid="{00000000-0006-0000-0100-0000AF000000}">
      <text>
        <r>
          <rPr>
            <sz val="9"/>
            <color indexed="81"/>
            <rFont val="Tahoma"/>
            <family val="2"/>
          </rPr>
          <t xml:space="preserve">
La suma del % de peso físico de las subactividades debe de dar el 100% de la actividad.</t>
        </r>
      </text>
    </comment>
    <comment ref="A187" authorId="0" shapeId="0" xr:uid="{00000000-0006-0000-0100-0000B0000000}">
      <text>
        <r>
          <rPr>
            <sz val="9"/>
            <color indexed="81"/>
            <rFont val="Tahoma"/>
            <family val="2"/>
          </rPr>
          <t xml:space="preserve">
La suma del % de peso físico de las subactividades debe de dar el 100% de la actividad.</t>
        </r>
      </text>
    </comment>
    <comment ref="A188" authorId="0" shapeId="0" xr:uid="{00000000-0006-0000-0100-0000B1000000}">
      <text>
        <r>
          <rPr>
            <sz val="9"/>
            <color indexed="81"/>
            <rFont val="Tahoma"/>
            <family val="2"/>
          </rPr>
          <t xml:space="preserve">
La suma del % de peso físico de las subactividades debe de dar el 100% de la actividad.</t>
        </r>
      </text>
    </comment>
    <comment ref="A189" authorId="0" shapeId="0" xr:uid="{00000000-0006-0000-0100-0000B2000000}">
      <text>
        <r>
          <rPr>
            <sz val="9"/>
            <color indexed="81"/>
            <rFont val="Tahoma"/>
            <family val="2"/>
          </rPr>
          <t xml:space="preserve">
La suma del % de peso físico de las subactividades debe de dar el 100% de la actividad.</t>
        </r>
      </text>
    </comment>
    <comment ref="A190" authorId="0" shapeId="0" xr:uid="{00000000-0006-0000-0100-0000B3000000}">
      <text>
        <r>
          <rPr>
            <sz val="9"/>
            <color indexed="81"/>
            <rFont val="Tahoma"/>
            <family val="2"/>
          </rPr>
          <t xml:space="preserve">
La suma del % de peso físico de las subactividades debe de dar el 100% de la actividad.</t>
        </r>
      </text>
    </comment>
    <comment ref="A191" authorId="0" shapeId="0" xr:uid="{00000000-0006-0000-0100-0000B4000000}">
      <text>
        <r>
          <rPr>
            <sz val="9"/>
            <color indexed="81"/>
            <rFont val="Tahoma"/>
            <family val="2"/>
          </rPr>
          <t xml:space="preserve">
La suma del % de peso físico de las actividades debe de dar el 100% del alcance.</t>
        </r>
      </text>
    </comment>
    <comment ref="A192" authorId="0" shapeId="0" xr:uid="{00000000-0006-0000-0100-0000B5000000}">
      <text>
        <r>
          <rPr>
            <sz val="9"/>
            <color indexed="81"/>
            <rFont val="Tahoma"/>
            <family val="2"/>
          </rPr>
          <t xml:space="preserve">
La suma del % de peso físico de las subactividades debe de dar el 100% de la actividad.</t>
        </r>
      </text>
    </comment>
    <comment ref="A193" authorId="0" shapeId="0" xr:uid="{00000000-0006-0000-0100-0000B6000000}">
      <text>
        <r>
          <rPr>
            <sz val="9"/>
            <color indexed="81"/>
            <rFont val="Tahoma"/>
            <family val="2"/>
          </rPr>
          <t xml:space="preserve">
La suma del % de peso físico de las subactividades debe de dar el 100% de la actividad.</t>
        </r>
      </text>
    </comment>
    <comment ref="A194" authorId="0" shapeId="0" xr:uid="{00000000-0006-0000-0100-0000B7000000}">
      <text>
        <r>
          <rPr>
            <sz val="9"/>
            <color indexed="81"/>
            <rFont val="Tahoma"/>
            <family val="2"/>
          </rPr>
          <t xml:space="preserve">
La suma del % de peso físico de las subactividades debe de dar el 100% de la actividad.</t>
        </r>
      </text>
    </comment>
    <comment ref="A195" authorId="0" shapeId="0" xr:uid="{00000000-0006-0000-0100-0000B8000000}">
      <text>
        <r>
          <rPr>
            <sz val="9"/>
            <color indexed="81"/>
            <rFont val="Tahoma"/>
            <family val="2"/>
          </rPr>
          <t xml:space="preserve">
La suma del % de peso físico de las subactividades debe de dar el 100% de la actividad.</t>
        </r>
      </text>
    </comment>
    <comment ref="A196" authorId="0" shapeId="0" xr:uid="{00000000-0006-0000-0100-0000B9000000}">
      <text>
        <r>
          <rPr>
            <sz val="9"/>
            <color indexed="81"/>
            <rFont val="Tahoma"/>
            <family val="2"/>
          </rPr>
          <t xml:space="preserve">
La suma del % de peso físico de las subactividades debe de dar el 100% de la actividad.</t>
        </r>
      </text>
    </comment>
    <comment ref="A197" authorId="0" shapeId="0" xr:uid="{00000000-0006-0000-0100-0000BA000000}">
      <text>
        <r>
          <rPr>
            <sz val="9"/>
            <color indexed="81"/>
            <rFont val="Tahoma"/>
            <family val="2"/>
          </rPr>
          <t xml:space="preserve">
La suma del % de peso físico de las actividades debe de dar el 100% del alcance.</t>
        </r>
      </text>
    </comment>
    <comment ref="A198" authorId="0" shapeId="0" xr:uid="{00000000-0006-0000-0100-0000BB000000}">
      <text>
        <r>
          <rPr>
            <sz val="9"/>
            <color indexed="81"/>
            <rFont val="Tahoma"/>
            <family val="2"/>
          </rPr>
          <t xml:space="preserve">
La suma del % de peso físico de las subactividades debe de dar el 100% de la actividad.</t>
        </r>
      </text>
    </comment>
    <comment ref="A199" authorId="0" shapeId="0" xr:uid="{00000000-0006-0000-0100-0000BC000000}">
      <text>
        <r>
          <rPr>
            <sz val="9"/>
            <color indexed="81"/>
            <rFont val="Tahoma"/>
            <family val="2"/>
          </rPr>
          <t xml:space="preserve">
La suma del % de peso físico de las subactividades debe de dar el 100% de la actividad.</t>
        </r>
      </text>
    </comment>
    <comment ref="A200" authorId="0" shapeId="0" xr:uid="{00000000-0006-0000-0100-0000BD000000}">
      <text>
        <r>
          <rPr>
            <sz val="9"/>
            <color indexed="81"/>
            <rFont val="Tahoma"/>
            <family val="2"/>
          </rPr>
          <t xml:space="preserve">
La suma del % de peso físico de las subactividades debe de dar el 100% de la actividad.</t>
        </r>
      </text>
    </comment>
    <comment ref="A201" authorId="0" shapeId="0" xr:uid="{00000000-0006-0000-0100-0000BE000000}">
      <text>
        <r>
          <rPr>
            <sz val="9"/>
            <color indexed="81"/>
            <rFont val="Tahoma"/>
            <family val="2"/>
          </rPr>
          <t xml:space="preserve">
La suma del % de peso físico de las subactividades debe de dar el 100% de la actividad.</t>
        </r>
      </text>
    </comment>
    <comment ref="A202" authorId="0" shapeId="0" xr:uid="{00000000-0006-0000-0100-0000BF000000}">
      <text>
        <r>
          <rPr>
            <sz val="9"/>
            <color indexed="81"/>
            <rFont val="Tahoma"/>
            <family val="2"/>
          </rPr>
          <t xml:space="preserve">
La suma del % de peso físico de las subactividades debe de dar el 100% de la actividad.</t>
        </r>
      </text>
    </comment>
    <comment ref="A203" authorId="0" shapeId="0" xr:uid="{00000000-0006-0000-0100-0000C0000000}">
      <text>
        <r>
          <rPr>
            <sz val="9"/>
            <color indexed="81"/>
            <rFont val="Tahoma"/>
            <family val="2"/>
          </rPr>
          <t xml:space="preserve">
Suma de la ejecución de las subactividades en cada período</t>
        </r>
      </text>
    </comment>
    <comment ref="A204" authorId="0" shapeId="0" xr:uid="{00000000-0006-0000-0100-0000C1000000}">
      <text>
        <r>
          <rPr>
            <sz val="9"/>
            <color indexed="81"/>
            <rFont val="Tahoma"/>
            <family val="2"/>
          </rPr>
          <t xml:space="preserve">
Suma del total del período anterior + el total del período actual</t>
        </r>
      </text>
    </comment>
    <comment ref="E208" authorId="0" shapeId="0" xr:uid="{00000000-0006-0000-0100-0000C2000000}">
      <text>
        <r>
          <rPr>
            <sz val="9"/>
            <color indexed="81"/>
            <rFont val="Tahoma"/>
            <family val="2"/>
          </rPr>
          <t xml:space="preserve">
Valor total incluido los aportes en dinero y en especie, de todos los participantes</t>
        </r>
      </text>
    </comment>
    <comment ref="F208" authorId="0" shapeId="0" xr:uid="{00000000-0006-0000-0100-0000C3000000}">
      <text>
        <r>
          <rPr>
            <sz val="9"/>
            <color indexed="81"/>
            <rFont val="Tahoma"/>
            <family val="2"/>
          </rPr>
          <t xml:space="preserve">
Valor total en dinero aportado por corantioquia</t>
        </r>
      </text>
    </comment>
    <comment ref="AD210" authorId="0" shapeId="0" xr:uid="{00000000-0006-0000-0100-0000C5000000}">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11" authorId="0" shapeId="0" xr:uid="{00000000-0006-0000-0100-0000C6000000}">
      <text>
        <r>
          <rPr>
            <sz val="9"/>
            <color indexed="81"/>
            <rFont val="Tahoma"/>
            <family val="2"/>
          </rPr>
          <t xml:space="preserve">
Peso %:
 Valor aportado por corantioquia en cada periodo / el valor (total) aportado por corantioquia</t>
        </r>
      </text>
    </comment>
    <comment ref="E212" authorId="0" shapeId="0" xr:uid="{00000000-0006-0000-0100-0000C7000000}">
      <text>
        <r>
          <rPr>
            <sz val="9"/>
            <color indexed="81"/>
            <rFont val="Tahoma"/>
            <family val="2"/>
          </rPr>
          <t xml:space="preserve">
Suma del (%) del período anterior + el (%) del período actual</t>
        </r>
      </text>
    </comment>
    <comment ref="E214" authorId="0" shapeId="0" xr:uid="{00000000-0006-0000-0100-0000C800000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15" authorId="0" shapeId="0" xr:uid="{00000000-0006-0000-0100-0000C9000000}">
      <text>
        <r>
          <rPr>
            <sz val="9"/>
            <color indexed="81"/>
            <rFont val="Tahoma"/>
            <family val="2"/>
          </rPr>
          <t xml:space="preserve">
Esta información se compara con los datos disponibles en el PGAR.
Suma del (%) del período anterior + el (%) del período actual</t>
        </r>
      </text>
    </comment>
    <comment ref="C217" authorId="0" shapeId="0" xr:uid="{00000000-0006-0000-0100-0000CA000000}">
      <text>
        <r>
          <rPr>
            <sz val="9"/>
            <color indexed="81"/>
            <rFont val="Tahoma"/>
            <family val="2"/>
          </rPr>
          <t xml:space="preserve">
Diligenciar esta información solo en caso de Otrosí de adición de recursos o prórroga </t>
        </r>
      </text>
    </comment>
    <comment ref="E218" authorId="0" shapeId="0" xr:uid="{00000000-0006-0000-0100-0000CB000000}">
      <text>
        <r>
          <rPr>
            <sz val="9"/>
            <color indexed="81"/>
            <rFont val="Tahoma"/>
            <family val="2"/>
          </rPr>
          <t xml:space="preserve">
Valor aportado por corantioquia (solo en dinero) de manera inicial + las adiciones</t>
        </r>
      </text>
    </comment>
    <comment ref="F220" authorId="0" shapeId="0" xr:uid="{00000000-0006-0000-0100-0000CC000000}">
      <text>
        <r>
          <rPr>
            <sz val="9"/>
            <color indexed="81"/>
            <rFont val="Tahoma"/>
            <family val="2"/>
          </rPr>
          <t xml:space="preserve">
Diligenciar la información de los valores que efectivamente se han desembolsado, de acuerdo con la información en el PGAR</t>
        </r>
      </text>
    </comment>
    <comment ref="F223" authorId="0" shapeId="0" xr:uid="{00000000-0006-0000-0100-0000CD000000}">
      <text>
        <r>
          <rPr>
            <sz val="9"/>
            <color indexed="81"/>
            <rFont val="Tahoma"/>
            <family val="2"/>
          </rPr>
          <t xml:space="preserve">
Plasmar la planeación de los valores pendientes de ejecución o desembolso</t>
        </r>
      </text>
    </comment>
    <comment ref="C226" authorId="0" shapeId="0" xr:uid="{00000000-0006-0000-0100-0000CE000000}">
      <text>
        <r>
          <rPr>
            <sz val="9"/>
            <color indexed="81"/>
            <rFont val="Tahoma"/>
            <family val="2"/>
          </rPr>
          <t xml:space="preserve">
Suma del porcentaje acumulado de los valores ya ejecutados y el porcentaje acumulado de los valores por ejecutar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C14" authorId="0" shapeId="0" xr:uid="{00000000-0006-0000-0200-000001000000}">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A16" authorId="0" shapeId="0" xr:uid="{00000000-0006-0000-0200-000002000000}">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00000000-0006-0000-0200-000003000000}">
      <text>
        <r>
          <rPr>
            <sz val="9"/>
            <color indexed="81"/>
            <rFont val="Tahoma"/>
            <family val="2"/>
          </rPr>
          <t>la suma del % de peso físico de los alcances debe de dar el 100% del producto a obtener.</t>
        </r>
      </text>
    </comment>
    <comment ref="A18" authorId="0" shapeId="0" xr:uid="{00000000-0006-0000-0200-000004000000}">
      <text>
        <r>
          <rPr>
            <sz val="9"/>
            <color indexed="81"/>
            <rFont val="Tahoma"/>
            <family val="2"/>
          </rPr>
          <t xml:space="preserve">
Suma de la ejecución de las subactividades en cada período</t>
        </r>
      </text>
    </comment>
    <comment ref="A19" authorId="0" shapeId="0" xr:uid="{00000000-0006-0000-0200-000005000000}">
      <text>
        <r>
          <rPr>
            <sz val="9"/>
            <color indexed="81"/>
            <rFont val="Tahoma"/>
            <family val="2"/>
          </rPr>
          <t xml:space="preserve">
Suma del total del período anterior + el total del período actual</t>
        </r>
      </text>
    </comment>
    <comment ref="Q25" authorId="0" shapeId="0" xr:uid="{00000000-0006-0000-0200-000006000000}">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6" authorId="0" shapeId="0" xr:uid="{00000000-0006-0000-0200-000007000000}">
      <text>
        <r>
          <rPr>
            <sz val="9"/>
            <color indexed="81"/>
            <rFont val="Tahoma"/>
            <family val="2"/>
          </rPr>
          <t xml:space="preserve">
Peso %:
 Valor aportado por corantioquia en cada periodo / el valor (total) aportado por corantioquia</t>
        </r>
      </text>
    </comment>
    <comment ref="E27" authorId="0" shapeId="0" xr:uid="{00000000-0006-0000-0200-000008000000}">
      <text>
        <r>
          <rPr>
            <sz val="9"/>
            <color indexed="81"/>
            <rFont val="Tahoma"/>
            <family val="2"/>
          </rPr>
          <t xml:space="preserve">
Suma del (%) del período anterior + el (%) del período actual</t>
        </r>
      </text>
    </comment>
    <comment ref="E29" authorId="0" shapeId="0" xr:uid="{00000000-0006-0000-0200-00000900000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30" authorId="0" shapeId="0" xr:uid="{00000000-0006-0000-0200-00000A000000}">
      <text>
        <r>
          <rPr>
            <sz val="9"/>
            <color indexed="81"/>
            <rFont val="Tahoma"/>
            <family val="2"/>
          </rPr>
          <t xml:space="preserve">
Esta información se compara con los datos disponibles en el PGAR.
Suma del (%) del período anterior + el (%) del período actual</t>
        </r>
      </text>
    </comment>
    <comment ref="C32" authorId="0" shapeId="0" xr:uid="{00000000-0006-0000-0200-00000B000000}">
      <text>
        <r>
          <rPr>
            <sz val="9"/>
            <color indexed="81"/>
            <rFont val="Tahoma"/>
            <family val="2"/>
          </rPr>
          <t xml:space="preserve">
Diligenciar esta información solo en caso de Otrosí de adición de recursos o prórroga </t>
        </r>
      </text>
    </comment>
    <comment ref="D33" authorId="0" shapeId="0" xr:uid="{00000000-0006-0000-0200-00000C000000}">
      <text>
        <r>
          <rPr>
            <sz val="9"/>
            <color indexed="81"/>
            <rFont val="Tahoma"/>
            <family val="2"/>
          </rPr>
          <t xml:space="preserve">
Valor aportado por corantioquia (solo en dinero) de manera inicial + las adiciones</t>
        </r>
      </text>
    </comment>
    <comment ref="E35" authorId="0" shapeId="0" xr:uid="{00000000-0006-0000-0200-00000D000000}">
      <text>
        <r>
          <rPr>
            <sz val="9"/>
            <color indexed="81"/>
            <rFont val="Tahoma"/>
            <family val="2"/>
          </rPr>
          <t xml:space="preserve">
Diligenciar la información de los valores que efectivamente se han desembolsado, de acuerdo con la información en el PGAR</t>
        </r>
      </text>
    </comment>
    <comment ref="E38" authorId="0" shapeId="0" xr:uid="{00000000-0006-0000-0200-00000E000000}">
      <text>
        <r>
          <rPr>
            <sz val="9"/>
            <color indexed="81"/>
            <rFont val="Tahoma"/>
            <family val="2"/>
          </rPr>
          <t xml:space="preserve">
Plasmar la planeación de los valores pendientes de ejecución o desembolso</t>
        </r>
      </text>
    </comment>
    <comment ref="C41" authorId="0" shapeId="0" xr:uid="{00000000-0006-0000-0200-00000F000000}">
      <text>
        <r>
          <rPr>
            <sz val="9"/>
            <color indexed="81"/>
            <rFont val="Tahoma"/>
            <family val="2"/>
          </rPr>
          <t xml:space="preserve">
Suma del porcentaje acumulado de los valores ya ejecutados y el porcentaje acumulado de los valores por ejecutar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13" authorId="0" shapeId="0" xr:uid="{7D138E2A-F57D-44D3-811A-7C041B930903}">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B1FD8571-B533-4CFF-A01C-87BEBA692554}">
      <text>
        <r>
          <rPr>
            <sz val="9"/>
            <color indexed="81"/>
            <rFont val="Tahoma"/>
            <family val="2"/>
          </rPr>
          <t>Desplegar las celdas ocultas en caso de requerirse</t>
        </r>
      </text>
    </comment>
    <comment ref="C14" authorId="0" shapeId="0" xr:uid="{A308778C-F6B1-4CA4-80AE-5AA6A93298A2}">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6CEF98FE-8570-471F-B584-7F3D7DBB0789}">
      <text>
        <r>
          <rPr>
            <sz val="9"/>
            <color indexed="81"/>
            <rFont val="Tahoma"/>
            <family val="2"/>
          </rPr>
          <t>% de importancia de cada subactividad respecto a la meta/ producto a obtener</t>
        </r>
      </text>
    </comment>
    <comment ref="A16" authorId="0" shapeId="0" xr:uid="{6465ABDC-2210-4ACD-9A93-54CA77E3A14C}">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24783131-0A09-43DA-BFDA-06E77559839A}">
      <text>
        <r>
          <rPr>
            <sz val="9"/>
            <color indexed="81"/>
            <rFont val="Tahoma"/>
            <family val="2"/>
          </rPr>
          <t>la suma del % de peso físico de los alcances debe de dar el 100% del producto a obtener.</t>
        </r>
      </text>
    </comment>
    <comment ref="A18" authorId="0" shapeId="0" xr:uid="{A9B823F4-C014-4631-9BF3-99C7E016F3BB}">
      <text>
        <r>
          <rPr>
            <sz val="9"/>
            <color indexed="81"/>
            <rFont val="Tahoma"/>
            <family val="2"/>
          </rPr>
          <t>La suma del % de peso físico de las actividades debe de dar el 100% del alcance.</t>
        </r>
      </text>
    </comment>
    <comment ref="A19" authorId="0" shapeId="0" xr:uid="{2A8FBAF5-4474-48C7-8147-8B4A2E0D0CC5}">
      <text>
        <r>
          <rPr>
            <sz val="9"/>
            <color indexed="81"/>
            <rFont val="Tahoma"/>
            <family val="2"/>
          </rPr>
          <t xml:space="preserve">
La suma del % de peso físico de las subactividades debe de dar el 100% de la actividad.</t>
        </r>
      </text>
    </comment>
    <comment ref="A20" authorId="0" shapeId="0" xr:uid="{0BB0514A-4449-4499-AE24-982C572AD70B}">
      <text>
        <r>
          <rPr>
            <sz val="9"/>
            <color indexed="81"/>
            <rFont val="Tahoma"/>
            <family val="2"/>
          </rPr>
          <t>La suma del % de peso físico de las subactividades debe de dar el 100% de la actividad.</t>
        </r>
      </text>
    </comment>
    <comment ref="A21" authorId="0" shapeId="0" xr:uid="{487363FF-CEB4-4A98-B108-E52662C9F485}">
      <text>
        <r>
          <rPr>
            <sz val="9"/>
            <color indexed="81"/>
            <rFont val="Tahoma"/>
            <family val="2"/>
          </rPr>
          <t>La suma del % de peso físico de las subactividades debe de dar el 100% de la actividad.</t>
        </r>
      </text>
    </comment>
    <comment ref="A22" authorId="0" shapeId="0" xr:uid="{1C1B553C-D03B-4753-85E4-C262683331E7}">
      <text>
        <r>
          <rPr>
            <sz val="9"/>
            <color indexed="81"/>
            <rFont val="Tahoma"/>
            <family val="2"/>
          </rPr>
          <t>La suma del % de peso físico de las subactividades debe de dar el 100% de la actividad.</t>
        </r>
      </text>
    </comment>
    <comment ref="A23" authorId="0" shapeId="0" xr:uid="{A49C6BA3-EF5C-43C0-92EC-E2EA59EC8EEA}">
      <text>
        <r>
          <rPr>
            <sz val="9"/>
            <color indexed="81"/>
            <rFont val="Tahoma"/>
            <family val="2"/>
          </rPr>
          <t>La suma del % de peso físico de las subactividades debe de dar el 100% de la actividad.</t>
        </r>
      </text>
    </comment>
    <comment ref="A24" authorId="0" shapeId="0" xr:uid="{94043B57-B33B-4E5A-A5C8-7C75135F4899}">
      <text>
        <r>
          <rPr>
            <sz val="9"/>
            <color indexed="81"/>
            <rFont val="Tahoma"/>
            <family val="2"/>
          </rPr>
          <t xml:space="preserve">
La suma del % de peso físico de las actividades debe de dar el 100% del alcance.</t>
        </r>
      </text>
    </comment>
    <comment ref="A25" authorId="0" shapeId="0" xr:uid="{90850666-6A3F-46F3-83BB-4A975B5CA3F2}">
      <text>
        <r>
          <rPr>
            <sz val="9"/>
            <color indexed="81"/>
            <rFont val="Tahoma"/>
            <family val="2"/>
          </rPr>
          <t xml:space="preserve">
La suma del % de peso físico de las subactividades debe de dar el 100% de la actividad.</t>
        </r>
      </text>
    </comment>
    <comment ref="A26" authorId="0" shapeId="0" xr:uid="{B1304E4B-5770-470C-8A89-DC01CDF424AC}">
      <text>
        <r>
          <rPr>
            <sz val="9"/>
            <color indexed="81"/>
            <rFont val="Tahoma"/>
            <family val="2"/>
          </rPr>
          <t xml:space="preserve">
La suma del % de peso físico de las subactividades debe de dar el 100% de la actividad.</t>
        </r>
      </text>
    </comment>
    <comment ref="A27" authorId="0" shapeId="0" xr:uid="{B3BAFB81-89B8-473A-822B-320FDF4D705E}">
      <text>
        <r>
          <rPr>
            <sz val="9"/>
            <color indexed="81"/>
            <rFont val="Tahoma"/>
            <family val="2"/>
          </rPr>
          <t>La suma del % de peso físico de las subactividades debe de dar el 100% de la actividad.</t>
        </r>
      </text>
    </comment>
    <comment ref="A28" authorId="0" shapeId="0" xr:uid="{105FBBEF-CB4A-4ADF-80A8-1AA9582F4F05}">
      <text>
        <r>
          <rPr>
            <sz val="9"/>
            <color indexed="81"/>
            <rFont val="Tahoma"/>
            <family val="2"/>
          </rPr>
          <t xml:space="preserve">La suma del % de peso físico de las subactividades debe de dar el 100% de la actividad.
</t>
        </r>
      </text>
    </comment>
    <comment ref="A29" authorId="0" shapeId="0" xr:uid="{0352A978-C850-438E-8175-D40AEE845F2B}">
      <text>
        <r>
          <rPr>
            <sz val="9"/>
            <color indexed="81"/>
            <rFont val="Tahoma"/>
            <family val="2"/>
          </rPr>
          <t xml:space="preserve">
La suma del % de peso físico de las subactividades debe de dar el 100% de la actividad.</t>
        </r>
      </text>
    </comment>
    <comment ref="A30" authorId="0" shapeId="0" xr:uid="{F3B864FF-82FE-4C64-BE10-58A584A452D1}">
      <text>
        <r>
          <rPr>
            <sz val="9"/>
            <color indexed="81"/>
            <rFont val="Tahoma"/>
            <family val="2"/>
          </rPr>
          <t xml:space="preserve">
La suma del % de peso físico de las actividades debe de dar el 100% del alcance.</t>
        </r>
      </text>
    </comment>
    <comment ref="A31" authorId="0" shapeId="0" xr:uid="{D274B927-507F-4D69-9C6D-B42F8384AA04}">
      <text>
        <r>
          <rPr>
            <sz val="9"/>
            <color indexed="81"/>
            <rFont val="Tahoma"/>
            <family val="2"/>
          </rPr>
          <t xml:space="preserve">
La suma del % de peso físico de las subactividades debe de dar el 100% de la actividad.</t>
        </r>
      </text>
    </comment>
    <comment ref="A32" authorId="0" shapeId="0" xr:uid="{32D6254D-D6AF-42EE-BBA8-5F742491321B}">
      <text>
        <r>
          <rPr>
            <sz val="9"/>
            <color indexed="81"/>
            <rFont val="Tahoma"/>
            <family val="2"/>
          </rPr>
          <t xml:space="preserve">
La suma del % de peso físico de las subactividades debe de dar el 100% de la actividad.</t>
        </r>
      </text>
    </comment>
    <comment ref="A33" authorId="0" shapeId="0" xr:uid="{1B5A1C24-3CC3-4337-9535-B3D9089D0833}">
      <text>
        <r>
          <rPr>
            <sz val="9"/>
            <color indexed="81"/>
            <rFont val="Tahoma"/>
            <family val="2"/>
          </rPr>
          <t xml:space="preserve">
La suma del % de peso físico de las subactividades debe de dar el 100% de la actividad.</t>
        </r>
      </text>
    </comment>
    <comment ref="A34" authorId="0" shapeId="0" xr:uid="{CE3E43E0-B2B4-4240-995B-D83ECD1E8DAA}">
      <text>
        <r>
          <rPr>
            <sz val="9"/>
            <color indexed="81"/>
            <rFont val="Tahoma"/>
            <family val="2"/>
          </rPr>
          <t xml:space="preserve">
La suma del % de peso físico de las subactividades debe de dar el 100% de la actividad.</t>
        </r>
      </text>
    </comment>
    <comment ref="A35" authorId="0" shapeId="0" xr:uid="{3AFF202E-4FC5-411D-A62F-C33D9E8C9CED}">
      <text>
        <r>
          <rPr>
            <sz val="9"/>
            <color indexed="81"/>
            <rFont val="Tahoma"/>
            <family val="2"/>
          </rPr>
          <t xml:space="preserve">
La suma del % de peso físico de las subactividades debe de dar el 100% de la actividad.</t>
        </r>
      </text>
    </comment>
    <comment ref="A36" authorId="0" shapeId="0" xr:uid="{D2488746-2C34-413D-88F6-96032432F4A6}">
      <text>
        <r>
          <rPr>
            <sz val="9"/>
            <color indexed="81"/>
            <rFont val="Tahoma"/>
            <family val="2"/>
          </rPr>
          <t xml:space="preserve">
La suma del % de peso físico de las actividades debe de dar el 100% del alcance.</t>
        </r>
      </text>
    </comment>
    <comment ref="A37" authorId="0" shapeId="0" xr:uid="{953DAB30-0037-4197-AA47-A9AACEBED598}">
      <text>
        <r>
          <rPr>
            <sz val="9"/>
            <color indexed="81"/>
            <rFont val="Tahoma"/>
            <family val="2"/>
          </rPr>
          <t xml:space="preserve">
La suma del % de peso físico de las subactividades debe de dar el 100% de la actividad.</t>
        </r>
      </text>
    </comment>
    <comment ref="A38" authorId="0" shapeId="0" xr:uid="{E37A2B49-9853-4BB2-8B30-76D32F52FEA4}">
      <text>
        <r>
          <rPr>
            <sz val="9"/>
            <color indexed="81"/>
            <rFont val="Tahoma"/>
            <family val="2"/>
          </rPr>
          <t xml:space="preserve">
La suma del % de peso físico de las subactividades debe de dar el 100% de la actividad.</t>
        </r>
      </text>
    </comment>
    <comment ref="A39" authorId="0" shapeId="0" xr:uid="{62E15681-D17D-4B80-AEBF-26C28B0D9302}">
      <text>
        <r>
          <rPr>
            <sz val="9"/>
            <color indexed="81"/>
            <rFont val="Tahoma"/>
            <family val="2"/>
          </rPr>
          <t xml:space="preserve">
La suma del % de peso físico de las subactividades debe de dar el 100% de la actividad.</t>
        </r>
      </text>
    </comment>
    <comment ref="A40" authorId="0" shapeId="0" xr:uid="{B5FEFE2E-F77C-48A4-A99F-632CD13B9B11}">
      <text>
        <r>
          <rPr>
            <sz val="9"/>
            <color indexed="81"/>
            <rFont val="Tahoma"/>
            <family val="2"/>
          </rPr>
          <t xml:space="preserve">
La suma del % de peso físico de las subactividades debe de dar el 100% de la actividad.</t>
        </r>
      </text>
    </comment>
    <comment ref="A41" authorId="0" shapeId="0" xr:uid="{CE9A760C-A3CC-46F4-8A9B-547D646C9B2A}">
      <text>
        <r>
          <rPr>
            <sz val="9"/>
            <color indexed="81"/>
            <rFont val="Tahoma"/>
            <family val="2"/>
          </rPr>
          <t xml:space="preserve">
La suma del % de peso físico de las subactividades debe de dar el 100% de la actividad.</t>
        </r>
      </text>
    </comment>
    <comment ref="A42" authorId="0" shapeId="0" xr:uid="{CBAB8899-A0AD-4B3F-B14C-082A65B38659}">
      <text>
        <r>
          <rPr>
            <sz val="9"/>
            <color indexed="81"/>
            <rFont val="Tahoma"/>
            <family val="2"/>
          </rPr>
          <t xml:space="preserve">
La suma del % de peso físico de las actividades debe de dar el 100% del alcance.</t>
        </r>
      </text>
    </comment>
    <comment ref="A43" authorId="0" shapeId="0" xr:uid="{4EEC4AE6-45CD-4F0F-9634-2B6C58FF25D2}">
      <text>
        <r>
          <rPr>
            <sz val="9"/>
            <color indexed="81"/>
            <rFont val="Tahoma"/>
            <family val="2"/>
          </rPr>
          <t xml:space="preserve">
La suma del % de peso físico de las subactividades debe de dar el 100% de la actividad.</t>
        </r>
      </text>
    </comment>
    <comment ref="A44" authorId="0" shapeId="0" xr:uid="{66E74F0A-CC61-4D93-B9E7-036E86D9260F}">
      <text>
        <r>
          <rPr>
            <sz val="9"/>
            <color indexed="81"/>
            <rFont val="Tahoma"/>
            <family val="2"/>
          </rPr>
          <t xml:space="preserve">
La suma del % de peso físico de las subactividades debe de dar el 100% de la actividad.</t>
        </r>
      </text>
    </comment>
    <comment ref="A45" authorId="0" shapeId="0" xr:uid="{B0650FD1-07FC-460D-BCF6-EB17E3B3B91D}">
      <text>
        <r>
          <rPr>
            <sz val="9"/>
            <color indexed="81"/>
            <rFont val="Tahoma"/>
            <family val="2"/>
          </rPr>
          <t xml:space="preserve">
La suma del % de peso físico de las subactividades debe de dar el 100% de la actividad.</t>
        </r>
      </text>
    </comment>
    <comment ref="A46" authorId="0" shapeId="0" xr:uid="{C3E681AB-FF0D-49DE-A785-C4BF2D89AAB6}">
      <text>
        <r>
          <rPr>
            <sz val="9"/>
            <color indexed="81"/>
            <rFont val="Tahoma"/>
            <family val="2"/>
          </rPr>
          <t xml:space="preserve">
La suma del % de peso físico de las subactividades debe de dar el 100% de la actividad.</t>
        </r>
      </text>
    </comment>
    <comment ref="A47" authorId="0" shapeId="0" xr:uid="{8CA40EF4-430F-401E-9425-C9F455036002}">
      <text>
        <r>
          <rPr>
            <sz val="9"/>
            <color indexed="81"/>
            <rFont val="Tahoma"/>
            <family val="2"/>
          </rPr>
          <t xml:space="preserve">
La suma del % de peso físico de las subactividades debe de dar el 100% de la actividad.</t>
        </r>
      </text>
    </comment>
    <comment ref="A48" authorId="0" shapeId="0" xr:uid="{755188DC-B6C4-409C-9B16-C9CF80F67451}">
      <text>
        <r>
          <rPr>
            <sz val="9"/>
            <color indexed="81"/>
            <rFont val="Tahoma"/>
            <family val="2"/>
          </rPr>
          <t xml:space="preserve">
la suma del % de peso físico de los alcances debe de dar el 100% del producto a obtener.</t>
        </r>
      </text>
    </comment>
    <comment ref="A49" authorId="0" shapeId="0" xr:uid="{FB0F1392-61B7-40E5-BA13-F3623978E727}">
      <text>
        <r>
          <rPr>
            <sz val="9"/>
            <color indexed="81"/>
            <rFont val="Tahoma"/>
            <family val="2"/>
          </rPr>
          <t xml:space="preserve">
La suma del % de peso físico de las actividades debe de dar el 100% del alcance.</t>
        </r>
      </text>
    </comment>
    <comment ref="A50" authorId="0" shapeId="0" xr:uid="{A621C29F-4901-4C70-85BC-99F8883D9CED}">
      <text>
        <r>
          <rPr>
            <sz val="9"/>
            <color indexed="81"/>
            <rFont val="Tahoma"/>
            <family val="2"/>
          </rPr>
          <t xml:space="preserve">
La suma del % de peso físico de las subactividades debe de dar el 100% de la actividad.</t>
        </r>
      </text>
    </comment>
    <comment ref="A51" authorId="0" shapeId="0" xr:uid="{F5238DEA-D4CB-44FE-85BE-219A359CC23C}">
      <text>
        <r>
          <rPr>
            <sz val="9"/>
            <color indexed="81"/>
            <rFont val="Tahoma"/>
            <family val="2"/>
          </rPr>
          <t xml:space="preserve">
La suma del % de peso físico de las subactividades debe de dar el 100% de la actividad.</t>
        </r>
      </text>
    </comment>
    <comment ref="A52" authorId="0" shapeId="0" xr:uid="{40EDB4EE-6E90-4EE1-9CFF-F80C170D0611}">
      <text>
        <r>
          <rPr>
            <b/>
            <sz val="9"/>
            <color indexed="81"/>
            <rFont val="Tahoma"/>
            <family val="2"/>
          </rPr>
          <t xml:space="preserve">
</t>
        </r>
        <r>
          <rPr>
            <sz val="9"/>
            <color indexed="81"/>
            <rFont val="Tahoma"/>
            <family val="2"/>
          </rPr>
          <t>La suma del % de peso físico de las subactividades debe de dar el 100% de la actividad.</t>
        </r>
      </text>
    </comment>
    <comment ref="A53" authorId="0" shapeId="0" xr:uid="{AEE7C34B-3A46-4B30-9F5D-879D04EB33D0}">
      <text>
        <r>
          <rPr>
            <sz val="9"/>
            <color indexed="81"/>
            <rFont val="Tahoma"/>
            <family val="2"/>
          </rPr>
          <t xml:space="preserve">
La suma del % de peso físico de las subactividades debe de dar el 100% de la actividad.</t>
        </r>
      </text>
    </comment>
    <comment ref="A54" authorId="0" shapeId="0" xr:uid="{68DFF73F-B6A9-4205-B7C1-43DB083D19C9}">
      <text>
        <r>
          <rPr>
            <sz val="9"/>
            <color indexed="81"/>
            <rFont val="Tahoma"/>
            <family val="2"/>
          </rPr>
          <t xml:space="preserve">
La suma del % de peso físico de las subactividades debe de dar el 100% de la actividad.</t>
        </r>
      </text>
    </comment>
    <comment ref="A55" authorId="0" shapeId="0" xr:uid="{272B2A0D-18AD-413A-BBC8-7F69BB1E9186}">
      <text>
        <r>
          <rPr>
            <sz val="9"/>
            <color indexed="81"/>
            <rFont val="Tahoma"/>
            <family val="2"/>
          </rPr>
          <t xml:space="preserve">
La suma del % de peso físico de las actividades debe de dar el 100% del alcance.</t>
        </r>
      </text>
    </comment>
    <comment ref="A56" authorId="0" shapeId="0" xr:uid="{73B7911D-1B79-497B-A307-E10C0E18081F}">
      <text>
        <r>
          <rPr>
            <sz val="9"/>
            <color indexed="81"/>
            <rFont val="Tahoma"/>
            <family val="2"/>
          </rPr>
          <t xml:space="preserve">
La suma del % de peso físico de las subactividades debe de dar el 100% de la actividad.</t>
        </r>
      </text>
    </comment>
    <comment ref="A57" authorId="0" shapeId="0" xr:uid="{8B6D02EC-9808-4513-8416-8F84606F6C7B}">
      <text>
        <r>
          <rPr>
            <sz val="9"/>
            <color indexed="81"/>
            <rFont val="Tahoma"/>
            <family val="2"/>
          </rPr>
          <t xml:space="preserve">
La suma del % de peso físico de las subactividades debe de dar el 100% de la actividad.</t>
        </r>
      </text>
    </comment>
    <comment ref="A58" authorId="0" shapeId="0" xr:uid="{AE7B3E2B-516B-4D85-BC9E-67C777619432}">
      <text>
        <r>
          <rPr>
            <sz val="9"/>
            <color indexed="81"/>
            <rFont val="Tahoma"/>
            <family val="2"/>
          </rPr>
          <t xml:space="preserve">
La suma del % de peso físico de las subactividades debe de dar el 100% de la actividad.</t>
        </r>
      </text>
    </comment>
    <comment ref="A59" authorId="0" shapeId="0" xr:uid="{E0D19612-ED33-41CC-B57B-3BB413A5FDAA}">
      <text>
        <r>
          <rPr>
            <sz val="9"/>
            <color indexed="81"/>
            <rFont val="Tahoma"/>
            <family val="2"/>
          </rPr>
          <t xml:space="preserve">
La suma del % de peso físico de las subactividades debe de dar el 100% de la actividad.</t>
        </r>
      </text>
    </comment>
    <comment ref="A60" authorId="0" shapeId="0" xr:uid="{38A98C66-48AE-4CD8-BAD7-57D6BF2EA00D}">
      <text>
        <r>
          <rPr>
            <sz val="9"/>
            <color indexed="81"/>
            <rFont val="Tahoma"/>
            <family val="2"/>
          </rPr>
          <t xml:space="preserve">
La suma del % de peso físico de las subactividades debe de dar el 100% de la actividad.</t>
        </r>
      </text>
    </comment>
    <comment ref="A61" authorId="0" shapeId="0" xr:uid="{878D059B-03AA-474B-A7A1-6FB577883B95}">
      <text>
        <r>
          <rPr>
            <sz val="9"/>
            <color indexed="81"/>
            <rFont val="Tahoma"/>
            <family val="2"/>
          </rPr>
          <t xml:space="preserve">
La suma del % de peso físico de las actividades debe de dar el 100% del alcance.</t>
        </r>
      </text>
    </comment>
    <comment ref="A62" authorId="0" shapeId="0" xr:uid="{4FFDE06B-E92E-41ED-A860-62AD9EEB6947}">
      <text>
        <r>
          <rPr>
            <sz val="9"/>
            <color indexed="81"/>
            <rFont val="Tahoma"/>
            <family val="2"/>
          </rPr>
          <t xml:space="preserve">
La suma del % de peso físico de las subactividades debe de dar el 100% de la actividad.</t>
        </r>
      </text>
    </comment>
    <comment ref="A63" authorId="0" shapeId="0" xr:uid="{033439EF-668D-44FF-91E2-207FE58432BF}">
      <text>
        <r>
          <rPr>
            <sz val="9"/>
            <color indexed="81"/>
            <rFont val="Tahoma"/>
            <family val="2"/>
          </rPr>
          <t xml:space="preserve">
La suma del % de peso físico de las subactividades debe de dar el 100% de la actividad.</t>
        </r>
      </text>
    </comment>
    <comment ref="A64" authorId="0" shapeId="0" xr:uid="{CD95ABBE-72E7-4627-AF2D-44C05E8652B7}">
      <text>
        <r>
          <rPr>
            <sz val="9"/>
            <color indexed="81"/>
            <rFont val="Tahoma"/>
            <family val="2"/>
          </rPr>
          <t xml:space="preserve">
La suma del % de peso físico de las subactividades debe de dar el 100% de la actividad.</t>
        </r>
      </text>
    </comment>
    <comment ref="A65" authorId="0" shapeId="0" xr:uid="{9B7312CA-FB68-4B36-83BD-996F05CF0627}">
      <text>
        <r>
          <rPr>
            <sz val="9"/>
            <color indexed="81"/>
            <rFont val="Tahoma"/>
            <family val="2"/>
          </rPr>
          <t xml:space="preserve">
La suma del % de peso físico de las subactividades debe de dar el 100% de la actividad.</t>
        </r>
      </text>
    </comment>
    <comment ref="A66" authorId="0" shapeId="0" xr:uid="{EDCF4166-5B45-436A-876A-45E7730702F1}">
      <text>
        <r>
          <rPr>
            <sz val="9"/>
            <color indexed="81"/>
            <rFont val="Tahoma"/>
            <family val="2"/>
          </rPr>
          <t xml:space="preserve">
La suma del % de peso físico de las subactividades debe de dar el 100% de la actividad.</t>
        </r>
      </text>
    </comment>
    <comment ref="A67" authorId="0" shapeId="0" xr:uid="{64267AC1-34A6-416D-A093-CDF282DC732B}">
      <text>
        <r>
          <rPr>
            <sz val="9"/>
            <color indexed="81"/>
            <rFont val="Tahoma"/>
            <family val="2"/>
          </rPr>
          <t xml:space="preserve">
La suma del % de peso físico de las actividades debe de dar el 100% del alcance.</t>
        </r>
      </text>
    </comment>
    <comment ref="A68" authorId="0" shapeId="0" xr:uid="{4A24EE0F-B4BD-42B4-8C02-1C1FBAB6CC95}">
      <text>
        <r>
          <rPr>
            <sz val="9"/>
            <color indexed="81"/>
            <rFont val="Tahoma"/>
            <family val="2"/>
          </rPr>
          <t xml:space="preserve">
La suma del % de peso físico de las subactividades debe de dar el 100% de la actividad.</t>
        </r>
      </text>
    </comment>
    <comment ref="A69" authorId="0" shapeId="0" xr:uid="{5D4B7175-CFA4-443A-BFDE-65A512ACFE33}">
      <text>
        <r>
          <rPr>
            <sz val="9"/>
            <color indexed="81"/>
            <rFont val="Tahoma"/>
            <family val="2"/>
          </rPr>
          <t xml:space="preserve">
La suma del % de peso físico de las subactividades debe de dar el 100% de la actividad.</t>
        </r>
      </text>
    </comment>
    <comment ref="A70" authorId="0" shapeId="0" xr:uid="{A9A3BA4D-23BB-455E-BB57-CF9AECB09AD9}">
      <text>
        <r>
          <rPr>
            <sz val="9"/>
            <color indexed="81"/>
            <rFont val="Tahoma"/>
            <family val="2"/>
          </rPr>
          <t xml:space="preserve">
La suma del % de peso físico de las subactividades debe de dar el 100% de la actividad.</t>
        </r>
      </text>
    </comment>
    <comment ref="A71" authorId="0" shapeId="0" xr:uid="{0350A1A4-C9F8-4F05-BD08-7E97599D609E}">
      <text>
        <r>
          <rPr>
            <sz val="9"/>
            <color indexed="81"/>
            <rFont val="Tahoma"/>
            <family val="2"/>
          </rPr>
          <t xml:space="preserve">
La suma del % de peso físico de las subactividades debe de dar el 100% de la actividad.</t>
        </r>
      </text>
    </comment>
    <comment ref="A72" authorId="0" shapeId="0" xr:uid="{48DFF27E-E971-4EA7-8C21-CE01E8A118F7}">
      <text>
        <r>
          <rPr>
            <sz val="9"/>
            <color indexed="81"/>
            <rFont val="Tahoma"/>
            <family val="2"/>
          </rPr>
          <t xml:space="preserve">
La suma del % de peso físico de las subactividades debe de dar el 100% de la actividad.</t>
        </r>
      </text>
    </comment>
    <comment ref="A73" authorId="0" shapeId="0" xr:uid="{A8BF3184-08DB-4A66-AF46-120E647B488B}">
      <text>
        <r>
          <rPr>
            <sz val="9"/>
            <color indexed="81"/>
            <rFont val="Tahoma"/>
            <family val="2"/>
          </rPr>
          <t xml:space="preserve">
La suma del % de peso físico de las actividades debe de dar el 100% del alcance.</t>
        </r>
      </text>
    </comment>
    <comment ref="A74" authorId="0" shapeId="0" xr:uid="{8F595C47-BB77-436F-A7AD-85E01D046DAA}">
      <text>
        <r>
          <rPr>
            <sz val="9"/>
            <color indexed="81"/>
            <rFont val="Tahoma"/>
            <family val="2"/>
          </rPr>
          <t xml:space="preserve">
La suma del % de peso físico de las subactividades debe de dar el 100% de la actividad.</t>
        </r>
      </text>
    </comment>
    <comment ref="A75" authorId="0" shapeId="0" xr:uid="{BC0AE7BB-5775-42A0-9DDB-287C96DDA4F1}">
      <text>
        <r>
          <rPr>
            <sz val="9"/>
            <color indexed="81"/>
            <rFont val="Tahoma"/>
            <family val="2"/>
          </rPr>
          <t xml:space="preserve">
La suma del % de peso físico de las subactividades debe de dar el 100% de la actividad.</t>
        </r>
      </text>
    </comment>
    <comment ref="A76" authorId="0" shapeId="0" xr:uid="{481C7625-ECEF-4DD0-A40D-5B6B23947C3B}">
      <text>
        <r>
          <rPr>
            <sz val="9"/>
            <color indexed="81"/>
            <rFont val="Tahoma"/>
            <family val="2"/>
          </rPr>
          <t xml:space="preserve">
La suma del % de peso físico de las subactividades debe de dar el 100% de la actividad.</t>
        </r>
      </text>
    </comment>
    <comment ref="A77" authorId="0" shapeId="0" xr:uid="{76689DDC-0EFE-4B27-AFAF-05256AAF5EBA}">
      <text>
        <r>
          <rPr>
            <sz val="9"/>
            <color indexed="81"/>
            <rFont val="Tahoma"/>
            <family val="2"/>
          </rPr>
          <t xml:space="preserve">
La suma del % de peso físico de las subactividades debe de dar el 100% de la actividad.</t>
        </r>
      </text>
    </comment>
    <comment ref="A78" authorId="0" shapeId="0" xr:uid="{5E39F477-9CF0-4A12-9CDB-B5730DB2FEF2}">
      <text>
        <r>
          <rPr>
            <sz val="9"/>
            <color indexed="81"/>
            <rFont val="Tahoma"/>
            <family val="2"/>
          </rPr>
          <t xml:space="preserve">
La suma del % de peso físico de las subactividades debe de dar el 100% de la actividad.</t>
        </r>
      </text>
    </comment>
    <comment ref="A79" authorId="0" shapeId="0" xr:uid="{4744C484-AA79-4B44-8B42-E435C551314E}">
      <text>
        <r>
          <rPr>
            <sz val="9"/>
            <color indexed="81"/>
            <rFont val="Tahoma"/>
            <family val="2"/>
          </rPr>
          <t xml:space="preserve">
la suma del % de peso físico de los alcances debe de dar el 100% del producto a obtener.</t>
        </r>
      </text>
    </comment>
    <comment ref="A80" authorId="0" shapeId="0" xr:uid="{77AEC9ED-BD98-4E8A-A4D0-5AA8884FAA45}">
      <text>
        <r>
          <rPr>
            <sz val="9"/>
            <color indexed="81"/>
            <rFont val="Tahoma"/>
            <family val="2"/>
          </rPr>
          <t xml:space="preserve">
La suma del % de peso físico de las actividades debe de dar el 100% del alcance.</t>
        </r>
      </text>
    </comment>
    <comment ref="A81" authorId="0" shapeId="0" xr:uid="{27D51A04-8735-4092-B5EE-8897BE5FD89D}">
      <text>
        <r>
          <rPr>
            <sz val="9"/>
            <color indexed="81"/>
            <rFont val="Tahoma"/>
            <family val="2"/>
          </rPr>
          <t xml:space="preserve">
La suma del % de peso físico de las subactividades debe de dar el 100% de la actividad.</t>
        </r>
      </text>
    </comment>
    <comment ref="A82" authorId="0" shapeId="0" xr:uid="{4F9B2C8B-1072-444F-8996-D3B32AB6A4AC}">
      <text>
        <r>
          <rPr>
            <sz val="9"/>
            <color indexed="81"/>
            <rFont val="Tahoma"/>
            <family val="2"/>
          </rPr>
          <t xml:space="preserve">
La suma del % de peso físico de las subactividades debe de dar el 100% de la actividad.</t>
        </r>
      </text>
    </comment>
    <comment ref="A83" authorId="0" shapeId="0" xr:uid="{474807AB-DB67-43DB-A059-4B479B561D0F}">
      <text>
        <r>
          <rPr>
            <sz val="9"/>
            <color indexed="81"/>
            <rFont val="Tahoma"/>
            <family val="2"/>
          </rPr>
          <t xml:space="preserve">
La suma del % de peso físico de las subactividades debe de dar el 100% de la actividad.</t>
        </r>
      </text>
    </comment>
    <comment ref="A84" authorId="0" shapeId="0" xr:uid="{AE766EB1-4C6E-4F7F-A027-BA00AD33F748}">
      <text>
        <r>
          <rPr>
            <sz val="9"/>
            <color indexed="81"/>
            <rFont val="Tahoma"/>
            <family val="2"/>
          </rPr>
          <t xml:space="preserve">
La suma del % de peso físico de las subactividades debe de dar el 100% de la actividad.</t>
        </r>
      </text>
    </comment>
    <comment ref="A85" authorId="0" shapeId="0" xr:uid="{AC2D8413-39E0-4277-B816-45FD0F88591D}">
      <text>
        <r>
          <rPr>
            <sz val="9"/>
            <color indexed="81"/>
            <rFont val="Tahoma"/>
            <family val="2"/>
          </rPr>
          <t xml:space="preserve">
La suma del % de peso físico de las subactividades debe de dar el 100% de la actividad.</t>
        </r>
      </text>
    </comment>
    <comment ref="A86" authorId="0" shapeId="0" xr:uid="{06EC841A-A9D1-4145-9E4F-CEAACD8B7FD7}">
      <text>
        <r>
          <rPr>
            <sz val="9"/>
            <color indexed="81"/>
            <rFont val="Tahoma"/>
            <family val="2"/>
          </rPr>
          <t xml:space="preserve">
La suma del % de peso físico de las actividades debe de dar el 100% del alcance.</t>
        </r>
      </text>
    </comment>
    <comment ref="A87" authorId="0" shapeId="0" xr:uid="{3D65711B-9AB9-4C23-98B0-B102CDE4B103}">
      <text>
        <r>
          <rPr>
            <sz val="9"/>
            <color indexed="81"/>
            <rFont val="Tahoma"/>
            <family val="2"/>
          </rPr>
          <t xml:space="preserve">
La suma del % de peso físico de las subactividades debe de dar el 100% de la actividad.</t>
        </r>
      </text>
    </comment>
    <comment ref="A88" authorId="0" shapeId="0" xr:uid="{DFE26640-E921-4ECA-AE42-A12ACA1AE070}">
      <text>
        <r>
          <rPr>
            <sz val="9"/>
            <color indexed="81"/>
            <rFont val="Tahoma"/>
            <family val="2"/>
          </rPr>
          <t xml:space="preserve">
La suma del % de peso físico de las subactividades debe de dar el 100% de la actividad.</t>
        </r>
      </text>
    </comment>
    <comment ref="A89" authorId="0" shapeId="0" xr:uid="{7D6BB7E9-1AB7-4C3B-AA03-D2071C315A9D}">
      <text>
        <r>
          <rPr>
            <sz val="9"/>
            <color indexed="81"/>
            <rFont val="Tahoma"/>
            <family val="2"/>
          </rPr>
          <t xml:space="preserve">
La suma del % de peso físico de las subactividades debe de dar el 100% de la actividad.</t>
        </r>
      </text>
    </comment>
    <comment ref="A90" authorId="0" shapeId="0" xr:uid="{B1902C0E-875F-4BD0-83C0-2EB8870E2613}">
      <text>
        <r>
          <rPr>
            <sz val="9"/>
            <color indexed="81"/>
            <rFont val="Tahoma"/>
            <family val="2"/>
          </rPr>
          <t xml:space="preserve">
La suma del % de peso físico de las subactividades debe de dar el 100% de la actividad.</t>
        </r>
      </text>
    </comment>
    <comment ref="A91" authorId="0" shapeId="0" xr:uid="{2149DDB1-3E01-44C7-B42C-1ECCEFAF8B3A}">
      <text>
        <r>
          <rPr>
            <sz val="9"/>
            <color indexed="81"/>
            <rFont val="Tahoma"/>
            <family val="2"/>
          </rPr>
          <t xml:space="preserve">
La suma del % de peso físico de las subactividades debe de dar el 100% de la actividad.</t>
        </r>
      </text>
    </comment>
    <comment ref="A92" authorId="0" shapeId="0" xr:uid="{562CA903-F1F2-42D9-B15B-06FD5E56DAA5}">
      <text>
        <r>
          <rPr>
            <sz val="9"/>
            <color indexed="81"/>
            <rFont val="Tahoma"/>
            <family val="2"/>
          </rPr>
          <t xml:space="preserve">
La suma del % de peso físico de las actividades debe de dar el 100% del alcance.</t>
        </r>
      </text>
    </comment>
    <comment ref="A93" authorId="0" shapeId="0" xr:uid="{0C2BD525-4228-4C6F-BCF0-0FDCBDF0CC57}">
      <text>
        <r>
          <rPr>
            <sz val="9"/>
            <color indexed="81"/>
            <rFont val="Tahoma"/>
            <family val="2"/>
          </rPr>
          <t xml:space="preserve">
La suma del % de peso físico de las subactividades debe de dar el 100% de la actividad.</t>
        </r>
      </text>
    </comment>
    <comment ref="A94" authorId="0" shapeId="0" xr:uid="{B76E31AE-3011-4CA8-80F9-5523EFA82D32}">
      <text>
        <r>
          <rPr>
            <sz val="9"/>
            <color indexed="81"/>
            <rFont val="Tahoma"/>
            <family val="2"/>
          </rPr>
          <t xml:space="preserve">
La suma del % de peso físico de las subactividades debe de dar el 100% de la actividad.</t>
        </r>
      </text>
    </comment>
    <comment ref="A95" authorId="0" shapeId="0" xr:uid="{159AD741-D0E0-4CC0-B948-653DDA286EE4}">
      <text>
        <r>
          <rPr>
            <sz val="9"/>
            <color indexed="81"/>
            <rFont val="Tahoma"/>
            <family val="2"/>
          </rPr>
          <t xml:space="preserve">
La suma del % de peso físico de las subactividades debe de dar el 100% de la actividad.</t>
        </r>
      </text>
    </comment>
    <comment ref="A96" authorId="0" shapeId="0" xr:uid="{ABB348F8-4DEC-48C7-947D-82663EACE53C}">
      <text>
        <r>
          <rPr>
            <sz val="9"/>
            <color indexed="81"/>
            <rFont val="Tahoma"/>
            <family val="2"/>
          </rPr>
          <t xml:space="preserve">
La suma del % de peso físico de las subactividades debe de dar el 100% de la actividad.</t>
        </r>
      </text>
    </comment>
    <comment ref="A97" authorId="0" shapeId="0" xr:uid="{BD2F04BB-B82E-429B-93A5-7394FEDB2A6C}">
      <text>
        <r>
          <rPr>
            <sz val="9"/>
            <color indexed="81"/>
            <rFont val="Tahoma"/>
            <family val="2"/>
          </rPr>
          <t xml:space="preserve">
La suma del % de peso físico de las subactividades debe de dar el 100% de la actividad.</t>
        </r>
      </text>
    </comment>
    <comment ref="A98" authorId="0" shapeId="0" xr:uid="{CBC6FDD9-FACF-4C00-BD56-7F3101D75DAC}">
      <text>
        <r>
          <rPr>
            <sz val="9"/>
            <color indexed="81"/>
            <rFont val="Tahoma"/>
            <family val="2"/>
          </rPr>
          <t xml:space="preserve">
La suma del % de peso físico de las actividades debe de dar el 100% del alcance.</t>
        </r>
      </text>
    </comment>
    <comment ref="A99" authorId="0" shapeId="0" xr:uid="{96468945-18B4-412E-A6A3-F5D171747874}">
      <text>
        <r>
          <rPr>
            <sz val="9"/>
            <color indexed="81"/>
            <rFont val="Tahoma"/>
            <family val="2"/>
          </rPr>
          <t xml:space="preserve">
La suma del % de peso físico de las subactividades debe de dar el 100% de la actividad.</t>
        </r>
      </text>
    </comment>
    <comment ref="A100" authorId="0" shapeId="0" xr:uid="{845BAD10-D5E6-40A2-9A88-0CFBF80C08B5}">
      <text>
        <r>
          <rPr>
            <sz val="9"/>
            <color indexed="81"/>
            <rFont val="Tahoma"/>
            <family val="2"/>
          </rPr>
          <t xml:space="preserve">
La suma del % de peso físico de las subactividades debe de dar el 100% de la actividad.</t>
        </r>
      </text>
    </comment>
    <comment ref="A101" authorId="0" shapeId="0" xr:uid="{0F661EBB-C945-41F9-BA84-46CB4C14F1E1}">
      <text>
        <r>
          <rPr>
            <sz val="9"/>
            <color indexed="81"/>
            <rFont val="Tahoma"/>
            <family val="2"/>
          </rPr>
          <t xml:space="preserve">
La suma del % de peso físico de las subactividades debe de dar el 100% de la actividad.</t>
        </r>
      </text>
    </comment>
    <comment ref="A102" authorId="0" shapeId="0" xr:uid="{1E203480-8EB6-4BE1-B35C-8D0259A8786A}">
      <text>
        <r>
          <rPr>
            <sz val="9"/>
            <color indexed="81"/>
            <rFont val="Tahoma"/>
            <family val="2"/>
          </rPr>
          <t xml:space="preserve">
La suma del % de peso físico de las subactividades debe de dar el 100% de la actividad.</t>
        </r>
      </text>
    </comment>
    <comment ref="A103" authorId="0" shapeId="0" xr:uid="{580F6421-E995-4BBC-8266-65ED96014884}">
      <text>
        <r>
          <rPr>
            <sz val="9"/>
            <color indexed="81"/>
            <rFont val="Tahoma"/>
            <family val="2"/>
          </rPr>
          <t xml:space="preserve">
La suma del % de peso físico de las subactividades debe de dar el 100% de la actividad.</t>
        </r>
      </text>
    </comment>
    <comment ref="A104" authorId="0" shapeId="0" xr:uid="{69372297-49CA-4F11-AE39-454E76BCE4DA}">
      <text>
        <r>
          <rPr>
            <sz val="9"/>
            <color indexed="81"/>
            <rFont val="Tahoma"/>
            <family val="2"/>
          </rPr>
          <t xml:space="preserve">
La suma del % de peso físico de las actividades debe de dar el 100% del alcance.</t>
        </r>
      </text>
    </comment>
    <comment ref="A105" authorId="0" shapeId="0" xr:uid="{6B341089-5BD6-4591-9B4B-AD824870AB28}">
      <text>
        <r>
          <rPr>
            <sz val="9"/>
            <color indexed="81"/>
            <rFont val="Tahoma"/>
            <family val="2"/>
          </rPr>
          <t xml:space="preserve">
La suma del % de peso físico de las subactividades debe de dar el 100% de la actividad.</t>
        </r>
      </text>
    </comment>
    <comment ref="A106" authorId="0" shapeId="0" xr:uid="{153D3B89-6873-40FA-B664-C9C5208D519E}">
      <text>
        <r>
          <rPr>
            <sz val="9"/>
            <color indexed="81"/>
            <rFont val="Tahoma"/>
            <family val="2"/>
          </rPr>
          <t xml:space="preserve">
La suma del % de peso físico de las subactividades debe de dar el 100% de la actividad.</t>
        </r>
      </text>
    </comment>
    <comment ref="A107" authorId="0" shapeId="0" xr:uid="{AD0A15D2-ACA7-482E-9FF4-AF09EBB16455}">
      <text>
        <r>
          <rPr>
            <sz val="9"/>
            <color indexed="81"/>
            <rFont val="Tahoma"/>
            <family val="2"/>
          </rPr>
          <t xml:space="preserve">
La suma del % de peso físico de las subactividades debe de dar el 100% de la actividad.</t>
        </r>
      </text>
    </comment>
    <comment ref="A108" authorId="0" shapeId="0" xr:uid="{6BE939D0-297D-435C-8F09-326C9F391DE4}">
      <text>
        <r>
          <rPr>
            <sz val="9"/>
            <color indexed="81"/>
            <rFont val="Tahoma"/>
            <family val="2"/>
          </rPr>
          <t xml:space="preserve">
La suma del % de peso físico de las subactividades debe de dar el 100% de la actividad.</t>
        </r>
      </text>
    </comment>
    <comment ref="A109" authorId="0" shapeId="0" xr:uid="{19C37BDE-5C5E-4B27-B44D-4550CC94423A}">
      <text>
        <r>
          <rPr>
            <sz val="9"/>
            <color indexed="81"/>
            <rFont val="Tahoma"/>
            <family val="2"/>
          </rPr>
          <t xml:space="preserve">
La suma del % de peso físico de las subactividades debe de dar el 100% de la actividad.</t>
        </r>
      </text>
    </comment>
    <comment ref="A110" authorId="0" shapeId="0" xr:uid="{958A45F0-B0E2-4F04-B2FE-AFD1BB28C4C8}">
      <text>
        <r>
          <rPr>
            <sz val="9"/>
            <color indexed="81"/>
            <rFont val="Tahoma"/>
            <family val="2"/>
          </rPr>
          <t xml:space="preserve">
la suma del % de peso físico de los alcances debe de dar el 100% del producto a obtener.</t>
        </r>
      </text>
    </comment>
    <comment ref="A111" authorId="0" shapeId="0" xr:uid="{8E981EE2-603E-4ED9-8CBD-8AF7372620F5}">
      <text>
        <r>
          <rPr>
            <sz val="9"/>
            <color indexed="81"/>
            <rFont val="Tahoma"/>
            <family val="2"/>
          </rPr>
          <t xml:space="preserve">
La suma del % de peso físico de las actividades debe de dar el 100% del alcance.</t>
        </r>
      </text>
    </comment>
    <comment ref="A112" authorId="0" shapeId="0" xr:uid="{B273F48D-7988-476A-B89D-54973FF9E76E}">
      <text>
        <r>
          <rPr>
            <sz val="9"/>
            <color indexed="81"/>
            <rFont val="Tahoma"/>
            <family val="2"/>
          </rPr>
          <t xml:space="preserve">
La suma del % de peso físico de las subactividades debe de dar el 100% de la actividad.</t>
        </r>
      </text>
    </comment>
    <comment ref="A113" authorId="0" shapeId="0" xr:uid="{AD536196-70F3-4B85-9560-7D943548C221}">
      <text>
        <r>
          <rPr>
            <sz val="9"/>
            <color indexed="81"/>
            <rFont val="Tahoma"/>
            <family val="2"/>
          </rPr>
          <t xml:space="preserve">
La suma del % de peso físico de las subactividades debe de dar el 100% de la actividad.</t>
        </r>
      </text>
    </comment>
    <comment ref="A114" authorId="0" shapeId="0" xr:uid="{95469DAA-B20E-4A0E-A641-19F2C336F23E}">
      <text>
        <r>
          <rPr>
            <sz val="9"/>
            <color indexed="81"/>
            <rFont val="Tahoma"/>
            <family val="2"/>
          </rPr>
          <t xml:space="preserve">
La suma del % de peso físico de las subactividades debe de dar el 100% de la actividad.</t>
        </r>
      </text>
    </comment>
    <comment ref="A115" authorId="0" shapeId="0" xr:uid="{BB44E65D-20BA-4C6E-B921-30771139315B}">
      <text>
        <r>
          <rPr>
            <sz val="9"/>
            <color indexed="81"/>
            <rFont val="Tahoma"/>
            <family val="2"/>
          </rPr>
          <t xml:space="preserve">
La suma del % de peso físico de las subactividades debe de dar el 100% de la actividad.</t>
        </r>
      </text>
    </comment>
    <comment ref="A116" authorId="0" shapeId="0" xr:uid="{8346A07B-E511-4466-8B83-95CE9B996B34}">
      <text>
        <r>
          <rPr>
            <sz val="9"/>
            <color indexed="81"/>
            <rFont val="Tahoma"/>
            <family val="2"/>
          </rPr>
          <t xml:space="preserve">
La suma del % de peso físico de las subactividades debe de dar el 100% de la actividad.</t>
        </r>
      </text>
    </comment>
    <comment ref="A117" authorId="0" shapeId="0" xr:uid="{A5A32288-9152-4E61-83AD-E14AE9D13AD0}">
      <text>
        <r>
          <rPr>
            <sz val="9"/>
            <color indexed="81"/>
            <rFont val="Tahoma"/>
            <family val="2"/>
          </rPr>
          <t xml:space="preserve">
La suma del % de peso físico de las actividades debe de dar el 100% del alcance.</t>
        </r>
      </text>
    </comment>
    <comment ref="A118" authorId="0" shapeId="0" xr:uid="{7E158FD5-EA6F-47ED-9898-D8E85F2F9A6E}">
      <text>
        <r>
          <rPr>
            <sz val="9"/>
            <color indexed="81"/>
            <rFont val="Tahoma"/>
            <family val="2"/>
          </rPr>
          <t xml:space="preserve">
La suma del % de peso físico de las subactividades debe de dar el 100% de la actividad.</t>
        </r>
      </text>
    </comment>
    <comment ref="A119" authorId="0" shapeId="0" xr:uid="{60D74E67-347A-4D24-A9A3-B9C7EC547942}">
      <text>
        <r>
          <rPr>
            <sz val="9"/>
            <color indexed="81"/>
            <rFont val="Tahoma"/>
            <family val="2"/>
          </rPr>
          <t xml:space="preserve">
La suma del % de peso físico de las subactividades debe de dar el 100% de la actividad.</t>
        </r>
      </text>
    </comment>
    <comment ref="A120" authorId="0" shapeId="0" xr:uid="{758A38D9-3E54-4B91-8827-F3C985F5E6CD}">
      <text>
        <r>
          <rPr>
            <sz val="9"/>
            <color indexed="81"/>
            <rFont val="Tahoma"/>
            <family val="2"/>
          </rPr>
          <t xml:space="preserve">
La suma del % de peso físico de las subactividades debe de dar el 100% de la actividad.</t>
        </r>
      </text>
    </comment>
    <comment ref="A121" authorId="0" shapeId="0" xr:uid="{C72C3069-7281-48F0-9E19-96B5E52FD7DC}">
      <text>
        <r>
          <rPr>
            <sz val="9"/>
            <color indexed="81"/>
            <rFont val="Tahoma"/>
            <family val="2"/>
          </rPr>
          <t xml:space="preserve">
La suma del % de peso físico de las subactividades debe de dar el 100% de la actividad.</t>
        </r>
      </text>
    </comment>
    <comment ref="A122" authorId="0" shapeId="0" xr:uid="{3528C20A-788E-4139-936E-7EA4EE438AF5}">
      <text>
        <r>
          <rPr>
            <sz val="9"/>
            <color indexed="81"/>
            <rFont val="Tahoma"/>
            <family val="2"/>
          </rPr>
          <t xml:space="preserve">
La suma del % de peso físico de las subactividades debe de dar el 100% de la actividad.</t>
        </r>
      </text>
    </comment>
    <comment ref="A123" authorId="0" shapeId="0" xr:uid="{A08C8F7E-E2D9-4A81-844B-E0ED446691FD}">
      <text>
        <r>
          <rPr>
            <sz val="9"/>
            <color indexed="81"/>
            <rFont val="Tahoma"/>
            <family val="2"/>
          </rPr>
          <t xml:space="preserve">
La suma del % de peso físico de las actividades debe de dar el 100% del alcance.</t>
        </r>
      </text>
    </comment>
    <comment ref="A124" authorId="0" shapeId="0" xr:uid="{C06843C0-5D7A-45B3-AF93-7538076F4713}">
      <text>
        <r>
          <rPr>
            <sz val="9"/>
            <color indexed="81"/>
            <rFont val="Tahoma"/>
            <family val="2"/>
          </rPr>
          <t xml:space="preserve">
La suma del % de peso físico de las subactividades debe de dar el 100% de la actividad.</t>
        </r>
      </text>
    </comment>
    <comment ref="A125" authorId="0" shapeId="0" xr:uid="{2B30EE84-12ED-4744-B6E3-06F285D240D2}">
      <text>
        <r>
          <rPr>
            <sz val="9"/>
            <color indexed="81"/>
            <rFont val="Tahoma"/>
            <family val="2"/>
          </rPr>
          <t xml:space="preserve">
La suma del % de peso físico de las subactividades debe de dar el 100% de la actividad.</t>
        </r>
      </text>
    </comment>
    <comment ref="A126" authorId="0" shapeId="0" xr:uid="{47D75588-FA83-49CE-86F8-701E51BCA180}">
      <text>
        <r>
          <rPr>
            <sz val="9"/>
            <color indexed="81"/>
            <rFont val="Tahoma"/>
            <family val="2"/>
          </rPr>
          <t xml:space="preserve">
La suma del % de peso físico de las subactividades debe de dar el 100% de la actividad.</t>
        </r>
      </text>
    </comment>
    <comment ref="A127" authorId="0" shapeId="0" xr:uid="{8CA50817-ABC5-46AF-8972-74D1C45F975C}">
      <text>
        <r>
          <rPr>
            <sz val="9"/>
            <color indexed="81"/>
            <rFont val="Tahoma"/>
            <family val="2"/>
          </rPr>
          <t xml:space="preserve">
La suma del % de peso físico de las subactividades debe de dar el 100% de la actividad.</t>
        </r>
      </text>
    </comment>
    <comment ref="A128" authorId="0" shapeId="0" xr:uid="{394D3D4F-BA22-4124-8C7F-CFDEA37E02FC}">
      <text>
        <r>
          <rPr>
            <sz val="9"/>
            <color indexed="81"/>
            <rFont val="Tahoma"/>
            <family val="2"/>
          </rPr>
          <t xml:space="preserve">
La suma del % de peso físico de las subactividades debe de dar el 100% de la actividad.</t>
        </r>
      </text>
    </comment>
    <comment ref="A129" authorId="0" shapeId="0" xr:uid="{79B7F476-8F39-43D5-B648-8EC67CFBDFC4}">
      <text>
        <r>
          <rPr>
            <sz val="9"/>
            <color indexed="81"/>
            <rFont val="Tahoma"/>
            <family val="2"/>
          </rPr>
          <t xml:space="preserve">
La suma del % de peso físico de las actividades debe de dar el 100% del alcance.</t>
        </r>
      </text>
    </comment>
    <comment ref="A130" authorId="0" shapeId="0" xr:uid="{70DA6C19-4C56-41F7-8B0A-75B8C4A7EF0A}">
      <text>
        <r>
          <rPr>
            <sz val="9"/>
            <color indexed="81"/>
            <rFont val="Tahoma"/>
            <family val="2"/>
          </rPr>
          <t xml:space="preserve">
La suma del % de peso físico de las subactividades debe de dar el 100% de la actividad.</t>
        </r>
      </text>
    </comment>
    <comment ref="A131" authorId="0" shapeId="0" xr:uid="{DA6D47A0-E413-4690-9F4C-A969F18DFCA7}">
      <text>
        <r>
          <rPr>
            <sz val="9"/>
            <color indexed="81"/>
            <rFont val="Tahoma"/>
            <family val="2"/>
          </rPr>
          <t xml:space="preserve">
La suma del % de peso físico de las subactividades debe de dar el 100% de la actividad.</t>
        </r>
      </text>
    </comment>
    <comment ref="A132" authorId="0" shapeId="0" xr:uid="{FCA10C7E-8655-42AD-9E59-60F9EA5D130A}">
      <text>
        <r>
          <rPr>
            <sz val="9"/>
            <color indexed="81"/>
            <rFont val="Tahoma"/>
            <family val="2"/>
          </rPr>
          <t xml:space="preserve">
La suma del % de peso físico de las subactividades debe de dar el 100% de la actividad.</t>
        </r>
      </text>
    </comment>
    <comment ref="A133" authorId="0" shapeId="0" xr:uid="{EDD5F5D0-B643-4750-8755-5BA39F879033}">
      <text>
        <r>
          <rPr>
            <sz val="9"/>
            <color indexed="81"/>
            <rFont val="Tahoma"/>
            <family val="2"/>
          </rPr>
          <t xml:space="preserve">
La suma del % de peso físico de las subactividades debe de dar el 100% de la actividad.</t>
        </r>
      </text>
    </comment>
    <comment ref="A134" authorId="0" shapeId="0" xr:uid="{987F7770-2591-40B3-9E44-A461BEBACB22}">
      <text>
        <r>
          <rPr>
            <sz val="9"/>
            <color indexed="81"/>
            <rFont val="Tahoma"/>
            <family val="2"/>
          </rPr>
          <t xml:space="preserve">
La suma del % de peso físico de las subactividades debe de dar el 100% de la actividad.</t>
        </r>
      </text>
    </comment>
    <comment ref="A135" authorId="0" shapeId="0" xr:uid="{BE73486F-426E-4991-AC78-FFB30844FEA0}">
      <text>
        <r>
          <rPr>
            <sz val="9"/>
            <color indexed="81"/>
            <rFont val="Tahoma"/>
            <family val="2"/>
          </rPr>
          <t xml:space="preserve">
La suma del % de peso físico de las actividades debe de dar el 100% del alcance.</t>
        </r>
      </text>
    </comment>
    <comment ref="A136" authorId="0" shapeId="0" xr:uid="{9EEB277A-9EF7-4178-8044-0A691BEFDB57}">
      <text>
        <r>
          <rPr>
            <sz val="9"/>
            <color indexed="81"/>
            <rFont val="Tahoma"/>
            <family val="2"/>
          </rPr>
          <t xml:space="preserve">
La suma del % de peso físico de las subactividades debe de dar el 100% de la actividad.</t>
        </r>
      </text>
    </comment>
    <comment ref="A137" authorId="0" shapeId="0" xr:uid="{8A940046-86A6-47DE-B7A5-E92DFC84C185}">
      <text>
        <r>
          <rPr>
            <sz val="9"/>
            <color indexed="81"/>
            <rFont val="Tahoma"/>
            <family val="2"/>
          </rPr>
          <t xml:space="preserve">
La suma del % de peso físico de las subactividades debe de dar el 100% de la actividad.</t>
        </r>
      </text>
    </comment>
    <comment ref="A138" authorId="0" shapeId="0" xr:uid="{822B1F44-C15F-4E8A-B024-646BCBBF3222}">
      <text>
        <r>
          <rPr>
            <sz val="9"/>
            <color indexed="81"/>
            <rFont val="Tahoma"/>
            <family val="2"/>
          </rPr>
          <t xml:space="preserve">
La suma del % de peso físico de las subactividades debe de dar el 100% de la actividad.</t>
        </r>
      </text>
    </comment>
    <comment ref="A139" authorId="0" shapeId="0" xr:uid="{B3804CA2-87F6-49AB-83C3-5B4BA184743D}">
      <text>
        <r>
          <rPr>
            <sz val="9"/>
            <color indexed="81"/>
            <rFont val="Tahoma"/>
            <family val="2"/>
          </rPr>
          <t xml:space="preserve">
La suma del % de peso físico de las subactividades debe de dar el 100% de la actividad.</t>
        </r>
      </text>
    </comment>
    <comment ref="A140" authorId="0" shapeId="0" xr:uid="{B7CB09A1-B7D5-46C4-BDAF-171E4F16BE67}">
      <text>
        <r>
          <rPr>
            <sz val="9"/>
            <color indexed="81"/>
            <rFont val="Tahoma"/>
            <family val="2"/>
          </rPr>
          <t xml:space="preserve">
La suma del % de peso físico de las subactividades debe de dar el 100% de la actividad.</t>
        </r>
      </text>
    </comment>
    <comment ref="A141" authorId="0" shapeId="0" xr:uid="{576C52E6-E202-4A32-87E1-81E2826B7349}">
      <text>
        <r>
          <rPr>
            <sz val="9"/>
            <color indexed="81"/>
            <rFont val="Tahoma"/>
            <family val="2"/>
          </rPr>
          <t xml:space="preserve">
la suma del % de peso físico de los alcances debe de dar el 100% del producto a obtener.</t>
        </r>
      </text>
    </comment>
    <comment ref="A142" authorId="0" shapeId="0" xr:uid="{29139A22-EDA8-4F47-BE18-64765617FEA7}">
      <text>
        <r>
          <rPr>
            <sz val="9"/>
            <color indexed="81"/>
            <rFont val="Tahoma"/>
            <family val="2"/>
          </rPr>
          <t xml:space="preserve">
La suma del % de peso físico de las actividades debe de dar el 100% del alcance.</t>
        </r>
      </text>
    </comment>
    <comment ref="A143" authorId="0" shapeId="0" xr:uid="{6EE516BE-BE5D-42E0-8169-12D29B6064C6}">
      <text>
        <r>
          <rPr>
            <sz val="9"/>
            <color indexed="81"/>
            <rFont val="Tahoma"/>
            <family val="2"/>
          </rPr>
          <t xml:space="preserve">
La suma del % de peso físico de las subactividades debe de dar el 100% de la actividad.</t>
        </r>
      </text>
    </comment>
    <comment ref="A144" authorId="0" shapeId="0" xr:uid="{AC9FD1B4-91A9-46AB-9CB4-D4548DA50118}">
      <text>
        <r>
          <rPr>
            <sz val="9"/>
            <color indexed="81"/>
            <rFont val="Tahoma"/>
            <family val="2"/>
          </rPr>
          <t xml:space="preserve">
La suma del % de peso físico de las subactividades debe de dar el 100% de la actividad.</t>
        </r>
      </text>
    </comment>
    <comment ref="A145" authorId="0" shapeId="0" xr:uid="{D095041B-C477-4B94-BAC2-86F741244F77}">
      <text>
        <r>
          <rPr>
            <sz val="9"/>
            <color indexed="81"/>
            <rFont val="Tahoma"/>
            <family val="2"/>
          </rPr>
          <t xml:space="preserve">
La suma del % de peso físico de las subactividades debe de dar el 100% de la actividad.</t>
        </r>
      </text>
    </comment>
    <comment ref="A146" authorId="0" shapeId="0" xr:uid="{39335A8F-786D-44F1-8D03-3B8D84B63B56}">
      <text>
        <r>
          <rPr>
            <sz val="9"/>
            <color indexed="81"/>
            <rFont val="Tahoma"/>
            <family val="2"/>
          </rPr>
          <t xml:space="preserve">
La suma del % de peso físico de las subactividades debe de dar el 100% de la actividad.</t>
        </r>
      </text>
    </comment>
    <comment ref="A147" authorId="0" shapeId="0" xr:uid="{616D7768-1021-48F6-8B37-2C1448EACAE9}">
      <text>
        <r>
          <rPr>
            <sz val="9"/>
            <color indexed="81"/>
            <rFont val="Tahoma"/>
            <family val="2"/>
          </rPr>
          <t xml:space="preserve">
La suma del % de peso físico de las subactividades debe de dar el 100% de la actividad.</t>
        </r>
      </text>
    </comment>
    <comment ref="A148" authorId="0" shapeId="0" xr:uid="{7604AA3D-9F78-4318-A78C-AE42E4AA0AD0}">
      <text>
        <r>
          <rPr>
            <sz val="9"/>
            <color indexed="81"/>
            <rFont val="Tahoma"/>
            <family val="2"/>
          </rPr>
          <t xml:space="preserve">
La suma del % de peso físico de las actividades debe de dar el 100% del alcance.</t>
        </r>
      </text>
    </comment>
    <comment ref="A149" authorId="0" shapeId="0" xr:uid="{08CEC487-46A7-45B0-BAA2-6A13469291F3}">
      <text>
        <r>
          <rPr>
            <sz val="9"/>
            <color indexed="81"/>
            <rFont val="Tahoma"/>
            <family val="2"/>
          </rPr>
          <t xml:space="preserve">
La suma del % de peso físico de las subactividades debe de dar el 100% de la actividad.</t>
        </r>
      </text>
    </comment>
    <comment ref="A150" authorId="0" shapeId="0" xr:uid="{A0438FFA-5C4A-4B62-8B72-C7DE63FDE936}">
      <text>
        <r>
          <rPr>
            <sz val="9"/>
            <color indexed="81"/>
            <rFont val="Tahoma"/>
            <family val="2"/>
          </rPr>
          <t xml:space="preserve">
La suma del % de peso físico de las subactividades debe de dar el 100% de la actividad.</t>
        </r>
      </text>
    </comment>
    <comment ref="A151" authorId="0" shapeId="0" xr:uid="{9678ECCB-D07C-4362-979A-6FD10BB1E499}">
      <text>
        <r>
          <rPr>
            <sz val="9"/>
            <color indexed="81"/>
            <rFont val="Tahoma"/>
            <family val="2"/>
          </rPr>
          <t xml:space="preserve">
La suma del % de peso físico de las subactividades debe de dar el 100% de la actividad.</t>
        </r>
      </text>
    </comment>
    <comment ref="A152" authorId="0" shapeId="0" xr:uid="{EB9A4FE1-4563-43A1-8DBA-5F5B8EA6E93B}">
      <text>
        <r>
          <rPr>
            <sz val="9"/>
            <color indexed="81"/>
            <rFont val="Tahoma"/>
            <family val="2"/>
          </rPr>
          <t xml:space="preserve">
La suma del % de peso físico de las subactividades debe de dar el 100% de la actividad.</t>
        </r>
      </text>
    </comment>
    <comment ref="A153" authorId="0" shapeId="0" xr:uid="{02302AEE-E1A1-483D-8076-792D0FF3608F}">
      <text>
        <r>
          <rPr>
            <sz val="9"/>
            <color indexed="81"/>
            <rFont val="Tahoma"/>
            <family val="2"/>
          </rPr>
          <t xml:space="preserve">
La suma del % de peso físico de las subactividades debe de dar el 100% de la actividad.</t>
        </r>
      </text>
    </comment>
    <comment ref="A154" authorId="0" shapeId="0" xr:uid="{BAE99D1C-CD16-412F-B9C2-A390BDADEEC4}">
      <text>
        <r>
          <rPr>
            <sz val="9"/>
            <color indexed="81"/>
            <rFont val="Tahoma"/>
            <family val="2"/>
          </rPr>
          <t xml:space="preserve">
La suma del % de peso físico de las actividades debe de dar el 100% del alcance.</t>
        </r>
      </text>
    </comment>
    <comment ref="A155" authorId="0" shapeId="0" xr:uid="{D73D4C14-1C4B-436B-83D4-979BC7BF14D1}">
      <text>
        <r>
          <rPr>
            <sz val="9"/>
            <color indexed="81"/>
            <rFont val="Tahoma"/>
            <family val="2"/>
          </rPr>
          <t xml:space="preserve">
La suma del % de peso físico de las subactividades debe de dar el 100% de la actividad.</t>
        </r>
      </text>
    </comment>
    <comment ref="A156" authorId="0" shapeId="0" xr:uid="{92B92C71-F8D8-429E-B037-B6B0EEC26C8E}">
      <text>
        <r>
          <rPr>
            <sz val="9"/>
            <color indexed="81"/>
            <rFont val="Tahoma"/>
            <family val="2"/>
          </rPr>
          <t xml:space="preserve">
La suma del % de peso físico de las subactividades debe de dar el 100% de la actividad.</t>
        </r>
      </text>
    </comment>
    <comment ref="A157" authorId="0" shapeId="0" xr:uid="{8D41FCD6-3A2F-4B9E-AF16-AD8BFCD51A55}">
      <text>
        <r>
          <rPr>
            <sz val="9"/>
            <color indexed="81"/>
            <rFont val="Tahoma"/>
            <family val="2"/>
          </rPr>
          <t xml:space="preserve">
La suma del % de peso físico de las subactividades debe de dar el 100% de la actividad.</t>
        </r>
      </text>
    </comment>
    <comment ref="A158" authorId="0" shapeId="0" xr:uid="{3980A1C2-0A19-487A-BA55-CA468FA2E184}">
      <text>
        <r>
          <rPr>
            <sz val="9"/>
            <color indexed="81"/>
            <rFont val="Tahoma"/>
            <family val="2"/>
          </rPr>
          <t xml:space="preserve">
La suma del % de peso físico de las subactividades debe de dar el 100% de la actividad.</t>
        </r>
      </text>
    </comment>
    <comment ref="A159" authorId="0" shapeId="0" xr:uid="{AC1CB0FA-05F1-4FF0-B740-7030AD9A03BF}">
      <text>
        <r>
          <rPr>
            <sz val="9"/>
            <color indexed="81"/>
            <rFont val="Tahoma"/>
            <family val="2"/>
          </rPr>
          <t xml:space="preserve">
La suma del % de peso físico de las subactividades debe de dar el 100% de la actividad.</t>
        </r>
      </text>
    </comment>
    <comment ref="A160" authorId="0" shapeId="0" xr:uid="{81852CFF-3E5F-4751-8867-46FDF32536E4}">
      <text>
        <r>
          <rPr>
            <sz val="9"/>
            <color indexed="81"/>
            <rFont val="Tahoma"/>
            <family val="2"/>
          </rPr>
          <t xml:space="preserve">
La suma del % de peso físico de las actividades debe de dar el 100% del alcance.</t>
        </r>
      </text>
    </comment>
    <comment ref="A161" authorId="0" shapeId="0" xr:uid="{A32C611F-8C51-4379-81D6-5D09755C2D3A}">
      <text>
        <r>
          <rPr>
            <sz val="9"/>
            <color indexed="81"/>
            <rFont val="Tahoma"/>
            <family val="2"/>
          </rPr>
          <t xml:space="preserve">
La suma del % de peso físico de las subactividades debe de dar el 100% de la actividad.</t>
        </r>
      </text>
    </comment>
    <comment ref="A162" authorId="0" shapeId="0" xr:uid="{6BF98ADA-5099-4D19-A464-B2D3E26AE813}">
      <text>
        <r>
          <rPr>
            <sz val="9"/>
            <color indexed="81"/>
            <rFont val="Tahoma"/>
            <family val="2"/>
          </rPr>
          <t xml:space="preserve">
La suma del % de peso físico de las subactividades debe de dar el 100% de la actividad.</t>
        </r>
      </text>
    </comment>
    <comment ref="A163" authorId="0" shapeId="0" xr:uid="{FC79B9CB-0996-42B6-B3F9-2CD103173EF0}">
      <text>
        <r>
          <rPr>
            <sz val="9"/>
            <color indexed="81"/>
            <rFont val="Tahoma"/>
            <family val="2"/>
          </rPr>
          <t xml:space="preserve">
La suma del % de peso físico de las subactividades debe de dar el 100% de la actividad.</t>
        </r>
      </text>
    </comment>
    <comment ref="A164" authorId="0" shapeId="0" xr:uid="{E4C4F0A5-E032-4DD8-B022-12D50015092F}">
      <text>
        <r>
          <rPr>
            <sz val="9"/>
            <color indexed="81"/>
            <rFont val="Tahoma"/>
            <family val="2"/>
          </rPr>
          <t xml:space="preserve">
La suma del % de peso físico de las subactividades debe de dar el 100% de la actividad.</t>
        </r>
      </text>
    </comment>
    <comment ref="A165" authorId="0" shapeId="0" xr:uid="{224B2B13-6DD2-42A3-A857-C9D25EA32103}">
      <text>
        <r>
          <rPr>
            <sz val="9"/>
            <color indexed="81"/>
            <rFont val="Tahoma"/>
            <family val="2"/>
          </rPr>
          <t xml:space="preserve">
La suma del % de peso físico de las subactividades debe de dar el 100% de la actividad.</t>
        </r>
      </text>
    </comment>
    <comment ref="A166" authorId="0" shapeId="0" xr:uid="{5236AD32-8AE8-490B-BFCD-027A6F654C4A}">
      <text>
        <r>
          <rPr>
            <sz val="9"/>
            <color indexed="81"/>
            <rFont val="Tahoma"/>
            <family val="2"/>
          </rPr>
          <t xml:space="preserve">
La suma del % de peso físico de las actividades debe de dar el 100% del alcance.</t>
        </r>
      </text>
    </comment>
    <comment ref="A167" authorId="0" shapeId="0" xr:uid="{82740110-9EBB-4268-A490-7431FB0E49CF}">
      <text>
        <r>
          <rPr>
            <sz val="9"/>
            <color indexed="81"/>
            <rFont val="Tahoma"/>
            <family val="2"/>
          </rPr>
          <t xml:space="preserve">
La suma del % de peso físico de las subactividades debe de dar el 100% de la actividad.</t>
        </r>
      </text>
    </comment>
    <comment ref="A168" authorId="0" shapeId="0" xr:uid="{B36DBC8E-3DCB-4BD6-9E16-E3FD1186E5DA}">
      <text>
        <r>
          <rPr>
            <sz val="9"/>
            <color indexed="81"/>
            <rFont val="Tahoma"/>
            <family val="2"/>
          </rPr>
          <t xml:space="preserve">
La suma del % de peso físico de las subactividades debe de dar el 100% de la actividad.</t>
        </r>
      </text>
    </comment>
    <comment ref="A169" authorId="0" shapeId="0" xr:uid="{1B1EE059-49FE-4E15-BDD4-62C6BF0A2583}">
      <text>
        <r>
          <rPr>
            <sz val="9"/>
            <color indexed="81"/>
            <rFont val="Tahoma"/>
            <family val="2"/>
          </rPr>
          <t xml:space="preserve">
La suma del % de peso físico de las subactividades debe de dar el 100% de la actividad.</t>
        </r>
      </text>
    </comment>
    <comment ref="A170" authorId="0" shapeId="0" xr:uid="{40F5910E-5023-473A-A08D-ABC7CFF0AC9F}">
      <text>
        <r>
          <rPr>
            <sz val="9"/>
            <color indexed="81"/>
            <rFont val="Tahoma"/>
            <family val="2"/>
          </rPr>
          <t xml:space="preserve">
La suma del % de peso físico de las subactividades debe de dar el 100% de la actividad.</t>
        </r>
      </text>
    </comment>
    <comment ref="A171" authorId="0" shapeId="0" xr:uid="{2859CB43-DB89-42CC-A4A0-50ED7F8DA627}">
      <text>
        <r>
          <rPr>
            <sz val="9"/>
            <color indexed="81"/>
            <rFont val="Tahoma"/>
            <family val="2"/>
          </rPr>
          <t xml:space="preserve">
La suma del % de peso físico de las subactividades debe de dar el 100% de la actividad.</t>
        </r>
      </text>
    </comment>
    <comment ref="A172" authorId="0" shapeId="0" xr:uid="{39D5969C-91DB-4A31-99F2-C3F30699B6A5}">
      <text>
        <r>
          <rPr>
            <sz val="9"/>
            <color indexed="81"/>
            <rFont val="Tahoma"/>
            <family val="2"/>
          </rPr>
          <t xml:space="preserve">
la suma del % de peso físico de los alcances debe de dar el 100% del producto a obtener.</t>
        </r>
      </text>
    </comment>
    <comment ref="A173" authorId="0" shapeId="0" xr:uid="{13CA1267-ED9E-4E26-9911-4411E34CCBE7}">
      <text>
        <r>
          <rPr>
            <sz val="9"/>
            <color indexed="81"/>
            <rFont val="Tahoma"/>
            <family val="2"/>
          </rPr>
          <t xml:space="preserve">
La suma del % de peso físico de las actividades debe de dar el 100% del alcance.</t>
        </r>
      </text>
    </comment>
    <comment ref="A174" authorId="0" shapeId="0" xr:uid="{5A91D425-1C70-4B30-9038-D989D2EE7E6B}">
      <text>
        <r>
          <rPr>
            <sz val="9"/>
            <color indexed="81"/>
            <rFont val="Tahoma"/>
            <family val="2"/>
          </rPr>
          <t xml:space="preserve">
La suma del % de peso físico de las subactividades debe de dar el 100% de la actividad.</t>
        </r>
      </text>
    </comment>
    <comment ref="A175" authorId="0" shapeId="0" xr:uid="{2DFB6A33-F416-4DC0-906C-392D1C555739}">
      <text>
        <r>
          <rPr>
            <sz val="9"/>
            <color indexed="81"/>
            <rFont val="Tahoma"/>
            <family val="2"/>
          </rPr>
          <t xml:space="preserve">
La suma del % de peso físico de las subactividades debe de dar el 100% de la actividad.</t>
        </r>
      </text>
    </comment>
    <comment ref="A176" authorId="0" shapeId="0" xr:uid="{2636E1FF-440C-4072-A137-2A13D032DED9}">
      <text>
        <r>
          <rPr>
            <sz val="9"/>
            <color indexed="81"/>
            <rFont val="Tahoma"/>
            <family val="2"/>
          </rPr>
          <t xml:space="preserve">
La suma del % de peso físico de las subactividades debe de dar el 100% de la actividad.</t>
        </r>
      </text>
    </comment>
    <comment ref="A177" authorId="0" shapeId="0" xr:uid="{A9C16DAA-0AF8-4A97-B432-DEAEBB22EDFA}">
      <text>
        <r>
          <rPr>
            <sz val="9"/>
            <color indexed="81"/>
            <rFont val="Tahoma"/>
            <family val="2"/>
          </rPr>
          <t xml:space="preserve">
La suma del % de peso físico de las subactividades debe de dar el 100% de la actividad.</t>
        </r>
      </text>
    </comment>
    <comment ref="A178" authorId="0" shapeId="0" xr:uid="{9D507D26-ED98-412C-8866-3EE90B30EC87}">
      <text>
        <r>
          <rPr>
            <sz val="9"/>
            <color indexed="81"/>
            <rFont val="Tahoma"/>
            <family val="2"/>
          </rPr>
          <t xml:space="preserve">
La suma del % de peso físico de las subactividades debe de dar el 100% de la actividad.</t>
        </r>
      </text>
    </comment>
    <comment ref="A179" authorId="0" shapeId="0" xr:uid="{6735E75E-B871-48A9-BC62-8417AC5D85F3}">
      <text>
        <r>
          <rPr>
            <sz val="9"/>
            <color indexed="81"/>
            <rFont val="Tahoma"/>
            <family val="2"/>
          </rPr>
          <t xml:space="preserve">
La suma del % de peso físico de las actividades debe de dar el 100% del alcance.</t>
        </r>
      </text>
    </comment>
    <comment ref="A180" authorId="0" shapeId="0" xr:uid="{5C2D0F16-D730-4B6C-B969-921D6BA6A072}">
      <text>
        <r>
          <rPr>
            <sz val="9"/>
            <color indexed="81"/>
            <rFont val="Tahoma"/>
            <family val="2"/>
          </rPr>
          <t xml:space="preserve">
La suma del % de peso físico de las subactividades debe de dar el 100% de la actividad.</t>
        </r>
      </text>
    </comment>
    <comment ref="A181" authorId="0" shapeId="0" xr:uid="{B0B74300-4B92-49C7-AB7B-783F93B9DDB3}">
      <text>
        <r>
          <rPr>
            <sz val="9"/>
            <color indexed="81"/>
            <rFont val="Tahoma"/>
            <family val="2"/>
          </rPr>
          <t xml:space="preserve">
La suma del % de peso físico de las subactividades debe de dar el 100% de la actividad.</t>
        </r>
      </text>
    </comment>
    <comment ref="A182" authorId="0" shapeId="0" xr:uid="{76B2EF4C-5BF5-4B26-B642-3681381540C1}">
      <text>
        <r>
          <rPr>
            <sz val="9"/>
            <color indexed="81"/>
            <rFont val="Tahoma"/>
            <family val="2"/>
          </rPr>
          <t xml:space="preserve">
La suma del % de peso físico de las subactividades debe de dar el 100% de la actividad.</t>
        </r>
      </text>
    </comment>
    <comment ref="A183" authorId="0" shapeId="0" xr:uid="{19AE75CC-0EF8-46BD-8C04-0DB6931D647F}">
      <text>
        <r>
          <rPr>
            <sz val="9"/>
            <color indexed="81"/>
            <rFont val="Tahoma"/>
            <family val="2"/>
          </rPr>
          <t xml:space="preserve">
La suma del % de peso físico de las subactividades debe de dar el 100% de la actividad.</t>
        </r>
      </text>
    </comment>
    <comment ref="A184" authorId="0" shapeId="0" xr:uid="{F9B37A73-77E4-40F4-AA24-2F768F89B017}">
      <text>
        <r>
          <rPr>
            <sz val="9"/>
            <color indexed="81"/>
            <rFont val="Tahoma"/>
            <family val="2"/>
          </rPr>
          <t xml:space="preserve">
La suma del % de peso físico de las subactividades debe de dar el 100% de la actividad.</t>
        </r>
      </text>
    </comment>
    <comment ref="A185" authorId="0" shapeId="0" xr:uid="{46A854B2-9106-4E2E-A56A-E3DF4A240BB3}">
      <text>
        <r>
          <rPr>
            <sz val="9"/>
            <color indexed="81"/>
            <rFont val="Tahoma"/>
            <family val="2"/>
          </rPr>
          <t xml:space="preserve">
La suma del % de peso físico de las actividades debe de dar el 100% del alcance.</t>
        </r>
      </text>
    </comment>
    <comment ref="A186" authorId="0" shapeId="0" xr:uid="{A2DCA8EE-54C2-472A-9066-181856A0E461}">
      <text>
        <r>
          <rPr>
            <sz val="9"/>
            <color indexed="81"/>
            <rFont val="Tahoma"/>
            <family val="2"/>
          </rPr>
          <t xml:space="preserve">
La suma del % de peso físico de las subactividades debe de dar el 100% de la actividad.</t>
        </r>
      </text>
    </comment>
    <comment ref="A187" authorId="0" shapeId="0" xr:uid="{55D9D44F-D571-4FF0-A8CB-42A84FF164E2}">
      <text>
        <r>
          <rPr>
            <sz val="9"/>
            <color indexed="81"/>
            <rFont val="Tahoma"/>
            <family val="2"/>
          </rPr>
          <t xml:space="preserve">
La suma del % de peso físico de las subactividades debe de dar el 100% de la actividad.</t>
        </r>
      </text>
    </comment>
    <comment ref="A188" authorId="0" shapeId="0" xr:uid="{D00CBF01-65E2-4129-AAB1-BBCC088917AF}">
      <text>
        <r>
          <rPr>
            <sz val="9"/>
            <color indexed="81"/>
            <rFont val="Tahoma"/>
            <family val="2"/>
          </rPr>
          <t xml:space="preserve">
La suma del % de peso físico de las subactividades debe de dar el 100% de la actividad.</t>
        </r>
      </text>
    </comment>
    <comment ref="A189" authorId="0" shapeId="0" xr:uid="{34FBFF0E-15EB-480A-B50F-E71B945DDDE3}">
      <text>
        <r>
          <rPr>
            <sz val="9"/>
            <color indexed="81"/>
            <rFont val="Tahoma"/>
            <family val="2"/>
          </rPr>
          <t xml:space="preserve">
La suma del % de peso físico de las subactividades debe de dar el 100% de la actividad.</t>
        </r>
      </text>
    </comment>
    <comment ref="A190" authorId="0" shapeId="0" xr:uid="{7852C512-FE55-4959-B29A-91EDB2F0BCEC}">
      <text>
        <r>
          <rPr>
            <sz val="9"/>
            <color indexed="81"/>
            <rFont val="Tahoma"/>
            <family val="2"/>
          </rPr>
          <t xml:space="preserve">
La suma del % de peso físico de las subactividades debe de dar el 100% de la actividad.</t>
        </r>
      </text>
    </comment>
    <comment ref="A191" authorId="0" shapeId="0" xr:uid="{9D89F0C4-18F9-4755-94E4-28C66C7B4A00}">
      <text>
        <r>
          <rPr>
            <sz val="9"/>
            <color indexed="81"/>
            <rFont val="Tahoma"/>
            <family val="2"/>
          </rPr>
          <t xml:space="preserve">
La suma del % de peso físico de las actividades debe de dar el 100% del alcance.</t>
        </r>
      </text>
    </comment>
    <comment ref="A192" authorId="0" shapeId="0" xr:uid="{8182A6B1-EB48-4899-AC49-E7FE9ABBA5DE}">
      <text>
        <r>
          <rPr>
            <sz val="9"/>
            <color indexed="81"/>
            <rFont val="Tahoma"/>
            <family val="2"/>
          </rPr>
          <t xml:space="preserve">
La suma del % de peso físico de las subactividades debe de dar el 100% de la actividad.</t>
        </r>
      </text>
    </comment>
    <comment ref="A193" authorId="0" shapeId="0" xr:uid="{36E9F32D-8DC2-423C-9C52-635DBE7A0E0D}">
      <text>
        <r>
          <rPr>
            <sz val="9"/>
            <color indexed="81"/>
            <rFont val="Tahoma"/>
            <family val="2"/>
          </rPr>
          <t xml:space="preserve">
La suma del % de peso físico de las subactividades debe de dar el 100% de la actividad.</t>
        </r>
      </text>
    </comment>
    <comment ref="A194" authorId="0" shapeId="0" xr:uid="{00523DE5-985B-4468-A5A4-D2E89DB7E705}">
      <text>
        <r>
          <rPr>
            <sz val="9"/>
            <color indexed="81"/>
            <rFont val="Tahoma"/>
            <family val="2"/>
          </rPr>
          <t xml:space="preserve">
La suma del % de peso físico de las subactividades debe de dar el 100% de la actividad.</t>
        </r>
      </text>
    </comment>
    <comment ref="A195" authorId="0" shapeId="0" xr:uid="{7E5FF2AC-216A-4658-BB4D-32A7C9E6D127}">
      <text>
        <r>
          <rPr>
            <sz val="9"/>
            <color indexed="81"/>
            <rFont val="Tahoma"/>
            <family val="2"/>
          </rPr>
          <t xml:space="preserve">
La suma del % de peso físico de las subactividades debe de dar el 100% de la actividad.</t>
        </r>
      </text>
    </comment>
    <comment ref="A196" authorId="0" shapeId="0" xr:uid="{2A892341-0C90-419A-8E99-8D42599A8A8F}">
      <text>
        <r>
          <rPr>
            <sz val="9"/>
            <color indexed="81"/>
            <rFont val="Tahoma"/>
            <family val="2"/>
          </rPr>
          <t xml:space="preserve">
La suma del % de peso físico de las subactividades debe de dar el 100% de la actividad.</t>
        </r>
      </text>
    </comment>
    <comment ref="A197" authorId="0" shapeId="0" xr:uid="{44D4130C-D42A-48A3-9D1A-D60DEE4C506D}">
      <text>
        <r>
          <rPr>
            <sz val="9"/>
            <color indexed="81"/>
            <rFont val="Tahoma"/>
            <family val="2"/>
          </rPr>
          <t xml:space="preserve">
La suma del % de peso físico de las actividades debe de dar el 100% del alcance.</t>
        </r>
      </text>
    </comment>
    <comment ref="A198" authorId="0" shapeId="0" xr:uid="{912B7D9D-DD4A-4E61-94AA-CFD487F63348}">
      <text>
        <r>
          <rPr>
            <sz val="9"/>
            <color indexed="81"/>
            <rFont val="Tahoma"/>
            <family val="2"/>
          </rPr>
          <t xml:space="preserve">
La suma del % de peso físico de las subactividades debe de dar el 100% de la actividad.</t>
        </r>
      </text>
    </comment>
    <comment ref="A199" authorId="0" shapeId="0" xr:uid="{CA04D80C-2634-42E2-9A37-43BA43A7E1E9}">
      <text>
        <r>
          <rPr>
            <sz val="9"/>
            <color indexed="81"/>
            <rFont val="Tahoma"/>
            <family val="2"/>
          </rPr>
          <t xml:space="preserve">
La suma del % de peso físico de las subactividades debe de dar el 100% de la actividad.</t>
        </r>
      </text>
    </comment>
    <comment ref="A200" authorId="0" shapeId="0" xr:uid="{784680A6-D784-4EB0-AD84-46F1FD05BA10}">
      <text>
        <r>
          <rPr>
            <sz val="9"/>
            <color indexed="81"/>
            <rFont val="Tahoma"/>
            <family val="2"/>
          </rPr>
          <t xml:space="preserve">
La suma del % de peso físico de las subactividades debe de dar el 100% de la actividad.</t>
        </r>
      </text>
    </comment>
    <comment ref="A201" authorId="0" shapeId="0" xr:uid="{B490BB32-5BED-4615-A995-E13C45B0E348}">
      <text>
        <r>
          <rPr>
            <sz val="9"/>
            <color indexed="81"/>
            <rFont val="Tahoma"/>
            <family val="2"/>
          </rPr>
          <t xml:space="preserve">
La suma del % de peso físico de las subactividades debe de dar el 100% de la actividad.</t>
        </r>
      </text>
    </comment>
    <comment ref="A202" authorId="0" shapeId="0" xr:uid="{D8CFAA72-CB7E-4F63-B315-EB36944F029F}">
      <text>
        <r>
          <rPr>
            <sz val="9"/>
            <color indexed="81"/>
            <rFont val="Tahoma"/>
            <family val="2"/>
          </rPr>
          <t xml:space="preserve">
La suma del % de peso físico de las subactividades debe de dar el 100% de la actividad.</t>
        </r>
      </text>
    </comment>
    <comment ref="A203" authorId="0" shapeId="0" xr:uid="{2177D514-48B4-4475-8B30-87F8F43C67BE}">
      <text>
        <r>
          <rPr>
            <sz val="9"/>
            <color indexed="81"/>
            <rFont val="Tahoma"/>
            <family val="2"/>
          </rPr>
          <t xml:space="preserve">
Suma de la ejecución de las subactividades en cada período</t>
        </r>
      </text>
    </comment>
    <comment ref="A204" authorId="0" shapeId="0" xr:uid="{1F93C209-F9FD-44EA-97FD-3C9E3EA8537F}">
      <text>
        <r>
          <rPr>
            <sz val="9"/>
            <color indexed="81"/>
            <rFont val="Tahoma"/>
            <family val="2"/>
          </rPr>
          <t xml:space="preserve">
Suma del total del período anterior + el total del período actual</t>
        </r>
      </text>
    </comment>
    <comment ref="E208" authorId="0" shapeId="0" xr:uid="{688C3FED-74CE-4BDA-866F-732DA954791A}">
      <text>
        <r>
          <rPr>
            <sz val="9"/>
            <color indexed="81"/>
            <rFont val="Tahoma"/>
            <family val="2"/>
          </rPr>
          <t xml:space="preserve">
Valor total incluido los aportes en dinero y en especie, de todos los participantes</t>
        </r>
      </text>
    </comment>
    <comment ref="F208" authorId="0" shapeId="0" xr:uid="{93AB8568-F32F-4E69-B6C5-C4D3CBED3A23}">
      <text>
        <r>
          <rPr>
            <sz val="9"/>
            <color indexed="81"/>
            <rFont val="Tahoma"/>
            <family val="2"/>
          </rPr>
          <t xml:space="preserve">
Valor total en dinero aportado por corantioquia</t>
        </r>
      </text>
    </comment>
    <comment ref="F210" authorId="0" shapeId="0" xr:uid="{13273A26-D1D5-4074-9FA9-7F89AD878889}">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D210" authorId="0" shapeId="0" xr:uid="{2208B671-63C4-4EE7-BC82-D7871884B7C2}">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11" authorId="0" shapeId="0" xr:uid="{2D4069B7-2B46-498D-B2E3-1CF3717AF367}">
      <text>
        <r>
          <rPr>
            <sz val="9"/>
            <color indexed="81"/>
            <rFont val="Tahoma"/>
            <family val="2"/>
          </rPr>
          <t xml:space="preserve">
Peso %:
 Valor aportado por corantioquia en cada periodo / el valor (total) aportado por corantioquia</t>
        </r>
      </text>
    </comment>
    <comment ref="E212" authorId="0" shapeId="0" xr:uid="{614E5BBA-897F-41A2-9159-6D407F5DD6D1}">
      <text>
        <r>
          <rPr>
            <sz val="9"/>
            <color indexed="81"/>
            <rFont val="Tahoma"/>
            <family val="2"/>
          </rPr>
          <t xml:space="preserve">
Suma del (%) del período anterior + el (%) del período actual</t>
        </r>
      </text>
    </comment>
    <comment ref="E214" authorId="0" shapeId="0" xr:uid="{A148D41E-7C1B-43DE-BB28-0C6EC844AE2F}">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15" authorId="0" shapeId="0" xr:uid="{1CA1DD5E-75E9-4900-A4A8-7C060A5BD43E}">
      <text>
        <r>
          <rPr>
            <sz val="9"/>
            <color indexed="81"/>
            <rFont val="Tahoma"/>
            <family val="2"/>
          </rPr>
          <t xml:space="preserve">
Esta información se compara con los datos disponibles en el PGAR.
Suma del (%) del período anterior + el (%) del período actual</t>
        </r>
      </text>
    </comment>
    <comment ref="C217" authorId="0" shapeId="0" xr:uid="{24E43B68-A78B-42E8-BC90-FF576C446DB9}">
      <text>
        <r>
          <rPr>
            <sz val="9"/>
            <color indexed="81"/>
            <rFont val="Tahoma"/>
            <family val="2"/>
          </rPr>
          <t xml:space="preserve">
Diligenciar esta información solo en caso de Otrosí de adición de recursos o prórroga </t>
        </r>
      </text>
    </comment>
    <comment ref="E218" authorId="0" shapeId="0" xr:uid="{C9FAAC0A-4EB7-4287-A589-3E38423879BD}">
      <text>
        <r>
          <rPr>
            <sz val="9"/>
            <color indexed="81"/>
            <rFont val="Tahoma"/>
            <family val="2"/>
          </rPr>
          <t xml:space="preserve">
Valor aportado por corantioquia (solo en dinero) de manera inicial + las adiciones</t>
        </r>
      </text>
    </comment>
    <comment ref="F220" authorId="0" shapeId="0" xr:uid="{AE069501-0A55-423E-AA62-8E7406C6EAFE}">
      <text>
        <r>
          <rPr>
            <sz val="9"/>
            <color indexed="81"/>
            <rFont val="Tahoma"/>
            <family val="2"/>
          </rPr>
          <t xml:space="preserve">
Diligenciar la información de los valores que efectivamente se han desembolsado, de acuerdo con la información en el PGAR</t>
        </r>
      </text>
    </comment>
    <comment ref="F223" authorId="0" shapeId="0" xr:uid="{FA48E262-0B89-4A6F-BD86-906A77E566B3}">
      <text>
        <r>
          <rPr>
            <sz val="9"/>
            <color indexed="81"/>
            <rFont val="Tahoma"/>
            <family val="2"/>
          </rPr>
          <t xml:space="preserve">
Plasmar la planeación de los valores pendientes de ejecución o desembolso</t>
        </r>
      </text>
    </comment>
    <comment ref="C226" authorId="0" shapeId="0" xr:uid="{4E3F6A3E-93E3-4EC3-9DBB-1449C2E56269}">
      <text>
        <r>
          <rPr>
            <sz val="9"/>
            <color indexed="81"/>
            <rFont val="Tahoma"/>
            <family val="2"/>
          </rPr>
          <t xml:space="preserve">
Suma del porcentaje acumulado de los valores ya ejecutados y el porcentaje acumulado de los valores por ejecutar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13" authorId="0" shapeId="0" xr:uid="{926BD086-F9CA-44C4-B0D6-4425E8B9EE02}">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CC488BED-8902-4EFB-BB6E-B1842D29F919}">
      <text>
        <r>
          <rPr>
            <sz val="9"/>
            <color indexed="81"/>
            <rFont val="Tahoma"/>
            <family val="2"/>
          </rPr>
          <t>Desplegar las celdas ocultas en caso de requerirse</t>
        </r>
      </text>
    </comment>
    <comment ref="C14" authorId="0" shapeId="0" xr:uid="{5E7F502F-924B-4154-88A8-A8D1A7B16694}">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B2B68508-475A-4943-8084-4B196D3F3A75}">
      <text>
        <r>
          <rPr>
            <sz val="9"/>
            <color indexed="81"/>
            <rFont val="Tahoma"/>
            <family val="2"/>
          </rPr>
          <t>% de importancia de cada subactividad respecto a la meta/ producto a obtener</t>
        </r>
      </text>
    </comment>
    <comment ref="A16" authorId="0" shapeId="0" xr:uid="{69377F6F-A791-4878-88B0-02E42D859BA2}">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F110E066-CE3B-47B2-A63F-D2CEB9A22218}">
      <text>
        <r>
          <rPr>
            <sz val="9"/>
            <color indexed="81"/>
            <rFont val="Tahoma"/>
            <family val="2"/>
          </rPr>
          <t>la suma del % de peso físico de los alcances debe de dar el 100% del producto a obtener.</t>
        </r>
      </text>
    </comment>
    <comment ref="A18" authorId="0" shapeId="0" xr:uid="{9C84A43A-3D61-42C1-8A7E-17CE0B08BA88}">
      <text>
        <r>
          <rPr>
            <sz val="9"/>
            <color indexed="81"/>
            <rFont val="Tahoma"/>
            <family val="2"/>
          </rPr>
          <t>La suma del % de peso físico de las actividades debe de dar el 100% del alcance.</t>
        </r>
      </text>
    </comment>
    <comment ref="A19" authorId="0" shapeId="0" xr:uid="{979CCD71-B1A1-4922-B2D9-23BC44BA4247}">
      <text>
        <r>
          <rPr>
            <sz val="9"/>
            <color indexed="81"/>
            <rFont val="Tahoma"/>
            <family val="2"/>
          </rPr>
          <t xml:space="preserve">
La suma del % de peso físico de las subactividades debe de dar el 100% de la actividad.</t>
        </r>
      </text>
    </comment>
    <comment ref="A20" authorId="0" shapeId="0" xr:uid="{657725D0-53B3-4C94-A58D-54848072BAEB}">
      <text>
        <r>
          <rPr>
            <sz val="9"/>
            <color indexed="81"/>
            <rFont val="Tahoma"/>
            <family val="2"/>
          </rPr>
          <t>La suma del % de peso físico de las subactividades debe de dar el 100% de la actividad.</t>
        </r>
      </text>
    </comment>
    <comment ref="A21" authorId="0" shapeId="0" xr:uid="{D738B27E-23CE-4094-9A7F-55C7BAFAB58C}">
      <text>
        <r>
          <rPr>
            <sz val="9"/>
            <color indexed="81"/>
            <rFont val="Tahoma"/>
            <family val="2"/>
          </rPr>
          <t>La suma del % de peso físico de las subactividades debe de dar el 100% de la actividad.</t>
        </r>
      </text>
    </comment>
    <comment ref="A22" authorId="0" shapeId="0" xr:uid="{D1558357-A43C-4D9B-B154-92CAF462999F}">
      <text>
        <r>
          <rPr>
            <sz val="9"/>
            <color indexed="81"/>
            <rFont val="Tahoma"/>
            <family val="2"/>
          </rPr>
          <t>La suma del % de peso físico de las subactividades debe de dar el 100% de la actividad.</t>
        </r>
      </text>
    </comment>
    <comment ref="A23" authorId="0" shapeId="0" xr:uid="{EA65C3E3-4258-4A4B-B3A2-D846932E51E8}">
      <text>
        <r>
          <rPr>
            <sz val="9"/>
            <color indexed="81"/>
            <rFont val="Tahoma"/>
            <family val="2"/>
          </rPr>
          <t>La suma del % de peso físico de las subactividades debe de dar el 100% de la actividad.</t>
        </r>
      </text>
    </comment>
    <comment ref="A24" authorId="0" shapeId="0" xr:uid="{E2BAEB77-AAE0-4D26-A6F6-32B0B1FB8B02}">
      <text>
        <r>
          <rPr>
            <sz val="9"/>
            <color indexed="81"/>
            <rFont val="Tahoma"/>
            <family val="2"/>
          </rPr>
          <t xml:space="preserve">
La suma del % de peso físico de las actividades debe de dar el 100% del alcance.</t>
        </r>
      </text>
    </comment>
    <comment ref="A25" authorId="0" shapeId="0" xr:uid="{BCCBA5B0-3CF4-45E7-8177-3E1BE7E660E7}">
      <text>
        <r>
          <rPr>
            <sz val="9"/>
            <color indexed="81"/>
            <rFont val="Tahoma"/>
            <family val="2"/>
          </rPr>
          <t xml:space="preserve">
La suma del % de peso físico de las subactividades debe de dar el 100% de la actividad.</t>
        </r>
      </text>
    </comment>
    <comment ref="A26" authorId="0" shapeId="0" xr:uid="{A061B7A3-7633-4B3B-9FA7-86DA7B829C8B}">
      <text>
        <r>
          <rPr>
            <sz val="9"/>
            <color indexed="81"/>
            <rFont val="Tahoma"/>
            <family val="2"/>
          </rPr>
          <t xml:space="preserve">
La suma del % de peso físico de las subactividades debe de dar el 100% de la actividad.</t>
        </r>
      </text>
    </comment>
    <comment ref="A27" authorId="0" shapeId="0" xr:uid="{2E7903ED-1312-4282-9269-F814E82A4EE9}">
      <text>
        <r>
          <rPr>
            <sz val="9"/>
            <color indexed="81"/>
            <rFont val="Tahoma"/>
            <family val="2"/>
          </rPr>
          <t>La suma del % de peso físico de las subactividades debe de dar el 100% de la actividad.</t>
        </r>
      </text>
    </comment>
    <comment ref="A28" authorId="0" shapeId="0" xr:uid="{A26EACF0-671F-4D1E-98A0-65BF5BD0C401}">
      <text>
        <r>
          <rPr>
            <sz val="9"/>
            <color indexed="81"/>
            <rFont val="Tahoma"/>
            <family val="2"/>
          </rPr>
          <t xml:space="preserve">La suma del % de peso físico de las subactividades debe de dar el 100% de la actividad.
</t>
        </r>
      </text>
    </comment>
    <comment ref="A29" authorId="0" shapeId="0" xr:uid="{45BE5031-168E-4B30-B997-CC01C946DFB4}">
      <text>
        <r>
          <rPr>
            <sz val="9"/>
            <color indexed="81"/>
            <rFont val="Tahoma"/>
            <family val="2"/>
          </rPr>
          <t xml:space="preserve">
La suma del % de peso físico de las subactividades debe de dar el 100% de la actividad.</t>
        </r>
      </text>
    </comment>
    <comment ref="A30" authorId="0" shapeId="0" xr:uid="{ECA5D124-60ED-4373-97EA-1A045E64DA9D}">
      <text>
        <r>
          <rPr>
            <sz val="9"/>
            <color indexed="81"/>
            <rFont val="Tahoma"/>
            <family val="2"/>
          </rPr>
          <t xml:space="preserve">
La suma del % de peso físico de las actividades debe de dar el 100% del alcance.</t>
        </r>
      </text>
    </comment>
    <comment ref="A31" authorId="0" shapeId="0" xr:uid="{BD383D8B-3EF0-45E5-94E4-0234C53D1C26}">
      <text>
        <r>
          <rPr>
            <sz val="9"/>
            <color indexed="81"/>
            <rFont val="Tahoma"/>
            <family val="2"/>
          </rPr>
          <t xml:space="preserve">
La suma del % de peso físico de las subactividades debe de dar el 100% de la actividad.</t>
        </r>
      </text>
    </comment>
    <comment ref="A32" authorId="0" shapeId="0" xr:uid="{C5A0FF1E-BE75-401E-BA2E-50050AD51639}">
      <text>
        <r>
          <rPr>
            <sz val="9"/>
            <color indexed="81"/>
            <rFont val="Tahoma"/>
            <family val="2"/>
          </rPr>
          <t xml:space="preserve">
La suma del % de peso físico de las subactividades debe de dar el 100% de la actividad.</t>
        </r>
      </text>
    </comment>
    <comment ref="A33" authorId="0" shapeId="0" xr:uid="{7FEE1F54-EABF-451D-A7CB-35D95E46645A}">
      <text>
        <r>
          <rPr>
            <sz val="9"/>
            <color indexed="81"/>
            <rFont val="Tahoma"/>
            <family val="2"/>
          </rPr>
          <t xml:space="preserve">
La suma del % de peso físico de las subactividades debe de dar el 100% de la actividad.</t>
        </r>
      </text>
    </comment>
    <comment ref="A34" authorId="0" shapeId="0" xr:uid="{A12C4377-16A4-4034-BC9B-F31C7ABA53E9}">
      <text>
        <r>
          <rPr>
            <sz val="9"/>
            <color indexed="81"/>
            <rFont val="Tahoma"/>
            <family val="2"/>
          </rPr>
          <t xml:space="preserve">
La suma del % de peso físico de las subactividades debe de dar el 100% de la actividad.</t>
        </r>
      </text>
    </comment>
    <comment ref="A35" authorId="0" shapeId="0" xr:uid="{A53EAC4F-D07E-4A77-94FF-E646720DB24B}">
      <text>
        <r>
          <rPr>
            <sz val="9"/>
            <color indexed="81"/>
            <rFont val="Tahoma"/>
            <family val="2"/>
          </rPr>
          <t xml:space="preserve">
La suma del % de peso físico de las subactividades debe de dar el 100% de la actividad.</t>
        </r>
      </text>
    </comment>
    <comment ref="A36" authorId="0" shapeId="0" xr:uid="{81C9F6B2-9ACA-4067-AE03-08C4B8676FA8}">
      <text>
        <r>
          <rPr>
            <sz val="9"/>
            <color indexed="81"/>
            <rFont val="Tahoma"/>
            <family val="2"/>
          </rPr>
          <t xml:space="preserve">
La suma del % de peso físico de las actividades debe de dar el 100% del alcance.</t>
        </r>
      </text>
    </comment>
    <comment ref="A37" authorId="0" shapeId="0" xr:uid="{4FD0A0F8-0A46-44B3-B8AA-9D159AA15654}">
      <text>
        <r>
          <rPr>
            <sz val="9"/>
            <color indexed="81"/>
            <rFont val="Tahoma"/>
            <family val="2"/>
          </rPr>
          <t xml:space="preserve">
La suma del % de peso físico de las subactividades debe de dar el 100% de la actividad.</t>
        </r>
      </text>
    </comment>
    <comment ref="A38" authorId="0" shapeId="0" xr:uid="{706EF9C4-1DDF-4EC3-BBC9-475E13C39B9A}">
      <text>
        <r>
          <rPr>
            <sz val="9"/>
            <color indexed="81"/>
            <rFont val="Tahoma"/>
            <family val="2"/>
          </rPr>
          <t xml:space="preserve">
La suma del % de peso físico de las subactividades debe de dar el 100% de la actividad.</t>
        </r>
      </text>
    </comment>
    <comment ref="A39" authorId="0" shapeId="0" xr:uid="{2709D9A2-B70B-40D7-B5DC-ED20B0222F8E}">
      <text>
        <r>
          <rPr>
            <sz val="9"/>
            <color indexed="81"/>
            <rFont val="Tahoma"/>
            <family val="2"/>
          </rPr>
          <t xml:space="preserve">
La suma del % de peso físico de las subactividades debe de dar el 100% de la actividad.</t>
        </r>
      </text>
    </comment>
    <comment ref="A40" authorId="0" shapeId="0" xr:uid="{0AD078E1-B91E-42BD-9FCC-EB2672A0A1B7}">
      <text>
        <r>
          <rPr>
            <sz val="9"/>
            <color indexed="81"/>
            <rFont val="Tahoma"/>
            <family val="2"/>
          </rPr>
          <t xml:space="preserve">
La suma del % de peso físico de las subactividades debe de dar el 100% de la actividad.</t>
        </r>
      </text>
    </comment>
    <comment ref="A41" authorId="0" shapeId="0" xr:uid="{79B82632-F3DB-4D5A-909D-71E50D2B47F3}">
      <text>
        <r>
          <rPr>
            <sz val="9"/>
            <color indexed="81"/>
            <rFont val="Tahoma"/>
            <family val="2"/>
          </rPr>
          <t xml:space="preserve">
La suma del % de peso físico de las subactividades debe de dar el 100% de la actividad.</t>
        </r>
      </text>
    </comment>
    <comment ref="A42" authorId="0" shapeId="0" xr:uid="{7B636C29-9E40-42E8-924C-A87CB9D77756}">
      <text>
        <r>
          <rPr>
            <sz val="9"/>
            <color indexed="81"/>
            <rFont val="Tahoma"/>
            <family val="2"/>
          </rPr>
          <t xml:space="preserve">
La suma del % de peso físico de las actividades debe de dar el 100% del alcance.</t>
        </r>
      </text>
    </comment>
    <comment ref="A43" authorId="0" shapeId="0" xr:uid="{D01FF13C-F97E-4C53-AC6D-2B5D09DABAE1}">
      <text>
        <r>
          <rPr>
            <sz val="9"/>
            <color indexed="81"/>
            <rFont val="Tahoma"/>
            <family val="2"/>
          </rPr>
          <t xml:space="preserve">
La suma del % de peso físico de las subactividades debe de dar el 100% de la actividad.</t>
        </r>
      </text>
    </comment>
    <comment ref="A44" authorId="0" shapeId="0" xr:uid="{91A1378C-F9ED-4243-89A9-CA64C8449285}">
      <text>
        <r>
          <rPr>
            <sz val="9"/>
            <color indexed="81"/>
            <rFont val="Tahoma"/>
            <family val="2"/>
          </rPr>
          <t xml:space="preserve">
La suma del % de peso físico de las subactividades debe de dar el 100% de la actividad.</t>
        </r>
      </text>
    </comment>
    <comment ref="A45" authorId="0" shapeId="0" xr:uid="{8DF18721-E535-4296-8169-13B8E6D47E44}">
      <text>
        <r>
          <rPr>
            <sz val="9"/>
            <color indexed="81"/>
            <rFont val="Tahoma"/>
            <family val="2"/>
          </rPr>
          <t xml:space="preserve">
La suma del % de peso físico de las subactividades debe de dar el 100% de la actividad.</t>
        </r>
      </text>
    </comment>
    <comment ref="A46" authorId="0" shapeId="0" xr:uid="{E3EE6586-ECB9-40DA-907B-DDF8A1832D1D}">
      <text>
        <r>
          <rPr>
            <sz val="9"/>
            <color indexed="81"/>
            <rFont val="Tahoma"/>
            <family val="2"/>
          </rPr>
          <t xml:space="preserve">
La suma del % de peso físico de las subactividades debe de dar el 100% de la actividad.</t>
        </r>
      </text>
    </comment>
    <comment ref="A47" authorId="0" shapeId="0" xr:uid="{491A30A7-F39C-407B-AE46-D6AF7FA86544}">
      <text>
        <r>
          <rPr>
            <sz val="9"/>
            <color indexed="81"/>
            <rFont val="Tahoma"/>
            <family val="2"/>
          </rPr>
          <t xml:space="preserve">
La suma del % de peso físico de las subactividades debe de dar el 100% de la actividad.</t>
        </r>
      </text>
    </comment>
    <comment ref="A48" authorId="0" shapeId="0" xr:uid="{E9CB4B07-2986-40BC-99D9-7E642409044B}">
      <text>
        <r>
          <rPr>
            <sz val="9"/>
            <color indexed="81"/>
            <rFont val="Tahoma"/>
            <family val="2"/>
          </rPr>
          <t xml:space="preserve">
la suma del % de peso físico de los alcances debe de dar el 100% del producto a obtener.</t>
        </r>
      </text>
    </comment>
    <comment ref="A49" authorId="0" shapeId="0" xr:uid="{5BAF3E61-C7B4-48C1-9A9C-400D1D3723F1}">
      <text>
        <r>
          <rPr>
            <sz val="9"/>
            <color indexed="81"/>
            <rFont val="Tahoma"/>
            <family val="2"/>
          </rPr>
          <t xml:space="preserve">
La suma del % de peso físico de las actividades debe de dar el 100% del alcance.</t>
        </r>
      </text>
    </comment>
    <comment ref="A50" authorId="0" shapeId="0" xr:uid="{DCFAB0AF-9E65-4504-90F7-8AEE45270877}">
      <text>
        <r>
          <rPr>
            <sz val="9"/>
            <color indexed="81"/>
            <rFont val="Tahoma"/>
            <family val="2"/>
          </rPr>
          <t xml:space="preserve">
La suma del % de peso físico de las subactividades debe de dar el 100% de la actividad.</t>
        </r>
      </text>
    </comment>
    <comment ref="A51" authorId="0" shapeId="0" xr:uid="{03C2E6D0-FFC3-4CC4-89A8-569BEF7B6698}">
      <text>
        <r>
          <rPr>
            <sz val="9"/>
            <color indexed="81"/>
            <rFont val="Tahoma"/>
            <family val="2"/>
          </rPr>
          <t xml:space="preserve">
La suma del % de peso físico de las subactividades debe de dar el 100% de la actividad.</t>
        </r>
      </text>
    </comment>
    <comment ref="A52" authorId="0" shapeId="0" xr:uid="{FD26801C-96F8-40A7-B1F2-DD5CB991E868}">
      <text>
        <r>
          <rPr>
            <b/>
            <sz val="9"/>
            <color indexed="81"/>
            <rFont val="Tahoma"/>
            <family val="2"/>
          </rPr>
          <t xml:space="preserve">
</t>
        </r>
        <r>
          <rPr>
            <sz val="9"/>
            <color indexed="81"/>
            <rFont val="Tahoma"/>
            <family val="2"/>
          </rPr>
          <t>La suma del % de peso físico de las subactividades debe de dar el 100% de la actividad.</t>
        </r>
      </text>
    </comment>
    <comment ref="A53" authorId="0" shapeId="0" xr:uid="{F9F91CCC-0CE0-4B28-A38B-4E13FF66E2BF}">
      <text>
        <r>
          <rPr>
            <sz val="9"/>
            <color indexed="81"/>
            <rFont val="Tahoma"/>
            <family val="2"/>
          </rPr>
          <t xml:space="preserve">
La suma del % de peso físico de las subactividades debe de dar el 100% de la actividad.</t>
        </r>
      </text>
    </comment>
    <comment ref="A54" authorId="0" shapeId="0" xr:uid="{8530BE07-116E-4353-AFCF-60D21FDE0B91}">
      <text>
        <r>
          <rPr>
            <sz val="9"/>
            <color indexed="81"/>
            <rFont val="Tahoma"/>
            <family val="2"/>
          </rPr>
          <t xml:space="preserve">
La suma del % de peso físico de las subactividades debe de dar el 100% de la actividad.</t>
        </r>
      </text>
    </comment>
    <comment ref="A55" authorId="0" shapeId="0" xr:uid="{3EB3E320-CCDA-4362-8C88-6A7EF4CA0D90}">
      <text>
        <r>
          <rPr>
            <sz val="9"/>
            <color indexed="81"/>
            <rFont val="Tahoma"/>
            <family val="2"/>
          </rPr>
          <t xml:space="preserve">
La suma del % de peso físico de las actividades debe de dar el 100% del alcance.</t>
        </r>
      </text>
    </comment>
    <comment ref="A56" authorId="0" shapeId="0" xr:uid="{E03E604F-15D0-4C2F-8227-41052BA0A80D}">
      <text>
        <r>
          <rPr>
            <sz val="9"/>
            <color indexed="81"/>
            <rFont val="Tahoma"/>
            <family val="2"/>
          </rPr>
          <t xml:space="preserve">
La suma del % de peso físico de las subactividades debe de dar el 100% de la actividad.</t>
        </r>
      </text>
    </comment>
    <comment ref="A57" authorId="0" shapeId="0" xr:uid="{252C4372-DFED-4F61-93CA-7FC507477705}">
      <text>
        <r>
          <rPr>
            <sz val="9"/>
            <color indexed="81"/>
            <rFont val="Tahoma"/>
            <family val="2"/>
          </rPr>
          <t xml:space="preserve">
La suma del % de peso físico de las subactividades debe de dar el 100% de la actividad.</t>
        </r>
      </text>
    </comment>
    <comment ref="A58" authorId="0" shapeId="0" xr:uid="{EEE71C2B-8EBD-42A7-8830-56CB094128E7}">
      <text>
        <r>
          <rPr>
            <sz val="9"/>
            <color indexed="81"/>
            <rFont val="Tahoma"/>
            <family val="2"/>
          </rPr>
          <t xml:space="preserve">
La suma del % de peso físico de las subactividades debe de dar el 100% de la actividad.</t>
        </r>
      </text>
    </comment>
    <comment ref="A59" authorId="0" shapeId="0" xr:uid="{8A2D74D8-7E7D-42F4-B3CE-5DE81AA26530}">
      <text>
        <r>
          <rPr>
            <sz val="9"/>
            <color indexed="81"/>
            <rFont val="Tahoma"/>
            <family val="2"/>
          </rPr>
          <t xml:space="preserve">
La suma del % de peso físico de las subactividades debe de dar el 100% de la actividad.</t>
        </r>
      </text>
    </comment>
    <comment ref="A60" authorId="0" shapeId="0" xr:uid="{8BD830B8-86BC-41FB-A528-1F2FAA9AEF73}">
      <text>
        <r>
          <rPr>
            <sz val="9"/>
            <color indexed="81"/>
            <rFont val="Tahoma"/>
            <family val="2"/>
          </rPr>
          <t xml:space="preserve">
La suma del % de peso físico de las subactividades debe de dar el 100% de la actividad.</t>
        </r>
      </text>
    </comment>
    <comment ref="A61" authorId="0" shapeId="0" xr:uid="{9C5B2E65-4047-43DE-8FB0-B7581E5D9B9E}">
      <text>
        <r>
          <rPr>
            <sz val="9"/>
            <color indexed="81"/>
            <rFont val="Tahoma"/>
            <family val="2"/>
          </rPr>
          <t xml:space="preserve">
La suma del % de peso físico de las actividades debe de dar el 100% del alcance.</t>
        </r>
      </text>
    </comment>
    <comment ref="A62" authorId="0" shapeId="0" xr:uid="{61EB56AD-076F-4826-BA73-EADB484701D4}">
      <text>
        <r>
          <rPr>
            <sz val="9"/>
            <color indexed="81"/>
            <rFont val="Tahoma"/>
            <family val="2"/>
          </rPr>
          <t xml:space="preserve">
La suma del % de peso físico de las subactividades debe de dar el 100% de la actividad.</t>
        </r>
      </text>
    </comment>
    <comment ref="A63" authorId="0" shapeId="0" xr:uid="{21B9A2AB-3725-4A51-957C-BC31743394CB}">
      <text>
        <r>
          <rPr>
            <sz val="9"/>
            <color indexed="81"/>
            <rFont val="Tahoma"/>
            <family val="2"/>
          </rPr>
          <t xml:space="preserve">
La suma del % de peso físico de las subactividades debe de dar el 100% de la actividad.</t>
        </r>
      </text>
    </comment>
    <comment ref="A64" authorId="0" shapeId="0" xr:uid="{F937B43D-C8D1-4AAB-9294-69A31807A47C}">
      <text>
        <r>
          <rPr>
            <sz val="9"/>
            <color indexed="81"/>
            <rFont val="Tahoma"/>
            <family val="2"/>
          </rPr>
          <t xml:space="preserve">
La suma del % de peso físico de las subactividades debe de dar el 100% de la actividad.</t>
        </r>
      </text>
    </comment>
    <comment ref="A65" authorId="0" shapeId="0" xr:uid="{FAB696FE-36A3-4A6F-922B-33287429BD5C}">
      <text>
        <r>
          <rPr>
            <sz val="9"/>
            <color indexed="81"/>
            <rFont val="Tahoma"/>
            <family val="2"/>
          </rPr>
          <t xml:space="preserve">
La suma del % de peso físico de las subactividades debe de dar el 100% de la actividad.</t>
        </r>
      </text>
    </comment>
    <comment ref="A66" authorId="0" shapeId="0" xr:uid="{5ED9AB80-FAD1-4593-8A02-4BFC0F534E02}">
      <text>
        <r>
          <rPr>
            <sz val="9"/>
            <color indexed="81"/>
            <rFont val="Tahoma"/>
            <family val="2"/>
          </rPr>
          <t xml:space="preserve">
La suma del % de peso físico de las subactividades debe de dar el 100% de la actividad.</t>
        </r>
      </text>
    </comment>
    <comment ref="A67" authorId="0" shapeId="0" xr:uid="{32D0B5CB-CF9E-4027-B122-39DDD3508110}">
      <text>
        <r>
          <rPr>
            <sz val="9"/>
            <color indexed="81"/>
            <rFont val="Tahoma"/>
            <family val="2"/>
          </rPr>
          <t xml:space="preserve">
La suma del % de peso físico de las actividades debe de dar el 100% del alcance.</t>
        </r>
      </text>
    </comment>
    <comment ref="A68" authorId="0" shapeId="0" xr:uid="{E834ED69-A556-45AF-BF40-374EEFD12796}">
      <text>
        <r>
          <rPr>
            <sz val="9"/>
            <color indexed="81"/>
            <rFont val="Tahoma"/>
            <family val="2"/>
          </rPr>
          <t xml:space="preserve">
La suma del % de peso físico de las subactividades debe de dar el 100% de la actividad.</t>
        </r>
      </text>
    </comment>
    <comment ref="A69" authorId="0" shapeId="0" xr:uid="{083DA08A-ED83-4870-B2CC-8C507D9C76D5}">
      <text>
        <r>
          <rPr>
            <sz val="9"/>
            <color indexed="81"/>
            <rFont val="Tahoma"/>
            <family val="2"/>
          </rPr>
          <t xml:space="preserve">
La suma del % de peso físico de las subactividades debe de dar el 100% de la actividad.</t>
        </r>
      </text>
    </comment>
    <comment ref="A70" authorId="0" shapeId="0" xr:uid="{7D3A3B90-9F4D-4D02-956A-3FA7E1BEBB7F}">
      <text>
        <r>
          <rPr>
            <sz val="9"/>
            <color indexed="81"/>
            <rFont val="Tahoma"/>
            <family val="2"/>
          </rPr>
          <t xml:space="preserve">
La suma del % de peso físico de las subactividades debe de dar el 100% de la actividad.</t>
        </r>
      </text>
    </comment>
    <comment ref="A71" authorId="0" shapeId="0" xr:uid="{B8771B0A-DFA7-42DA-9E62-50DD436EF7C1}">
      <text>
        <r>
          <rPr>
            <sz val="9"/>
            <color indexed="81"/>
            <rFont val="Tahoma"/>
            <family val="2"/>
          </rPr>
          <t xml:space="preserve">
La suma del % de peso físico de las subactividades debe de dar el 100% de la actividad.</t>
        </r>
      </text>
    </comment>
    <comment ref="A72" authorId="0" shapeId="0" xr:uid="{54F4F2C0-22D2-46EC-93BF-5367482A3487}">
      <text>
        <r>
          <rPr>
            <sz val="9"/>
            <color indexed="81"/>
            <rFont val="Tahoma"/>
            <family val="2"/>
          </rPr>
          <t xml:space="preserve">
La suma del % de peso físico de las subactividades debe de dar el 100% de la actividad.</t>
        </r>
      </text>
    </comment>
    <comment ref="A73" authorId="0" shapeId="0" xr:uid="{1E86E245-47F1-4130-BF7B-53676A04286B}">
      <text>
        <r>
          <rPr>
            <sz val="9"/>
            <color indexed="81"/>
            <rFont val="Tahoma"/>
            <family val="2"/>
          </rPr>
          <t xml:space="preserve">
La suma del % de peso físico de las actividades debe de dar el 100% del alcance.</t>
        </r>
      </text>
    </comment>
    <comment ref="A74" authorId="0" shapeId="0" xr:uid="{BA7F6F87-5835-4645-9103-E11989D960F0}">
      <text>
        <r>
          <rPr>
            <sz val="9"/>
            <color indexed="81"/>
            <rFont val="Tahoma"/>
            <family val="2"/>
          </rPr>
          <t xml:space="preserve">
La suma del % de peso físico de las subactividades debe de dar el 100% de la actividad.</t>
        </r>
      </text>
    </comment>
    <comment ref="A75" authorId="0" shapeId="0" xr:uid="{C57C4119-D9E8-4E7C-BDAB-4C8701062A1B}">
      <text>
        <r>
          <rPr>
            <sz val="9"/>
            <color indexed="81"/>
            <rFont val="Tahoma"/>
            <family val="2"/>
          </rPr>
          <t xml:space="preserve">
La suma del % de peso físico de las subactividades debe de dar el 100% de la actividad.</t>
        </r>
      </text>
    </comment>
    <comment ref="A76" authorId="0" shapeId="0" xr:uid="{868CC5D1-E65A-4C4C-853A-C4DE0328BDF9}">
      <text>
        <r>
          <rPr>
            <sz val="9"/>
            <color indexed="81"/>
            <rFont val="Tahoma"/>
            <family val="2"/>
          </rPr>
          <t xml:space="preserve">
La suma del % de peso físico de las subactividades debe de dar el 100% de la actividad.</t>
        </r>
      </text>
    </comment>
    <comment ref="A77" authorId="0" shapeId="0" xr:uid="{777E8CF2-E79B-402A-9D44-F88A918AF6A3}">
      <text>
        <r>
          <rPr>
            <sz val="9"/>
            <color indexed="81"/>
            <rFont val="Tahoma"/>
            <family val="2"/>
          </rPr>
          <t xml:space="preserve">
La suma del % de peso físico de las subactividades debe de dar el 100% de la actividad.</t>
        </r>
      </text>
    </comment>
    <comment ref="A78" authorId="0" shapeId="0" xr:uid="{A3085FE5-E08C-4014-85AC-529C4CCCD4FF}">
      <text>
        <r>
          <rPr>
            <sz val="9"/>
            <color indexed="81"/>
            <rFont val="Tahoma"/>
            <family val="2"/>
          </rPr>
          <t xml:space="preserve">
La suma del % de peso físico de las subactividades debe de dar el 100% de la actividad.</t>
        </r>
      </text>
    </comment>
    <comment ref="A79" authorId="0" shapeId="0" xr:uid="{BCDC0236-64F2-4311-A505-2AAACF095AC8}">
      <text>
        <r>
          <rPr>
            <sz val="9"/>
            <color indexed="81"/>
            <rFont val="Tahoma"/>
            <family val="2"/>
          </rPr>
          <t xml:space="preserve">
la suma del % de peso físico de los alcances debe de dar el 100% del producto a obtener.</t>
        </r>
      </text>
    </comment>
    <comment ref="A80" authorId="0" shapeId="0" xr:uid="{17EA41DF-D58A-4D78-81D4-491A18E9E946}">
      <text>
        <r>
          <rPr>
            <sz val="9"/>
            <color indexed="81"/>
            <rFont val="Tahoma"/>
            <family val="2"/>
          </rPr>
          <t xml:space="preserve">
La suma del % de peso físico de las actividades debe de dar el 100% del alcance.</t>
        </r>
      </text>
    </comment>
    <comment ref="A81" authorId="0" shapeId="0" xr:uid="{ECCEBFA2-63F2-4E0E-A63E-AE29529E9495}">
      <text>
        <r>
          <rPr>
            <sz val="9"/>
            <color indexed="81"/>
            <rFont val="Tahoma"/>
            <family val="2"/>
          </rPr>
          <t xml:space="preserve">
La suma del % de peso físico de las subactividades debe de dar el 100% de la actividad.</t>
        </r>
      </text>
    </comment>
    <comment ref="A82" authorId="0" shapeId="0" xr:uid="{1C17BFF8-B371-4910-AB46-8CF32A989224}">
      <text>
        <r>
          <rPr>
            <sz val="9"/>
            <color indexed="81"/>
            <rFont val="Tahoma"/>
            <family val="2"/>
          </rPr>
          <t xml:space="preserve">
La suma del % de peso físico de las subactividades debe de dar el 100% de la actividad.</t>
        </r>
      </text>
    </comment>
    <comment ref="A83" authorId="0" shapeId="0" xr:uid="{8A904C08-A73E-4B0C-85E9-99258C5A3921}">
      <text>
        <r>
          <rPr>
            <sz val="9"/>
            <color indexed="81"/>
            <rFont val="Tahoma"/>
            <family val="2"/>
          </rPr>
          <t xml:space="preserve">
La suma del % de peso físico de las subactividades debe de dar el 100% de la actividad.</t>
        </r>
      </text>
    </comment>
    <comment ref="A84" authorId="0" shapeId="0" xr:uid="{A549D305-C6C1-491F-9EFE-533DF04B3E5E}">
      <text>
        <r>
          <rPr>
            <sz val="9"/>
            <color indexed="81"/>
            <rFont val="Tahoma"/>
            <family val="2"/>
          </rPr>
          <t xml:space="preserve">
La suma del % de peso físico de las subactividades debe de dar el 100% de la actividad.</t>
        </r>
      </text>
    </comment>
    <comment ref="A85" authorId="0" shapeId="0" xr:uid="{9EFFEDC9-E856-4B12-A784-E4D8E352E6FC}">
      <text>
        <r>
          <rPr>
            <sz val="9"/>
            <color indexed="81"/>
            <rFont val="Tahoma"/>
            <family val="2"/>
          </rPr>
          <t xml:space="preserve">
La suma del % de peso físico de las subactividades debe de dar el 100% de la actividad.</t>
        </r>
      </text>
    </comment>
    <comment ref="A86" authorId="0" shapeId="0" xr:uid="{335E1575-B9CF-45CA-AA8D-D9BCE608A8D7}">
      <text>
        <r>
          <rPr>
            <sz val="9"/>
            <color indexed="81"/>
            <rFont val="Tahoma"/>
            <family val="2"/>
          </rPr>
          <t xml:space="preserve">
La suma del % de peso físico de las actividades debe de dar el 100% del alcance.</t>
        </r>
      </text>
    </comment>
    <comment ref="A87" authorId="0" shapeId="0" xr:uid="{9E62CC83-878C-4960-A19C-12FAC99B6194}">
      <text>
        <r>
          <rPr>
            <sz val="9"/>
            <color indexed="81"/>
            <rFont val="Tahoma"/>
            <family val="2"/>
          </rPr>
          <t xml:space="preserve">
La suma del % de peso físico de las subactividades debe de dar el 100% de la actividad.</t>
        </r>
      </text>
    </comment>
    <comment ref="A88" authorId="0" shapeId="0" xr:uid="{944CF34D-D6A9-47A2-B126-9335499A28B8}">
      <text>
        <r>
          <rPr>
            <sz val="9"/>
            <color indexed="81"/>
            <rFont val="Tahoma"/>
            <family val="2"/>
          </rPr>
          <t xml:space="preserve">
La suma del % de peso físico de las subactividades debe de dar el 100% de la actividad.</t>
        </r>
      </text>
    </comment>
    <comment ref="A89" authorId="0" shapeId="0" xr:uid="{682B93DF-DFE8-45FD-ADE5-BFFF87A75586}">
      <text>
        <r>
          <rPr>
            <sz val="9"/>
            <color indexed="81"/>
            <rFont val="Tahoma"/>
            <family val="2"/>
          </rPr>
          <t xml:space="preserve">
La suma del % de peso físico de las subactividades debe de dar el 100% de la actividad.</t>
        </r>
      </text>
    </comment>
    <comment ref="A90" authorId="0" shapeId="0" xr:uid="{768815BE-4606-47AC-A8F7-48B4EC358F0A}">
      <text>
        <r>
          <rPr>
            <sz val="9"/>
            <color indexed="81"/>
            <rFont val="Tahoma"/>
            <family val="2"/>
          </rPr>
          <t xml:space="preserve">
La suma del % de peso físico de las subactividades debe de dar el 100% de la actividad.</t>
        </r>
      </text>
    </comment>
    <comment ref="A91" authorId="0" shapeId="0" xr:uid="{CD1D2A10-3429-4AA5-A395-2C6A57A2BEED}">
      <text>
        <r>
          <rPr>
            <sz val="9"/>
            <color indexed="81"/>
            <rFont val="Tahoma"/>
            <family val="2"/>
          </rPr>
          <t xml:space="preserve">
La suma del % de peso físico de las subactividades debe de dar el 100% de la actividad.</t>
        </r>
      </text>
    </comment>
    <comment ref="A92" authorId="0" shapeId="0" xr:uid="{4980FDD6-C0F0-41D8-8CD6-76E62687DEEF}">
      <text>
        <r>
          <rPr>
            <sz val="9"/>
            <color indexed="81"/>
            <rFont val="Tahoma"/>
            <family val="2"/>
          </rPr>
          <t xml:space="preserve">
La suma del % de peso físico de las actividades debe de dar el 100% del alcance.</t>
        </r>
      </text>
    </comment>
    <comment ref="A93" authorId="0" shapeId="0" xr:uid="{3DF40C51-A81A-4B8F-8CBF-5EA28D66C58D}">
      <text>
        <r>
          <rPr>
            <sz val="9"/>
            <color indexed="81"/>
            <rFont val="Tahoma"/>
            <family val="2"/>
          </rPr>
          <t xml:space="preserve">
La suma del % de peso físico de las subactividades debe de dar el 100% de la actividad.</t>
        </r>
      </text>
    </comment>
    <comment ref="A94" authorId="0" shapeId="0" xr:uid="{FD8A014F-DAC6-41FE-8F01-8044354C5CDA}">
      <text>
        <r>
          <rPr>
            <sz val="9"/>
            <color indexed="81"/>
            <rFont val="Tahoma"/>
            <family val="2"/>
          </rPr>
          <t xml:space="preserve">
La suma del % de peso físico de las subactividades debe de dar el 100% de la actividad.</t>
        </r>
      </text>
    </comment>
    <comment ref="A95" authorId="0" shapeId="0" xr:uid="{F4FEA724-0437-4DAF-AE51-3ADF8C064CCF}">
      <text>
        <r>
          <rPr>
            <sz val="9"/>
            <color indexed="81"/>
            <rFont val="Tahoma"/>
            <family val="2"/>
          </rPr>
          <t xml:space="preserve">
La suma del % de peso físico de las subactividades debe de dar el 100% de la actividad.</t>
        </r>
      </text>
    </comment>
    <comment ref="A96" authorId="0" shapeId="0" xr:uid="{B41A4ECD-D3D6-4CDA-984D-0B41E807C2BA}">
      <text>
        <r>
          <rPr>
            <sz val="9"/>
            <color indexed="81"/>
            <rFont val="Tahoma"/>
            <family val="2"/>
          </rPr>
          <t xml:space="preserve">
La suma del % de peso físico de las subactividades debe de dar el 100% de la actividad.</t>
        </r>
      </text>
    </comment>
    <comment ref="A97" authorId="0" shapeId="0" xr:uid="{60E8CB5A-12A4-4DEB-8C4A-2AB8A4372FE9}">
      <text>
        <r>
          <rPr>
            <sz val="9"/>
            <color indexed="81"/>
            <rFont val="Tahoma"/>
            <family val="2"/>
          </rPr>
          <t xml:space="preserve">
La suma del % de peso físico de las subactividades debe de dar el 100% de la actividad.</t>
        </r>
      </text>
    </comment>
    <comment ref="A98" authorId="0" shapeId="0" xr:uid="{D4E7E896-5247-4373-813D-256AD642BC99}">
      <text>
        <r>
          <rPr>
            <sz val="9"/>
            <color indexed="81"/>
            <rFont val="Tahoma"/>
            <family val="2"/>
          </rPr>
          <t xml:space="preserve">
La suma del % de peso físico de las actividades debe de dar el 100% del alcance.</t>
        </r>
      </text>
    </comment>
    <comment ref="A99" authorId="0" shapeId="0" xr:uid="{5B702C22-B0F2-4100-86F4-13D2ED69AB92}">
      <text>
        <r>
          <rPr>
            <sz val="9"/>
            <color indexed="81"/>
            <rFont val="Tahoma"/>
            <family val="2"/>
          </rPr>
          <t xml:space="preserve">
La suma del % de peso físico de las subactividades debe de dar el 100% de la actividad.</t>
        </r>
      </text>
    </comment>
    <comment ref="A100" authorId="0" shapeId="0" xr:uid="{BBF444F3-9013-4FEE-BE0D-57F6D1EF937E}">
      <text>
        <r>
          <rPr>
            <sz val="9"/>
            <color indexed="81"/>
            <rFont val="Tahoma"/>
            <family val="2"/>
          </rPr>
          <t xml:space="preserve">
La suma del % de peso físico de las subactividades debe de dar el 100% de la actividad.</t>
        </r>
      </text>
    </comment>
    <comment ref="A101" authorId="0" shapeId="0" xr:uid="{1208D8BC-D9C7-4C82-BE2E-648244FC222D}">
      <text>
        <r>
          <rPr>
            <sz val="9"/>
            <color indexed="81"/>
            <rFont val="Tahoma"/>
            <family val="2"/>
          </rPr>
          <t xml:space="preserve">
La suma del % de peso físico de las subactividades debe de dar el 100% de la actividad.</t>
        </r>
      </text>
    </comment>
    <comment ref="A102" authorId="0" shapeId="0" xr:uid="{998CFC3C-CDF9-49D0-AD00-5BC60F2156BF}">
      <text>
        <r>
          <rPr>
            <sz val="9"/>
            <color indexed="81"/>
            <rFont val="Tahoma"/>
            <family val="2"/>
          </rPr>
          <t xml:space="preserve">
La suma del % de peso físico de las subactividades debe de dar el 100% de la actividad.</t>
        </r>
      </text>
    </comment>
    <comment ref="A103" authorId="0" shapeId="0" xr:uid="{A9E2B3CA-972F-4C47-8992-6E950E0E0495}">
      <text>
        <r>
          <rPr>
            <sz val="9"/>
            <color indexed="81"/>
            <rFont val="Tahoma"/>
            <family val="2"/>
          </rPr>
          <t xml:space="preserve">
La suma del % de peso físico de las subactividades debe de dar el 100% de la actividad.</t>
        </r>
      </text>
    </comment>
    <comment ref="A104" authorId="0" shapeId="0" xr:uid="{0AE17806-DA8F-4940-96D6-961795C1DD0F}">
      <text>
        <r>
          <rPr>
            <sz val="9"/>
            <color indexed="81"/>
            <rFont val="Tahoma"/>
            <family val="2"/>
          </rPr>
          <t xml:space="preserve">
La suma del % de peso físico de las actividades debe de dar el 100% del alcance.</t>
        </r>
      </text>
    </comment>
    <comment ref="A105" authorId="0" shapeId="0" xr:uid="{CE88540A-B2F0-492E-9665-FAF3106070CA}">
      <text>
        <r>
          <rPr>
            <sz val="9"/>
            <color indexed="81"/>
            <rFont val="Tahoma"/>
            <family val="2"/>
          </rPr>
          <t xml:space="preserve">
La suma del % de peso físico de las subactividades debe de dar el 100% de la actividad.</t>
        </r>
      </text>
    </comment>
    <comment ref="A106" authorId="0" shapeId="0" xr:uid="{0863A26F-B5AB-47DD-9043-9EBC00A2683A}">
      <text>
        <r>
          <rPr>
            <sz val="9"/>
            <color indexed="81"/>
            <rFont val="Tahoma"/>
            <family val="2"/>
          </rPr>
          <t xml:space="preserve">
La suma del % de peso físico de las subactividades debe de dar el 100% de la actividad.</t>
        </r>
      </text>
    </comment>
    <comment ref="A107" authorId="0" shapeId="0" xr:uid="{F6A212E4-D33E-4ABE-AF41-BBD99AE8DD6A}">
      <text>
        <r>
          <rPr>
            <sz val="9"/>
            <color indexed="81"/>
            <rFont val="Tahoma"/>
            <family val="2"/>
          </rPr>
          <t xml:space="preserve">
La suma del % de peso físico de las subactividades debe de dar el 100% de la actividad.</t>
        </r>
      </text>
    </comment>
    <comment ref="A108" authorId="0" shapeId="0" xr:uid="{44E1DD12-6C17-471B-AE29-41E2FF3BCF7A}">
      <text>
        <r>
          <rPr>
            <sz val="9"/>
            <color indexed="81"/>
            <rFont val="Tahoma"/>
            <family val="2"/>
          </rPr>
          <t xml:space="preserve">
La suma del % de peso físico de las subactividades debe de dar el 100% de la actividad.</t>
        </r>
      </text>
    </comment>
    <comment ref="A109" authorId="0" shapeId="0" xr:uid="{FF8D1EE7-02DE-4766-9C13-102E8C9C46AF}">
      <text>
        <r>
          <rPr>
            <sz val="9"/>
            <color indexed="81"/>
            <rFont val="Tahoma"/>
            <family val="2"/>
          </rPr>
          <t xml:space="preserve">
La suma del % de peso físico de las subactividades debe de dar el 100% de la actividad.</t>
        </r>
      </text>
    </comment>
    <comment ref="A110" authorId="0" shapeId="0" xr:uid="{B4393C98-8110-4094-ACCF-BF8412DCA3F8}">
      <text>
        <r>
          <rPr>
            <sz val="9"/>
            <color indexed="81"/>
            <rFont val="Tahoma"/>
            <family val="2"/>
          </rPr>
          <t xml:space="preserve">
la suma del % de peso físico de los alcances debe de dar el 100% del producto a obtener.</t>
        </r>
      </text>
    </comment>
    <comment ref="A111" authorId="0" shapeId="0" xr:uid="{3F8BE2F8-9F28-4E52-91BD-6E8C378A12DC}">
      <text>
        <r>
          <rPr>
            <sz val="9"/>
            <color indexed="81"/>
            <rFont val="Tahoma"/>
            <family val="2"/>
          </rPr>
          <t xml:space="preserve">
La suma del % de peso físico de las actividades debe de dar el 100% del alcance.</t>
        </r>
      </text>
    </comment>
    <comment ref="A112" authorId="0" shapeId="0" xr:uid="{7911DC8D-4DF1-41BB-A866-7A71139CAB35}">
      <text>
        <r>
          <rPr>
            <sz val="9"/>
            <color indexed="81"/>
            <rFont val="Tahoma"/>
            <family val="2"/>
          </rPr>
          <t xml:space="preserve">
La suma del % de peso físico de las subactividades debe de dar el 100% de la actividad.</t>
        </r>
      </text>
    </comment>
    <comment ref="A113" authorId="0" shapeId="0" xr:uid="{D493191E-A3AF-474A-B58F-61D2587356E8}">
      <text>
        <r>
          <rPr>
            <sz val="9"/>
            <color indexed="81"/>
            <rFont val="Tahoma"/>
            <family val="2"/>
          </rPr>
          <t xml:space="preserve">
La suma del % de peso físico de las subactividades debe de dar el 100% de la actividad.</t>
        </r>
      </text>
    </comment>
    <comment ref="A114" authorId="0" shapeId="0" xr:uid="{981170CA-91BE-4B30-BBBD-059B2C782767}">
      <text>
        <r>
          <rPr>
            <sz val="9"/>
            <color indexed="81"/>
            <rFont val="Tahoma"/>
            <family val="2"/>
          </rPr>
          <t xml:space="preserve">
La suma del % de peso físico de las subactividades debe de dar el 100% de la actividad.</t>
        </r>
      </text>
    </comment>
    <comment ref="A115" authorId="0" shapeId="0" xr:uid="{8E7EDDBD-1FA9-4EC5-923C-F69A1ACF04F5}">
      <text>
        <r>
          <rPr>
            <sz val="9"/>
            <color indexed="81"/>
            <rFont val="Tahoma"/>
            <family val="2"/>
          </rPr>
          <t xml:space="preserve">
La suma del % de peso físico de las subactividades debe de dar el 100% de la actividad.</t>
        </r>
      </text>
    </comment>
    <comment ref="A116" authorId="0" shapeId="0" xr:uid="{FC5D8A63-B2DC-42CD-93BF-6563B1F733A8}">
      <text>
        <r>
          <rPr>
            <sz val="9"/>
            <color indexed="81"/>
            <rFont val="Tahoma"/>
            <family val="2"/>
          </rPr>
          <t xml:space="preserve">
La suma del % de peso físico de las subactividades debe de dar el 100% de la actividad.</t>
        </r>
      </text>
    </comment>
    <comment ref="A117" authorId="0" shapeId="0" xr:uid="{FAF44B7F-39A4-4DBE-A136-F4F47050AD4E}">
      <text>
        <r>
          <rPr>
            <sz val="9"/>
            <color indexed="81"/>
            <rFont val="Tahoma"/>
            <family val="2"/>
          </rPr>
          <t xml:space="preserve">
La suma del % de peso físico de las actividades debe de dar el 100% del alcance.</t>
        </r>
      </text>
    </comment>
    <comment ref="A118" authorId="0" shapeId="0" xr:uid="{53D0B5C6-F18E-4970-BFAD-647F0B39DBA1}">
      <text>
        <r>
          <rPr>
            <sz val="9"/>
            <color indexed="81"/>
            <rFont val="Tahoma"/>
            <family val="2"/>
          </rPr>
          <t xml:space="preserve">
La suma del % de peso físico de las subactividades debe de dar el 100% de la actividad.</t>
        </r>
      </text>
    </comment>
    <comment ref="A119" authorId="0" shapeId="0" xr:uid="{145286C0-6371-45E9-9686-A72534F0C994}">
      <text>
        <r>
          <rPr>
            <sz val="9"/>
            <color indexed="81"/>
            <rFont val="Tahoma"/>
            <family val="2"/>
          </rPr>
          <t xml:space="preserve">
La suma del % de peso físico de las subactividades debe de dar el 100% de la actividad.</t>
        </r>
      </text>
    </comment>
    <comment ref="A120" authorId="0" shapeId="0" xr:uid="{E740B823-B1E8-4885-986B-EC985C357E7D}">
      <text>
        <r>
          <rPr>
            <sz val="9"/>
            <color indexed="81"/>
            <rFont val="Tahoma"/>
            <family val="2"/>
          </rPr>
          <t xml:space="preserve">
La suma del % de peso físico de las subactividades debe de dar el 100% de la actividad.</t>
        </r>
      </text>
    </comment>
    <comment ref="A121" authorId="0" shapeId="0" xr:uid="{7E776A7E-8580-425C-AD1F-A842101C15EA}">
      <text>
        <r>
          <rPr>
            <sz val="9"/>
            <color indexed="81"/>
            <rFont val="Tahoma"/>
            <family val="2"/>
          </rPr>
          <t xml:space="preserve">
La suma del % de peso físico de las subactividades debe de dar el 100% de la actividad.</t>
        </r>
      </text>
    </comment>
    <comment ref="A122" authorId="0" shapeId="0" xr:uid="{EE6036EA-D0D1-491C-9EF1-EB184CA1C7EA}">
      <text>
        <r>
          <rPr>
            <sz val="9"/>
            <color indexed="81"/>
            <rFont val="Tahoma"/>
            <family val="2"/>
          </rPr>
          <t xml:space="preserve">
La suma del % de peso físico de las subactividades debe de dar el 100% de la actividad.</t>
        </r>
      </text>
    </comment>
    <comment ref="A123" authorId="0" shapeId="0" xr:uid="{5773AFB3-8F81-4D6B-B236-1CF8D4FD2D9E}">
      <text>
        <r>
          <rPr>
            <sz val="9"/>
            <color indexed="81"/>
            <rFont val="Tahoma"/>
            <family val="2"/>
          </rPr>
          <t xml:space="preserve">
La suma del % de peso físico de las actividades debe de dar el 100% del alcance.</t>
        </r>
      </text>
    </comment>
    <comment ref="A124" authorId="0" shapeId="0" xr:uid="{FF48AF63-2D0D-4187-A9E9-D42A04D4A4E2}">
      <text>
        <r>
          <rPr>
            <sz val="9"/>
            <color indexed="81"/>
            <rFont val="Tahoma"/>
            <family val="2"/>
          </rPr>
          <t xml:space="preserve">
La suma del % de peso físico de las subactividades debe de dar el 100% de la actividad.</t>
        </r>
      </text>
    </comment>
    <comment ref="A125" authorId="0" shapeId="0" xr:uid="{5023805F-6010-4AD9-8E25-005B5A45E0DF}">
      <text>
        <r>
          <rPr>
            <sz val="9"/>
            <color indexed="81"/>
            <rFont val="Tahoma"/>
            <family val="2"/>
          </rPr>
          <t xml:space="preserve">
La suma del % de peso físico de las subactividades debe de dar el 100% de la actividad.</t>
        </r>
      </text>
    </comment>
    <comment ref="A126" authorId="0" shapeId="0" xr:uid="{633AB455-8870-4813-B2F0-1AB7B6FFB290}">
      <text>
        <r>
          <rPr>
            <sz val="9"/>
            <color indexed="81"/>
            <rFont val="Tahoma"/>
            <family val="2"/>
          </rPr>
          <t xml:space="preserve">
La suma del % de peso físico de las subactividades debe de dar el 100% de la actividad.</t>
        </r>
      </text>
    </comment>
    <comment ref="A127" authorId="0" shapeId="0" xr:uid="{56C0E497-8BC3-4412-B71F-FF141E758733}">
      <text>
        <r>
          <rPr>
            <sz val="9"/>
            <color indexed="81"/>
            <rFont val="Tahoma"/>
            <family val="2"/>
          </rPr>
          <t xml:space="preserve">
La suma del % de peso físico de las subactividades debe de dar el 100% de la actividad.</t>
        </r>
      </text>
    </comment>
    <comment ref="A128" authorId="0" shapeId="0" xr:uid="{C1FAAECE-92DD-4474-80C4-E4DFDCC5F376}">
      <text>
        <r>
          <rPr>
            <sz val="9"/>
            <color indexed="81"/>
            <rFont val="Tahoma"/>
            <family val="2"/>
          </rPr>
          <t xml:space="preserve">
La suma del % de peso físico de las subactividades debe de dar el 100% de la actividad.</t>
        </r>
      </text>
    </comment>
    <comment ref="A129" authorId="0" shapeId="0" xr:uid="{04C45A66-E09B-4A92-95B3-7248201AAB89}">
      <text>
        <r>
          <rPr>
            <sz val="9"/>
            <color indexed="81"/>
            <rFont val="Tahoma"/>
            <family val="2"/>
          </rPr>
          <t xml:space="preserve">
La suma del % de peso físico de las actividades debe de dar el 100% del alcance.</t>
        </r>
      </text>
    </comment>
    <comment ref="A130" authorId="0" shapeId="0" xr:uid="{13A48912-43C4-43B0-A03F-872EAF3251A7}">
      <text>
        <r>
          <rPr>
            <sz val="9"/>
            <color indexed="81"/>
            <rFont val="Tahoma"/>
            <family val="2"/>
          </rPr>
          <t xml:space="preserve">
La suma del % de peso físico de las subactividades debe de dar el 100% de la actividad.</t>
        </r>
      </text>
    </comment>
    <comment ref="A131" authorId="0" shapeId="0" xr:uid="{C51A7703-7109-480B-823C-E173DB6A85F0}">
      <text>
        <r>
          <rPr>
            <sz val="9"/>
            <color indexed="81"/>
            <rFont val="Tahoma"/>
            <family val="2"/>
          </rPr>
          <t xml:space="preserve">
La suma del % de peso físico de las subactividades debe de dar el 100% de la actividad.</t>
        </r>
      </text>
    </comment>
    <comment ref="A132" authorId="0" shapeId="0" xr:uid="{4AB7D51A-4FBA-4E5A-9968-CD92EA8C4503}">
      <text>
        <r>
          <rPr>
            <sz val="9"/>
            <color indexed="81"/>
            <rFont val="Tahoma"/>
            <family val="2"/>
          </rPr>
          <t xml:space="preserve">
La suma del % de peso físico de las subactividades debe de dar el 100% de la actividad.</t>
        </r>
      </text>
    </comment>
    <comment ref="A133" authorId="0" shapeId="0" xr:uid="{3DA46F06-BBAB-4D39-B7DB-E81DB1B74BC2}">
      <text>
        <r>
          <rPr>
            <sz val="9"/>
            <color indexed="81"/>
            <rFont val="Tahoma"/>
            <family val="2"/>
          </rPr>
          <t xml:space="preserve">
La suma del % de peso físico de las subactividades debe de dar el 100% de la actividad.</t>
        </r>
      </text>
    </comment>
    <comment ref="A134" authorId="0" shapeId="0" xr:uid="{F072FD8F-C967-401C-B112-2146BFD8D8A3}">
      <text>
        <r>
          <rPr>
            <sz val="9"/>
            <color indexed="81"/>
            <rFont val="Tahoma"/>
            <family val="2"/>
          </rPr>
          <t xml:space="preserve">
La suma del % de peso físico de las subactividades debe de dar el 100% de la actividad.</t>
        </r>
      </text>
    </comment>
    <comment ref="A135" authorId="0" shapeId="0" xr:uid="{457186E9-E979-4FF7-9667-C00157FA8200}">
      <text>
        <r>
          <rPr>
            <sz val="9"/>
            <color indexed="81"/>
            <rFont val="Tahoma"/>
            <family val="2"/>
          </rPr>
          <t xml:space="preserve">
La suma del % de peso físico de las actividades debe de dar el 100% del alcance.</t>
        </r>
      </text>
    </comment>
    <comment ref="A136" authorId="0" shapeId="0" xr:uid="{21EAED9D-9664-4847-800D-E3CB69F6AD8A}">
      <text>
        <r>
          <rPr>
            <sz val="9"/>
            <color indexed="81"/>
            <rFont val="Tahoma"/>
            <family val="2"/>
          </rPr>
          <t xml:space="preserve">
La suma del % de peso físico de las subactividades debe de dar el 100% de la actividad.</t>
        </r>
      </text>
    </comment>
    <comment ref="A137" authorId="0" shapeId="0" xr:uid="{CC605371-BD07-4037-9DF1-A868A9DD9357}">
      <text>
        <r>
          <rPr>
            <sz val="9"/>
            <color indexed="81"/>
            <rFont val="Tahoma"/>
            <family val="2"/>
          </rPr>
          <t xml:space="preserve">
La suma del % de peso físico de las subactividades debe de dar el 100% de la actividad.</t>
        </r>
      </text>
    </comment>
    <comment ref="A138" authorId="0" shapeId="0" xr:uid="{13E69AEE-4092-408A-B83A-382B085E9A6A}">
      <text>
        <r>
          <rPr>
            <sz val="9"/>
            <color indexed="81"/>
            <rFont val="Tahoma"/>
            <family val="2"/>
          </rPr>
          <t xml:space="preserve">
La suma del % de peso físico de las subactividades debe de dar el 100% de la actividad.</t>
        </r>
      </text>
    </comment>
    <comment ref="A139" authorId="0" shapeId="0" xr:uid="{69B41508-3677-4AE4-A48C-224E88FF46BD}">
      <text>
        <r>
          <rPr>
            <sz val="9"/>
            <color indexed="81"/>
            <rFont val="Tahoma"/>
            <family val="2"/>
          </rPr>
          <t xml:space="preserve">
La suma del % de peso físico de las subactividades debe de dar el 100% de la actividad.</t>
        </r>
      </text>
    </comment>
    <comment ref="A140" authorId="0" shapeId="0" xr:uid="{725EFC2D-71F6-46DE-A282-D35960A1C0AF}">
      <text>
        <r>
          <rPr>
            <sz val="9"/>
            <color indexed="81"/>
            <rFont val="Tahoma"/>
            <family val="2"/>
          </rPr>
          <t xml:space="preserve">
La suma del % de peso físico de las subactividades debe de dar el 100% de la actividad.</t>
        </r>
      </text>
    </comment>
    <comment ref="A141" authorId="0" shapeId="0" xr:uid="{C73F4964-31F3-4BF2-9191-23571BEE400D}">
      <text>
        <r>
          <rPr>
            <sz val="9"/>
            <color indexed="81"/>
            <rFont val="Tahoma"/>
            <family val="2"/>
          </rPr>
          <t xml:space="preserve">
la suma del % de peso físico de los alcances debe de dar el 100% del producto a obtener.</t>
        </r>
      </text>
    </comment>
    <comment ref="A142" authorId="0" shapeId="0" xr:uid="{D26880A7-5E03-49A6-9720-F0EA13320483}">
      <text>
        <r>
          <rPr>
            <sz val="9"/>
            <color indexed="81"/>
            <rFont val="Tahoma"/>
            <family val="2"/>
          </rPr>
          <t xml:space="preserve">
La suma del % de peso físico de las actividades debe de dar el 100% del alcance.</t>
        </r>
      </text>
    </comment>
    <comment ref="A143" authorId="0" shapeId="0" xr:uid="{36306C3D-BD6C-4F32-ACFD-E51912C2E899}">
      <text>
        <r>
          <rPr>
            <sz val="9"/>
            <color indexed="81"/>
            <rFont val="Tahoma"/>
            <family val="2"/>
          </rPr>
          <t xml:space="preserve">
La suma del % de peso físico de las subactividades debe de dar el 100% de la actividad.</t>
        </r>
      </text>
    </comment>
    <comment ref="A144" authorId="0" shapeId="0" xr:uid="{5CA52AEA-EB8C-4AB6-B199-F228DF84FA0C}">
      <text>
        <r>
          <rPr>
            <sz val="9"/>
            <color indexed="81"/>
            <rFont val="Tahoma"/>
            <family val="2"/>
          </rPr>
          <t xml:space="preserve">
La suma del % de peso físico de las subactividades debe de dar el 100% de la actividad.</t>
        </r>
      </text>
    </comment>
    <comment ref="A145" authorId="0" shapeId="0" xr:uid="{BE716CCB-648F-4062-A2F3-65967DD5E563}">
      <text>
        <r>
          <rPr>
            <sz val="9"/>
            <color indexed="81"/>
            <rFont val="Tahoma"/>
            <family val="2"/>
          </rPr>
          <t xml:space="preserve">
La suma del % de peso físico de las subactividades debe de dar el 100% de la actividad.</t>
        </r>
      </text>
    </comment>
    <comment ref="A146" authorId="0" shapeId="0" xr:uid="{2F896F59-40CE-4590-AE15-EA27A31A5AEA}">
      <text>
        <r>
          <rPr>
            <sz val="9"/>
            <color indexed="81"/>
            <rFont val="Tahoma"/>
            <family val="2"/>
          </rPr>
          <t xml:space="preserve">
La suma del % de peso físico de las subactividades debe de dar el 100% de la actividad.</t>
        </r>
      </text>
    </comment>
    <comment ref="A147" authorId="0" shapeId="0" xr:uid="{DDD00FE9-09FB-4FE6-BACF-A6E8A8FCAA07}">
      <text>
        <r>
          <rPr>
            <sz val="9"/>
            <color indexed="81"/>
            <rFont val="Tahoma"/>
            <family val="2"/>
          </rPr>
          <t xml:space="preserve">
La suma del % de peso físico de las subactividades debe de dar el 100% de la actividad.</t>
        </r>
      </text>
    </comment>
    <comment ref="A148" authorId="0" shapeId="0" xr:uid="{F54D3320-BA8A-4048-8901-00526C5CF223}">
      <text>
        <r>
          <rPr>
            <sz val="9"/>
            <color indexed="81"/>
            <rFont val="Tahoma"/>
            <family val="2"/>
          </rPr>
          <t xml:space="preserve">
La suma del % de peso físico de las actividades debe de dar el 100% del alcance.</t>
        </r>
      </text>
    </comment>
    <comment ref="A149" authorId="0" shapeId="0" xr:uid="{A7F7EE1A-843E-45EC-83E1-C0574E87BA7E}">
      <text>
        <r>
          <rPr>
            <sz val="9"/>
            <color indexed="81"/>
            <rFont val="Tahoma"/>
            <family val="2"/>
          </rPr>
          <t xml:space="preserve">
La suma del % de peso físico de las subactividades debe de dar el 100% de la actividad.</t>
        </r>
      </text>
    </comment>
    <comment ref="A150" authorId="0" shapeId="0" xr:uid="{6DE503BF-E9A0-4554-B463-AD77C8C02716}">
      <text>
        <r>
          <rPr>
            <sz val="9"/>
            <color indexed="81"/>
            <rFont val="Tahoma"/>
            <family val="2"/>
          </rPr>
          <t xml:space="preserve">
La suma del % de peso físico de las subactividades debe de dar el 100% de la actividad.</t>
        </r>
      </text>
    </comment>
    <comment ref="A151" authorId="0" shapeId="0" xr:uid="{433E41A7-B2A1-4046-AF2A-3F15C0DE05FB}">
      <text>
        <r>
          <rPr>
            <sz val="9"/>
            <color indexed="81"/>
            <rFont val="Tahoma"/>
            <family val="2"/>
          </rPr>
          <t xml:space="preserve">
La suma del % de peso físico de las subactividades debe de dar el 100% de la actividad.</t>
        </r>
      </text>
    </comment>
    <comment ref="A152" authorId="0" shapeId="0" xr:uid="{000F83C2-AB2D-4BDC-8E6A-0CE8366AFE14}">
      <text>
        <r>
          <rPr>
            <sz val="9"/>
            <color indexed="81"/>
            <rFont val="Tahoma"/>
            <family val="2"/>
          </rPr>
          <t xml:space="preserve">
La suma del % de peso físico de las subactividades debe de dar el 100% de la actividad.</t>
        </r>
      </text>
    </comment>
    <comment ref="A153" authorId="0" shapeId="0" xr:uid="{62F1A0F6-23E4-4381-A08B-291AD6A8D4CA}">
      <text>
        <r>
          <rPr>
            <sz val="9"/>
            <color indexed="81"/>
            <rFont val="Tahoma"/>
            <family val="2"/>
          </rPr>
          <t xml:space="preserve">
La suma del % de peso físico de las subactividades debe de dar el 100% de la actividad.</t>
        </r>
      </text>
    </comment>
    <comment ref="A154" authorId="0" shapeId="0" xr:uid="{E44076FC-B5A7-47FE-B92F-43E32C776B06}">
      <text>
        <r>
          <rPr>
            <sz val="9"/>
            <color indexed="81"/>
            <rFont val="Tahoma"/>
            <family val="2"/>
          </rPr>
          <t xml:space="preserve">
La suma del % de peso físico de las actividades debe de dar el 100% del alcance.</t>
        </r>
      </text>
    </comment>
    <comment ref="A155" authorId="0" shapeId="0" xr:uid="{FEDA7340-C7CC-4673-84AF-4CCC90F17AD6}">
      <text>
        <r>
          <rPr>
            <sz val="9"/>
            <color indexed="81"/>
            <rFont val="Tahoma"/>
            <family val="2"/>
          </rPr>
          <t xml:space="preserve">
La suma del % de peso físico de las subactividades debe de dar el 100% de la actividad.</t>
        </r>
      </text>
    </comment>
    <comment ref="A156" authorId="0" shapeId="0" xr:uid="{A9B7C42D-A33F-49DE-8414-771CE79364F5}">
      <text>
        <r>
          <rPr>
            <sz val="9"/>
            <color indexed="81"/>
            <rFont val="Tahoma"/>
            <family val="2"/>
          </rPr>
          <t xml:space="preserve">
La suma del % de peso físico de las subactividades debe de dar el 100% de la actividad.</t>
        </r>
      </text>
    </comment>
    <comment ref="A157" authorId="0" shapeId="0" xr:uid="{7BC9492B-C204-45E4-8706-D7F8BFC44C1B}">
      <text>
        <r>
          <rPr>
            <sz val="9"/>
            <color indexed="81"/>
            <rFont val="Tahoma"/>
            <family val="2"/>
          </rPr>
          <t xml:space="preserve">
La suma del % de peso físico de las subactividades debe de dar el 100% de la actividad.</t>
        </r>
      </text>
    </comment>
    <comment ref="A158" authorId="0" shapeId="0" xr:uid="{1F3F587D-2C6D-4610-A44A-91FE805C5ADD}">
      <text>
        <r>
          <rPr>
            <sz val="9"/>
            <color indexed="81"/>
            <rFont val="Tahoma"/>
            <family val="2"/>
          </rPr>
          <t xml:space="preserve">
La suma del % de peso físico de las subactividades debe de dar el 100% de la actividad.</t>
        </r>
      </text>
    </comment>
    <comment ref="A159" authorId="0" shapeId="0" xr:uid="{D79381BC-9632-4964-8FBC-CA9EB6CB6BAF}">
      <text>
        <r>
          <rPr>
            <sz val="9"/>
            <color indexed="81"/>
            <rFont val="Tahoma"/>
            <family val="2"/>
          </rPr>
          <t xml:space="preserve">
La suma del % de peso físico de las subactividades debe de dar el 100% de la actividad.</t>
        </r>
      </text>
    </comment>
    <comment ref="A160" authorId="0" shapeId="0" xr:uid="{8586A7AB-FE9F-4791-9A16-2EB80F581CC1}">
      <text>
        <r>
          <rPr>
            <sz val="9"/>
            <color indexed="81"/>
            <rFont val="Tahoma"/>
            <family val="2"/>
          </rPr>
          <t xml:space="preserve">
La suma del % de peso físico de las actividades debe de dar el 100% del alcance.</t>
        </r>
      </text>
    </comment>
    <comment ref="A161" authorId="0" shapeId="0" xr:uid="{9B8F3DAB-52DB-4C44-8E57-BBA3BFC2A67B}">
      <text>
        <r>
          <rPr>
            <sz val="9"/>
            <color indexed="81"/>
            <rFont val="Tahoma"/>
            <family val="2"/>
          </rPr>
          <t xml:space="preserve">
La suma del % de peso físico de las subactividades debe de dar el 100% de la actividad.</t>
        </r>
      </text>
    </comment>
    <comment ref="A162" authorId="0" shapeId="0" xr:uid="{D509945A-5F87-48E7-AC4D-8B43614512A9}">
      <text>
        <r>
          <rPr>
            <sz val="9"/>
            <color indexed="81"/>
            <rFont val="Tahoma"/>
            <family val="2"/>
          </rPr>
          <t xml:space="preserve">
La suma del % de peso físico de las subactividades debe de dar el 100% de la actividad.</t>
        </r>
      </text>
    </comment>
    <comment ref="A163" authorId="0" shapeId="0" xr:uid="{08DC8A0D-75D8-4188-9A7F-24DA7C33F29B}">
      <text>
        <r>
          <rPr>
            <sz val="9"/>
            <color indexed="81"/>
            <rFont val="Tahoma"/>
            <family val="2"/>
          </rPr>
          <t xml:space="preserve">
La suma del % de peso físico de las subactividades debe de dar el 100% de la actividad.</t>
        </r>
      </text>
    </comment>
    <comment ref="A164" authorId="0" shapeId="0" xr:uid="{D6E317CE-E413-47D4-A494-A7BF8B831D7E}">
      <text>
        <r>
          <rPr>
            <sz val="9"/>
            <color indexed="81"/>
            <rFont val="Tahoma"/>
            <family val="2"/>
          </rPr>
          <t xml:space="preserve">
La suma del % de peso físico de las subactividades debe de dar el 100% de la actividad.</t>
        </r>
      </text>
    </comment>
    <comment ref="A165" authorId="0" shapeId="0" xr:uid="{D4A34F3B-0DE3-43A4-9896-1E6DB7D25445}">
      <text>
        <r>
          <rPr>
            <sz val="9"/>
            <color indexed="81"/>
            <rFont val="Tahoma"/>
            <family val="2"/>
          </rPr>
          <t xml:space="preserve">
La suma del % de peso físico de las subactividades debe de dar el 100% de la actividad.</t>
        </r>
      </text>
    </comment>
    <comment ref="A166" authorId="0" shapeId="0" xr:uid="{07B48572-328B-4355-B4E2-52D3C17FAD89}">
      <text>
        <r>
          <rPr>
            <sz val="9"/>
            <color indexed="81"/>
            <rFont val="Tahoma"/>
            <family val="2"/>
          </rPr>
          <t xml:space="preserve">
La suma del % de peso físico de las actividades debe de dar el 100% del alcance.</t>
        </r>
      </text>
    </comment>
    <comment ref="A167" authorId="0" shapeId="0" xr:uid="{F1E6646F-98A8-43CF-A040-1AA94874D621}">
      <text>
        <r>
          <rPr>
            <sz val="9"/>
            <color indexed="81"/>
            <rFont val="Tahoma"/>
            <family val="2"/>
          </rPr>
          <t xml:space="preserve">
La suma del % de peso físico de las subactividades debe de dar el 100% de la actividad.</t>
        </r>
      </text>
    </comment>
    <comment ref="A168" authorId="0" shapeId="0" xr:uid="{F783C997-B376-47EF-A97F-FFF43C48CF98}">
      <text>
        <r>
          <rPr>
            <sz val="9"/>
            <color indexed="81"/>
            <rFont val="Tahoma"/>
            <family val="2"/>
          </rPr>
          <t xml:space="preserve">
La suma del % de peso físico de las subactividades debe de dar el 100% de la actividad.</t>
        </r>
      </text>
    </comment>
    <comment ref="A169" authorId="0" shapeId="0" xr:uid="{8BB14FCF-685D-4204-9997-DA94873AB5D7}">
      <text>
        <r>
          <rPr>
            <sz val="9"/>
            <color indexed="81"/>
            <rFont val="Tahoma"/>
            <family val="2"/>
          </rPr>
          <t xml:space="preserve">
La suma del % de peso físico de las subactividades debe de dar el 100% de la actividad.</t>
        </r>
      </text>
    </comment>
    <comment ref="A170" authorId="0" shapeId="0" xr:uid="{4B300D11-7B0C-4355-9FE1-17ACCC4D25A2}">
      <text>
        <r>
          <rPr>
            <sz val="9"/>
            <color indexed="81"/>
            <rFont val="Tahoma"/>
            <family val="2"/>
          </rPr>
          <t xml:space="preserve">
La suma del % de peso físico de las subactividades debe de dar el 100% de la actividad.</t>
        </r>
      </text>
    </comment>
    <comment ref="A171" authorId="0" shapeId="0" xr:uid="{A97ACD5E-97EA-4081-A269-33EE30847374}">
      <text>
        <r>
          <rPr>
            <sz val="9"/>
            <color indexed="81"/>
            <rFont val="Tahoma"/>
            <family val="2"/>
          </rPr>
          <t xml:space="preserve">
La suma del % de peso físico de las subactividades debe de dar el 100% de la actividad.</t>
        </r>
      </text>
    </comment>
    <comment ref="A172" authorId="0" shapeId="0" xr:uid="{34D7653B-1FC1-4CBA-AEDD-A2D5DD4BAC46}">
      <text>
        <r>
          <rPr>
            <sz val="9"/>
            <color indexed="81"/>
            <rFont val="Tahoma"/>
            <family val="2"/>
          </rPr>
          <t xml:space="preserve">
la suma del % de peso físico de los alcances debe de dar el 100% del producto a obtener.</t>
        </r>
      </text>
    </comment>
    <comment ref="A173" authorId="0" shapeId="0" xr:uid="{8AA1BB31-5117-4061-996E-2520155CFBC2}">
      <text>
        <r>
          <rPr>
            <sz val="9"/>
            <color indexed="81"/>
            <rFont val="Tahoma"/>
            <family val="2"/>
          </rPr>
          <t xml:space="preserve">
La suma del % de peso físico de las actividades debe de dar el 100% del alcance.</t>
        </r>
      </text>
    </comment>
    <comment ref="A174" authorId="0" shapeId="0" xr:uid="{09C0CF2F-893D-4DD2-A60D-D47BC6C194F1}">
      <text>
        <r>
          <rPr>
            <sz val="9"/>
            <color indexed="81"/>
            <rFont val="Tahoma"/>
            <family val="2"/>
          </rPr>
          <t xml:space="preserve">
La suma del % de peso físico de las subactividades debe de dar el 100% de la actividad.</t>
        </r>
      </text>
    </comment>
    <comment ref="A175" authorId="0" shapeId="0" xr:uid="{849F33C1-DC9D-4394-AC00-38BA2EF003AC}">
      <text>
        <r>
          <rPr>
            <sz val="9"/>
            <color indexed="81"/>
            <rFont val="Tahoma"/>
            <family val="2"/>
          </rPr>
          <t xml:space="preserve">
La suma del % de peso físico de las subactividades debe de dar el 100% de la actividad.</t>
        </r>
      </text>
    </comment>
    <comment ref="A176" authorId="0" shapeId="0" xr:uid="{2EE0FAFD-9400-4234-B791-13FADA4B1AFD}">
      <text>
        <r>
          <rPr>
            <sz val="9"/>
            <color indexed="81"/>
            <rFont val="Tahoma"/>
            <family val="2"/>
          </rPr>
          <t xml:space="preserve">
La suma del % de peso físico de las subactividades debe de dar el 100% de la actividad.</t>
        </r>
      </text>
    </comment>
    <comment ref="A177" authorId="0" shapeId="0" xr:uid="{7EDB724B-1784-4C18-BC35-5FAFD4D816E3}">
      <text>
        <r>
          <rPr>
            <sz val="9"/>
            <color indexed="81"/>
            <rFont val="Tahoma"/>
            <family val="2"/>
          </rPr>
          <t xml:space="preserve">
La suma del % de peso físico de las subactividades debe de dar el 100% de la actividad.</t>
        </r>
      </text>
    </comment>
    <comment ref="A178" authorId="0" shapeId="0" xr:uid="{785F3EE6-2DC9-4FEC-A52E-CD4ED53B7744}">
      <text>
        <r>
          <rPr>
            <sz val="9"/>
            <color indexed="81"/>
            <rFont val="Tahoma"/>
            <family val="2"/>
          </rPr>
          <t xml:space="preserve">
La suma del % de peso físico de las subactividades debe de dar el 100% de la actividad.</t>
        </r>
      </text>
    </comment>
    <comment ref="A179" authorId="0" shapeId="0" xr:uid="{4BD3C702-022F-49BB-B824-969F04945ACD}">
      <text>
        <r>
          <rPr>
            <sz val="9"/>
            <color indexed="81"/>
            <rFont val="Tahoma"/>
            <family val="2"/>
          </rPr>
          <t xml:space="preserve">
La suma del % de peso físico de las actividades debe de dar el 100% del alcance.</t>
        </r>
      </text>
    </comment>
    <comment ref="A180" authorId="0" shapeId="0" xr:uid="{4DF50A64-9F9E-4872-AF7B-EACBD8DA98EB}">
      <text>
        <r>
          <rPr>
            <sz val="9"/>
            <color indexed="81"/>
            <rFont val="Tahoma"/>
            <family val="2"/>
          </rPr>
          <t xml:space="preserve">
La suma del % de peso físico de las subactividades debe de dar el 100% de la actividad.</t>
        </r>
      </text>
    </comment>
    <comment ref="A181" authorId="0" shapeId="0" xr:uid="{C6B8E620-DF27-4C81-9B60-C5DDF7635E4A}">
      <text>
        <r>
          <rPr>
            <sz val="9"/>
            <color indexed="81"/>
            <rFont val="Tahoma"/>
            <family val="2"/>
          </rPr>
          <t xml:space="preserve">
La suma del % de peso físico de las subactividades debe de dar el 100% de la actividad.</t>
        </r>
      </text>
    </comment>
    <comment ref="A182" authorId="0" shapeId="0" xr:uid="{D16C02E0-2FCF-44C1-8228-30CF40E139DD}">
      <text>
        <r>
          <rPr>
            <sz val="9"/>
            <color indexed="81"/>
            <rFont val="Tahoma"/>
            <family val="2"/>
          </rPr>
          <t xml:space="preserve">
La suma del % de peso físico de las subactividades debe de dar el 100% de la actividad.</t>
        </r>
      </text>
    </comment>
    <comment ref="A183" authorId="0" shapeId="0" xr:uid="{B36463AB-D970-493B-A598-5FB408D2F692}">
      <text>
        <r>
          <rPr>
            <sz val="9"/>
            <color indexed="81"/>
            <rFont val="Tahoma"/>
            <family val="2"/>
          </rPr>
          <t xml:space="preserve">
La suma del % de peso físico de las subactividades debe de dar el 100% de la actividad.</t>
        </r>
      </text>
    </comment>
    <comment ref="A184" authorId="0" shapeId="0" xr:uid="{C9333501-DC11-4007-A42A-3A3008F21B2A}">
      <text>
        <r>
          <rPr>
            <sz val="9"/>
            <color indexed="81"/>
            <rFont val="Tahoma"/>
            <family val="2"/>
          </rPr>
          <t xml:space="preserve">
La suma del % de peso físico de las subactividades debe de dar el 100% de la actividad.</t>
        </r>
      </text>
    </comment>
    <comment ref="A185" authorId="0" shapeId="0" xr:uid="{63DF7AC8-D8B0-4E69-8141-EFDEC1F444EA}">
      <text>
        <r>
          <rPr>
            <sz val="9"/>
            <color indexed="81"/>
            <rFont val="Tahoma"/>
            <family val="2"/>
          </rPr>
          <t xml:space="preserve">
La suma del % de peso físico de las actividades debe de dar el 100% del alcance.</t>
        </r>
      </text>
    </comment>
    <comment ref="A186" authorId="0" shapeId="0" xr:uid="{F0B6E279-DB85-4F20-97EC-9B5BB443F5BD}">
      <text>
        <r>
          <rPr>
            <sz val="9"/>
            <color indexed="81"/>
            <rFont val="Tahoma"/>
            <family val="2"/>
          </rPr>
          <t xml:space="preserve">
La suma del % de peso físico de las subactividades debe de dar el 100% de la actividad.</t>
        </r>
      </text>
    </comment>
    <comment ref="A187" authorId="0" shapeId="0" xr:uid="{9F9D4383-073A-486E-B249-A90F3768FF36}">
      <text>
        <r>
          <rPr>
            <sz val="9"/>
            <color indexed="81"/>
            <rFont val="Tahoma"/>
            <family val="2"/>
          </rPr>
          <t xml:space="preserve">
La suma del % de peso físico de las subactividades debe de dar el 100% de la actividad.</t>
        </r>
      </text>
    </comment>
    <comment ref="A188" authorId="0" shapeId="0" xr:uid="{6CADF29F-48C2-4900-BDA8-C1B5E1DA3BCE}">
      <text>
        <r>
          <rPr>
            <sz val="9"/>
            <color indexed="81"/>
            <rFont val="Tahoma"/>
            <family val="2"/>
          </rPr>
          <t xml:space="preserve">
La suma del % de peso físico de las subactividades debe de dar el 100% de la actividad.</t>
        </r>
      </text>
    </comment>
    <comment ref="A189" authorId="0" shapeId="0" xr:uid="{FC49915C-F3B2-45BA-A666-232D67DE0743}">
      <text>
        <r>
          <rPr>
            <sz val="9"/>
            <color indexed="81"/>
            <rFont val="Tahoma"/>
            <family val="2"/>
          </rPr>
          <t xml:space="preserve">
La suma del % de peso físico de las subactividades debe de dar el 100% de la actividad.</t>
        </r>
      </text>
    </comment>
    <comment ref="A190" authorId="0" shapeId="0" xr:uid="{6BA540D7-29E1-4626-AE48-1815FEA07480}">
      <text>
        <r>
          <rPr>
            <sz val="9"/>
            <color indexed="81"/>
            <rFont val="Tahoma"/>
            <family val="2"/>
          </rPr>
          <t xml:space="preserve">
La suma del % de peso físico de las subactividades debe de dar el 100% de la actividad.</t>
        </r>
      </text>
    </comment>
    <comment ref="A191" authorId="0" shapeId="0" xr:uid="{A8954717-B2B9-4A88-BF1C-59BF194B88B6}">
      <text>
        <r>
          <rPr>
            <sz val="9"/>
            <color indexed="81"/>
            <rFont val="Tahoma"/>
            <family val="2"/>
          </rPr>
          <t xml:space="preserve">
La suma del % de peso físico de las actividades debe de dar el 100% del alcance.</t>
        </r>
      </text>
    </comment>
    <comment ref="A192" authorId="0" shapeId="0" xr:uid="{82EF1102-C9CF-4E1F-9AAD-96D43A5A479F}">
      <text>
        <r>
          <rPr>
            <sz val="9"/>
            <color indexed="81"/>
            <rFont val="Tahoma"/>
            <family val="2"/>
          </rPr>
          <t xml:space="preserve">
La suma del % de peso físico de las subactividades debe de dar el 100% de la actividad.</t>
        </r>
      </text>
    </comment>
    <comment ref="A193" authorId="0" shapeId="0" xr:uid="{CFE33B79-458F-493C-BA8B-2F612F347433}">
      <text>
        <r>
          <rPr>
            <sz val="9"/>
            <color indexed="81"/>
            <rFont val="Tahoma"/>
            <family val="2"/>
          </rPr>
          <t xml:space="preserve">
La suma del % de peso físico de las subactividades debe de dar el 100% de la actividad.</t>
        </r>
      </text>
    </comment>
    <comment ref="A194" authorId="0" shapeId="0" xr:uid="{06AD236B-4F50-4685-93B5-54B707DABC62}">
      <text>
        <r>
          <rPr>
            <sz val="9"/>
            <color indexed="81"/>
            <rFont val="Tahoma"/>
            <family val="2"/>
          </rPr>
          <t xml:space="preserve">
La suma del % de peso físico de las subactividades debe de dar el 100% de la actividad.</t>
        </r>
      </text>
    </comment>
    <comment ref="A195" authorId="0" shapeId="0" xr:uid="{3CE5230F-7CB2-40BE-8970-F0BF55CE6536}">
      <text>
        <r>
          <rPr>
            <sz val="9"/>
            <color indexed="81"/>
            <rFont val="Tahoma"/>
            <family val="2"/>
          </rPr>
          <t xml:space="preserve">
La suma del % de peso físico de las subactividades debe de dar el 100% de la actividad.</t>
        </r>
      </text>
    </comment>
    <comment ref="A196" authorId="0" shapeId="0" xr:uid="{23AAEB13-A6E0-4484-AC9A-DCB56529D953}">
      <text>
        <r>
          <rPr>
            <sz val="9"/>
            <color indexed="81"/>
            <rFont val="Tahoma"/>
            <family val="2"/>
          </rPr>
          <t xml:space="preserve">
La suma del % de peso físico de las subactividades debe de dar el 100% de la actividad.</t>
        </r>
      </text>
    </comment>
    <comment ref="A197" authorId="0" shapeId="0" xr:uid="{FEBE56EF-82F7-4E72-878E-0AEA26A17AF9}">
      <text>
        <r>
          <rPr>
            <sz val="9"/>
            <color indexed="81"/>
            <rFont val="Tahoma"/>
            <family val="2"/>
          </rPr>
          <t xml:space="preserve">
La suma del % de peso físico de las actividades debe de dar el 100% del alcance.</t>
        </r>
      </text>
    </comment>
    <comment ref="A198" authorId="0" shapeId="0" xr:uid="{9D946525-B38D-4581-9B85-CF4DCC3273BD}">
      <text>
        <r>
          <rPr>
            <sz val="9"/>
            <color indexed="81"/>
            <rFont val="Tahoma"/>
            <family val="2"/>
          </rPr>
          <t xml:space="preserve">
La suma del % de peso físico de las subactividades debe de dar el 100% de la actividad.</t>
        </r>
      </text>
    </comment>
    <comment ref="A199" authorId="0" shapeId="0" xr:uid="{FD6B020F-0E6A-4E58-9370-3EC1F05EFDA9}">
      <text>
        <r>
          <rPr>
            <sz val="9"/>
            <color indexed="81"/>
            <rFont val="Tahoma"/>
            <family val="2"/>
          </rPr>
          <t xml:space="preserve">
La suma del % de peso físico de las subactividades debe de dar el 100% de la actividad.</t>
        </r>
      </text>
    </comment>
    <comment ref="A200" authorId="0" shapeId="0" xr:uid="{D93F3E18-4CC5-4674-AD1D-F3E70BC5C546}">
      <text>
        <r>
          <rPr>
            <sz val="9"/>
            <color indexed="81"/>
            <rFont val="Tahoma"/>
            <family val="2"/>
          </rPr>
          <t xml:space="preserve">
La suma del % de peso físico de las subactividades debe de dar el 100% de la actividad.</t>
        </r>
      </text>
    </comment>
    <comment ref="A201" authorId="0" shapeId="0" xr:uid="{F7262648-0067-4516-81DC-97A4FD838423}">
      <text>
        <r>
          <rPr>
            <sz val="9"/>
            <color indexed="81"/>
            <rFont val="Tahoma"/>
            <family val="2"/>
          </rPr>
          <t xml:space="preserve">
La suma del % de peso físico de las subactividades debe de dar el 100% de la actividad.</t>
        </r>
      </text>
    </comment>
    <comment ref="A202" authorId="0" shapeId="0" xr:uid="{E4A8FE97-710E-4A11-805E-389387E9EC00}">
      <text>
        <r>
          <rPr>
            <sz val="9"/>
            <color indexed="81"/>
            <rFont val="Tahoma"/>
            <family val="2"/>
          </rPr>
          <t xml:space="preserve">
La suma del % de peso físico de las subactividades debe de dar el 100% de la actividad.</t>
        </r>
      </text>
    </comment>
    <comment ref="A203" authorId="0" shapeId="0" xr:uid="{510B53DC-1CD1-41BD-8CB4-DEC9818AEAE9}">
      <text>
        <r>
          <rPr>
            <sz val="9"/>
            <color indexed="81"/>
            <rFont val="Tahoma"/>
            <family val="2"/>
          </rPr>
          <t xml:space="preserve">
Suma de la ejecución de las subactividades en cada período</t>
        </r>
      </text>
    </comment>
    <comment ref="A204" authorId="0" shapeId="0" xr:uid="{7E3189AD-9F9C-4230-84BA-CEEB44CD4D46}">
      <text>
        <r>
          <rPr>
            <sz val="9"/>
            <color indexed="81"/>
            <rFont val="Tahoma"/>
            <family val="2"/>
          </rPr>
          <t xml:space="preserve">
Suma del total del período anterior + el total del período actual</t>
        </r>
      </text>
    </comment>
    <comment ref="E208" authorId="0" shapeId="0" xr:uid="{23D226AD-F0D3-4D48-90D5-F13682546D3A}">
      <text>
        <r>
          <rPr>
            <sz val="9"/>
            <color indexed="81"/>
            <rFont val="Tahoma"/>
            <family val="2"/>
          </rPr>
          <t xml:space="preserve">
Valor total incluido los aportes en dinero y en especie, de todos los participantes</t>
        </r>
      </text>
    </comment>
    <comment ref="F208" authorId="0" shapeId="0" xr:uid="{A26BC631-872B-4051-BDC2-B6A5D44D4A64}">
      <text>
        <r>
          <rPr>
            <sz val="9"/>
            <color indexed="81"/>
            <rFont val="Tahoma"/>
            <family val="2"/>
          </rPr>
          <t xml:space="preserve">
Valor total en dinero aportado por corantioquia</t>
        </r>
      </text>
    </comment>
    <comment ref="F210" authorId="0" shapeId="0" xr:uid="{4F6C2944-354A-4F1C-B163-EEBE85830157}">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D210" authorId="0" shapeId="0" xr:uid="{D5F03E3C-492D-46C8-8681-81944FBB2789}">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11" authorId="0" shapeId="0" xr:uid="{8B5B4EC8-0136-4D5E-9BC5-BFF2FA1CF18B}">
      <text>
        <r>
          <rPr>
            <sz val="9"/>
            <color indexed="81"/>
            <rFont val="Tahoma"/>
            <family val="2"/>
          </rPr>
          <t xml:space="preserve">
Peso %:
 Valor aportado por corantioquia en cada periodo / el valor (total) aportado por corantioquia</t>
        </r>
      </text>
    </comment>
    <comment ref="E212" authorId="0" shapeId="0" xr:uid="{0F6FFEFB-8C4F-448B-8BE5-DBE8A948F6EE}">
      <text>
        <r>
          <rPr>
            <sz val="9"/>
            <color indexed="81"/>
            <rFont val="Tahoma"/>
            <family val="2"/>
          </rPr>
          <t xml:space="preserve">
Suma del (%) del período anterior + el (%) del período actual</t>
        </r>
      </text>
    </comment>
    <comment ref="E214" authorId="0" shapeId="0" xr:uid="{5F856683-1B67-45D6-839F-E8976DF07BF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15" authorId="0" shapeId="0" xr:uid="{A74E8441-AF3A-4BB0-83FC-8BB2D97393AF}">
      <text>
        <r>
          <rPr>
            <sz val="9"/>
            <color indexed="81"/>
            <rFont val="Tahoma"/>
            <family val="2"/>
          </rPr>
          <t xml:space="preserve">
Esta información se compara con los datos disponibles en el PGAR.
Suma del (%) del período anterior + el (%) del período actual</t>
        </r>
      </text>
    </comment>
    <comment ref="C217" authorId="0" shapeId="0" xr:uid="{E22849EE-F90B-458B-860F-D12F0B375DEF}">
      <text>
        <r>
          <rPr>
            <sz val="9"/>
            <color indexed="81"/>
            <rFont val="Tahoma"/>
            <family val="2"/>
          </rPr>
          <t xml:space="preserve">
Diligenciar esta información solo en caso de Otrosí de adición de recursos o prórroga </t>
        </r>
      </text>
    </comment>
    <comment ref="E218" authorId="0" shapeId="0" xr:uid="{8EBF6ABA-3236-44C9-AFDD-6F7274160711}">
      <text>
        <r>
          <rPr>
            <sz val="9"/>
            <color indexed="81"/>
            <rFont val="Tahoma"/>
            <family val="2"/>
          </rPr>
          <t xml:space="preserve">
Valor aportado por corantioquia (solo en dinero) de manera inicial + las adiciones</t>
        </r>
      </text>
    </comment>
    <comment ref="F220" authorId="0" shapeId="0" xr:uid="{780FF261-82DC-47BF-A40E-73D61DCF91F1}">
      <text>
        <r>
          <rPr>
            <sz val="9"/>
            <color indexed="81"/>
            <rFont val="Tahoma"/>
            <family val="2"/>
          </rPr>
          <t xml:space="preserve">
Diligenciar la información de los valores que efectivamente se han desembolsado, de acuerdo con la información en el PGAR</t>
        </r>
      </text>
    </comment>
    <comment ref="F223" authorId="0" shapeId="0" xr:uid="{A3342F69-E49B-42F7-91EC-AD5861C4B480}">
      <text>
        <r>
          <rPr>
            <sz val="9"/>
            <color indexed="81"/>
            <rFont val="Tahoma"/>
            <family val="2"/>
          </rPr>
          <t xml:space="preserve">
Plasmar la planeación de los valores pendientes de ejecución o desembolso</t>
        </r>
      </text>
    </comment>
    <comment ref="C226" authorId="0" shapeId="0" xr:uid="{92400F45-BEA9-4127-8AFC-C59FF8AF54FD}">
      <text>
        <r>
          <rPr>
            <sz val="9"/>
            <color indexed="81"/>
            <rFont val="Tahoma"/>
            <family val="2"/>
          </rPr>
          <t xml:space="preserve">
Suma del porcentaje acumulado de los valores ya ejecutados y el porcentaje acumulado de los valores por ejecutar</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00000000-0006-0000-0300-000001000000}">
      <text>
        <r>
          <rPr>
            <sz val="9"/>
            <color indexed="81"/>
            <rFont val="Tahoma"/>
            <family val="2"/>
          </rPr>
          <t>La información se alimenta de la hoja 
"PLAN DE EJECUCIÓN FÍSICA Y DE INVERSIONES"</t>
        </r>
      </text>
    </comment>
    <comment ref="A6" authorId="0" shapeId="0" xr:uid="{00000000-0006-0000-0300-000002000000}">
      <text>
        <r>
          <rPr>
            <sz val="9"/>
            <color indexed="81"/>
            <rFont val="Tahoma"/>
            <family val="2"/>
          </rPr>
          <t>La información se alimenta de la hoja 
"PLAN DE EJECUCIÓN FÍSICA Y DE INVERSIONES"</t>
        </r>
      </text>
    </comment>
    <comment ref="J8" authorId="0" shapeId="0" xr:uid="{00000000-0006-0000-0300-000003000000}">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1" shapeId="0" xr:uid="{00000000-0006-0000-0300-000004000000}">
      <text>
        <r>
          <rPr>
            <sz val="9"/>
            <color indexed="81"/>
            <rFont val="Tahoma"/>
            <family val="2"/>
          </rPr>
          <t xml:space="preserve">
Respecto al ítem</t>
        </r>
      </text>
    </comment>
    <comment ref="C9" authorId="1" shapeId="0" xr:uid="{00000000-0006-0000-0300-000005000000}">
      <text>
        <r>
          <rPr>
            <sz val="9"/>
            <color indexed="81"/>
            <rFont val="Tahoma"/>
            <family val="2"/>
          </rPr>
          <t xml:space="preserve">
(%) de dedicación respecto a la unidad de medida, justificar adecuamente en caso que sea inferior al 100% y no sea aporte en especie</t>
        </r>
      </text>
    </comment>
    <comment ref="E9" authorId="1" shapeId="0" xr:uid="{00000000-0006-0000-0300-000006000000}">
      <text>
        <r>
          <rPr>
            <sz val="9"/>
            <color indexed="81"/>
            <rFont val="Tahoma"/>
            <family val="2"/>
          </rPr>
          <t xml:space="preserve">
Respecto a la unidad de medida</t>
        </r>
      </text>
    </comment>
    <comment ref="G9" authorId="0" shapeId="0" xr:uid="{00000000-0006-0000-0300-000007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I9" authorId="0" shapeId="0" xr:uid="{00000000-0006-0000-0300-000008000000}">
      <text>
        <r>
          <rPr>
            <sz val="9"/>
            <color indexed="81"/>
            <rFont val="Tahoma"/>
            <family val="2"/>
          </rPr>
          <t xml:space="preserve">
(%) Porcentaje de participación respecto al SUBTOTAL PERSONAL</t>
        </r>
      </text>
    </comment>
    <comment ref="F83" authorId="0" shapeId="0" xr:uid="{00000000-0006-0000-0300-000009000000}">
      <text>
        <r>
          <rPr>
            <sz val="9"/>
            <color indexed="81"/>
            <rFont val="Tahoma"/>
            <family val="2"/>
          </rPr>
          <t xml:space="preserve">
Los valores unitarios se deben expresar en valores mayores de cero (0)</t>
        </r>
      </text>
    </comment>
    <comment ref="H83" authorId="0" shapeId="0" xr:uid="{00000000-0006-0000-0300-00000A000000}">
      <text>
        <r>
          <rPr>
            <sz val="9"/>
            <color indexed="81"/>
            <rFont val="Tahoma"/>
            <family val="2"/>
          </rPr>
          <t xml:space="preserve">
cantidad X valor unitario</t>
        </r>
      </text>
    </comment>
    <comment ref="I83" authorId="0" shapeId="0" xr:uid="{00000000-0006-0000-0300-00000B000000}">
      <text>
        <r>
          <rPr>
            <sz val="9"/>
            <color indexed="81"/>
            <rFont val="Tahoma"/>
            <family val="2"/>
          </rPr>
          <t xml:space="preserve">
(%) Porcentaje de participación respecto al SUBTOTAL COSTOS (diferentes a los costos del personal)</t>
        </r>
      </text>
    </comment>
    <comment ref="G130" authorId="0" shapeId="0" xr:uid="{00000000-0006-0000-0300-00000C000000}">
      <text>
        <r>
          <rPr>
            <sz val="9"/>
            <color indexed="81"/>
            <rFont val="Tahoma"/>
            <family val="2"/>
          </rPr>
          <t xml:space="preserve">
Diligenciar si aplica</t>
        </r>
      </text>
    </comment>
    <comment ref="G131" authorId="0" shapeId="0" xr:uid="{00000000-0006-0000-0300-00000D000000}">
      <text>
        <r>
          <rPr>
            <sz val="9"/>
            <color indexed="81"/>
            <rFont val="Tahoma"/>
            <family val="2"/>
          </rPr>
          <t xml:space="preserve">
Diligenciar si aplica</t>
        </r>
      </text>
    </comment>
    <comment ref="G132" authorId="0" shapeId="0" xr:uid="{00000000-0006-0000-0300-00000E000000}">
      <text>
        <r>
          <rPr>
            <sz val="9"/>
            <color indexed="81"/>
            <rFont val="Tahoma"/>
            <family val="2"/>
          </rPr>
          <t xml:space="preserve">
Diligenciar si aplica</t>
        </r>
      </text>
    </comment>
    <comment ref="H133" authorId="0" shapeId="0" xr:uid="{00000000-0006-0000-0300-00000F000000}">
      <text>
        <r>
          <rPr>
            <sz val="9"/>
            <color indexed="81"/>
            <rFont val="Tahoma"/>
            <family val="2"/>
          </rPr>
          <t xml:space="preserve">
Valor expresado en moneda legal colombiana</t>
        </r>
      </text>
    </comment>
    <comment ref="E136" authorId="2" shapeId="0" xr:uid="{00000000-0006-0000-0300-000010000000}">
      <text>
        <r>
          <rPr>
            <sz val="9"/>
            <color indexed="81"/>
            <rFont val="Tahoma"/>
            <family val="2"/>
          </rPr>
          <t xml:space="preserve">
(%) Porcentaje de participación respecto al SUBTOTAL (Antes de AU e IVA)</t>
        </r>
      </text>
    </comment>
    <comment ref="F136" authorId="0" shapeId="0" xr:uid="{00000000-0006-0000-0300-000011000000}">
      <text>
        <r>
          <rPr>
            <sz val="9"/>
            <color indexed="81"/>
            <rFont val="Tahoma"/>
            <family val="2"/>
          </rPr>
          <t xml:space="preserve">
(%) Porcentaje de participación respecto al TOTAL (incluido AU e IVA)</t>
        </r>
      </text>
    </comment>
    <comment ref="A144" authorId="0" shapeId="0" xr:uid="{00000000-0006-0000-0300-000012000000}">
      <text>
        <r>
          <rPr>
            <sz val="9"/>
            <color indexed="81"/>
            <rFont val="Tahoma"/>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G145" authorId="0" shapeId="0" xr:uid="{00000000-0006-0000-0300-000013000000}">
      <text>
        <r>
          <rPr>
            <sz val="9"/>
            <color indexed="81"/>
            <rFont val="Tahoma"/>
            <family val="2"/>
          </rPr>
          <t xml:space="preserve">
(%) Porcentaje de participación respecto al TOTAL (incluido AU e IVA)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B5" authorId="0" shapeId="0" xr:uid="{00000000-0006-0000-0400-000001000000}">
      <text>
        <r>
          <rPr>
            <sz val="9"/>
            <color indexed="81"/>
            <rFont val="Tahoma"/>
            <family val="2"/>
          </rPr>
          <t>La información se alimenta de la hoja 
"PLAN DE EJECUCIÓN FÍSICA Y DE INVERSIONES - PRESTACIÓN DE SERVICIOS PERSONALES"</t>
        </r>
      </text>
    </comment>
    <comment ref="B6" authorId="0" shapeId="0" xr:uid="{00000000-0006-0000-0400-000002000000}">
      <text>
        <r>
          <rPr>
            <sz val="9"/>
            <color indexed="81"/>
            <rFont val="Tahoma"/>
            <family val="2"/>
          </rPr>
          <t>La información se alimenta de la hoja 
"PLAN DE EJECUCIÓN FÍSICA Y DE INVERSIONES - PRESTACIÓN DE SERVICIOS PERSONALES"</t>
        </r>
      </text>
    </comment>
    <comment ref="C8" authorId="1" shapeId="0" xr:uid="{00000000-0006-0000-0400-000003000000}">
      <text>
        <r>
          <rPr>
            <sz val="9"/>
            <color indexed="81"/>
            <rFont val="Tahoma"/>
            <family val="2"/>
          </rPr>
          <t xml:space="preserve">
Respecto a la unidad de medida</t>
        </r>
      </text>
    </comment>
    <comment ref="E8" authorId="0" shapeId="0" xr:uid="{00000000-0006-0000-0400-000004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1" authorId="0" shapeId="0" xr:uid="{00000000-0006-0000-0400-000005000000}">
      <text>
        <r>
          <rPr>
            <sz val="9"/>
            <color indexed="81"/>
            <rFont val="Tahoma"/>
            <family val="2"/>
          </rPr>
          <t xml:space="preserve">
Valor expresado en moneda legal colombiana</t>
        </r>
      </text>
    </comment>
    <comment ref="A12" authorId="0" shapeId="0" xr:uid="{00000000-0006-0000-0400-000006000000}">
      <text>
        <r>
          <rPr>
            <sz val="9"/>
            <color indexed="81"/>
            <rFont val="Tahoma"/>
            <family val="2"/>
          </rPr>
          <t xml:space="preserve">Solo aplica en caso que la persona natural sea responsable de IVA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00000000-0006-0000-0500-000001000000}">
      <text>
        <r>
          <rPr>
            <sz val="9"/>
            <color indexed="81"/>
            <rFont val="Tahoma"/>
            <family val="2"/>
          </rPr>
          <t>La información se alimenta de la hoja 
"PLAN DE EJECUCIÓN FÍSICA Y DE INVERSIONES"</t>
        </r>
      </text>
    </comment>
    <comment ref="C5" authorId="0" shapeId="0" xr:uid="{00000000-0006-0000-0500-000002000000}">
      <text>
        <r>
          <rPr>
            <u/>
            <sz val="9"/>
            <color indexed="81"/>
            <rFont val="Tahoma"/>
            <family val="2"/>
          </rPr>
          <t>Convenios solidarios</t>
        </r>
        <r>
          <rPr>
            <sz val="9"/>
            <color indexed="81"/>
            <rFont val="Tahoma"/>
            <family val="2"/>
          </rPr>
          <t xml:space="preserve">: Los suscritos con JAC, Asocomunales y/o grupos étnicos.
</t>
        </r>
        <r>
          <rPr>
            <u/>
            <sz val="9"/>
            <color indexed="81"/>
            <rFont val="Tahoma"/>
            <family val="2"/>
          </rPr>
          <t>Convenios interadministrativos</t>
        </r>
        <r>
          <rPr>
            <sz val="9"/>
            <color indexed="81"/>
            <rFont val="Tahoma"/>
            <family val="2"/>
          </rPr>
          <t xml:space="preserve">: Los suscritos con otras entidades públicas.
</t>
        </r>
        <r>
          <rPr>
            <u/>
            <sz val="9"/>
            <color indexed="81"/>
            <rFont val="Tahoma"/>
            <family val="2"/>
          </rPr>
          <t>Convenios de asociación o administrativos</t>
        </r>
        <r>
          <rPr>
            <sz val="9"/>
            <color indexed="81"/>
            <rFont val="Tahoma"/>
            <family val="2"/>
          </rPr>
          <t xml:space="preserve">: Los suscritos con ESAL (Entidades Sin Ánimo de Lucro).
</t>
        </r>
      </text>
    </comment>
    <comment ref="A6" authorId="0" shapeId="0" xr:uid="{00000000-0006-0000-0500-000003000000}">
      <text>
        <r>
          <rPr>
            <sz val="9"/>
            <color indexed="81"/>
            <rFont val="Tahoma"/>
            <family val="2"/>
          </rPr>
          <t xml:space="preserve">La información se alimenta de la hoja 
"PLAN DE EJECUCIÓN FÍSICA Y DE INVERSIONES"
</t>
        </r>
      </text>
    </comment>
    <comment ref="O8" authorId="0" shapeId="0" xr:uid="{00000000-0006-0000-0500-000004000000}">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0" shapeId="0" xr:uid="{00000000-0006-0000-0500-000005000000}">
      <text>
        <r>
          <rPr>
            <sz val="9"/>
            <color indexed="81"/>
            <rFont val="Tahoma"/>
            <family val="2"/>
          </rPr>
          <t xml:space="preserve">
Respecto al ítem</t>
        </r>
      </text>
    </comment>
    <comment ref="C9" authorId="1" shapeId="0" xr:uid="{00000000-0006-0000-0500-000006000000}">
      <text>
        <r>
          <rPr>
            <sz val="9"/>
            <color indexed="81"/>
            <rFont val="Tahoma"/>
            <family val="2"/>
          </rPr>
          <t xml:space="preserve">
(%) de dedicación respecto a la unidad de medida, justificar adecuamente en caso que sea inferior al 100% y no sea aporte en especie</t>
        </r>
      </text>
    </comment>
    <comment ref="E9" authorId="0" shapeId="0" xr:uid="{00000000-0006-0000-0500-000007000000}">
      <text>
        <r>
          <rPr>
            <sz val="9"/>
            <color indexed="81"/>
            <rFont val="Tahoma"/>
            <family val="2"/>
          </rPr>
          <t xml:space="preserve">
Respecto a la unidad de medida</t>
        </r>
      </text>
    </comment>
    <comment ref="G9" authorId="0" shapeId="0" xr:uid="{00000000-0006-0000-0500-000008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I9" authorId="0" shapeId="0" xr:uid="{00000000-0006-0000-0500-000009000000}">
      <text>
        <r>
          <rPr>
            <sz val="9"/>
            <color indexed="81"/>
            <rFont val="Tahoma"/>
            <family val="2"/>
          </rPr>
          <t xml:space="preserve">
(%) Porcentaje de participación respecto al SUBTOTAL PERSONAL</t>
        </r>
      </text>
    </comment>
    <comment ref="L9" authorId="0" shapeId="0" xr:uid="{00000000-0006-0000-0500-00000A000000}">
      <text>
        <r>
          <rPr>
            <sz val="9"/>
            <color indexed="81"/>
            <rFont val="Tahoma"/>
            <family val="2"/>
          </rPr>
          <t xml:space="preserve">
Diligenciar el nombre del conveniante.
Incluir columnas a la derecha, en caso de requerirlo.</t>
        </r>
      </text>
    </comment>
    <comment ref="F103" authorId="0" shapeId="0" xr:uid="{00000000-0006-0000-0500-00000B000000}">
      <text>
        <r>
          <rPr>
            <sz val="9"/>
            <color indexed="81"/>
            <rFont val="Tahoma"/>
            <family val="2"/>
          </rPr>
          <t xml:space="preserve">
Los valores unitarios se deben expresar en valores mayores de cero (0)</t>
        </r>
      </text>
    </comment>
    <comment ref="H103" authorId="0" shapeId="0" xr:uid="{00000000-0006-0000-0500-00000C000000}">
      <text>
        <r>
          <rPr>
            <sz val="9"/>
            <color indexed="81"/>
            <rFont val="Tahoma"/>
            <family val="2"/>
          </rPr>
          <t xml:space="preserve">
cantidad X valor unitario</t>
        </r>
      </text>
    </comment>
    <comment ref="I103" authorId="0" shapeId="0" xr:uid="{00000000-0006-0000-0500-00000D000000}">
      <text>
        <r>
          <rPr>
            <sz val="9"/>
            <color indexed="81"/>
            <rFont val="Tahoma"/>
            <family val="2"/>
          </rPr>
          <t xml:space="preserve">
(%) Porcentaje de participación respecto al SUBTOTAL COSTOS (diferentes a los costos del personal)</t>
        </r>
      </text>
    </comment>
    <comment ref="L103" authorId="0" shapeId="0" xr:uid="{00000000-0006-0000-0500-00000E000000}">
      <text>
        <r>
          <rPr>
            <sz val="9"/>
            <color indexed="81"/>
            <rFont val="Tahoma"/>
            <family val="2"/>
          </rPr>
          <t xml:space="preserve">
Diligenciar el nombre del conveniante.
Incluir columnas a la derecha, en caso de requerirlo.</t>
        </r>
      </text>
    </comment>
    <comment ref="L153" authorId="0" shapeId="0" xr:uid="{00000000-0006-0000-0500-00000F000000}">
      <text>
        <r>
          <rPr>
            <sz val="9"/>
            <color indexed="81"/>
            <rFont val="Tahoma"/>
            <family val="2"/>
          </rPr>
          <t xml:space="preserve">
Diligenciar el nombre del conveniante.
Incluir columnas a la derecha, en caso de requerirlo.</t>
        </r>
      </text>
    </comment>
    <comment ref="A156" authorId="0" shapeId="0" xr:uid="{00000000-0006-0000-0500-000010000000}">
      <text>
        <r>
          <rPr>
            <sz val="9"/>
            <color indexed="81"/>
            <rFont val="Tahoma"/>
            <family val="2"/>
          </rPr>
          <t xml:space="preserve">
De quien no ejecuta. 
Se recomienda realizar el análisis respectivo en caso que el conveniante - ejecutor contemple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Teniendo en cuenta que nuestra competencia se circunscribe al convenio a celebrar, y la forma de ejecuión del mismo por parte del conveniante ejecutor, sea directamente o por intermedio de un tercero, es discrecional a él. </t>
        </r>
      </text>
    </comment>
    <comment ref="A157" authorId="0" shapeId="0" xr:uid="{00000000-0006-0000-0500-000011000000}">
      <text>
        <r>
          <rPr>
            <b/>
            <sz val="9"/>
            <color indexed="81"/>
            <rFont val="Tahoma"/>
            <family val="2"/>
          </rPr>
          <t xml:space="preserve">
</t>
        </r>
        <r>
          <rPr>
            <sz val="9"/>
            <color indexed="81"/>
            <rFont val="Tahoma"/>
            <family val="2"/>
          </rPr>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r>
      </text>
    </comment>
    <comment ref="G157" authorId="0" shapeId="0" xr:uid="{00000000-0006-0000-0500-000012000000}">
      <text>
        <r>
          <rPr>
            <sz val="9"/>
            <color indexed="81"/>
            <rFont val="Tahoma"/>
            <family val="2"/>
          </rPr>
          <t xml:space="preserve">
Diligenciar el porcentaje si aplica
Porcentaje que viene del análisis realizado en la hoja gastos de administración</t>
        </r>
      </text>
    </comment>
    <comment ref="H157" authorId="0" shapeId="0" xr:uid="{00000000-0006-0000-0500-000013000000}">
      <text>
        <r>
          <rPr>
            <sz val="9"/>
            <color indexed="81"/>
            <rFont val="Tahoma"/>
            <family val="2"/>
          </rPr>
          <t xml:space="preserve">
Porcentaje sobre los aportes en dinero, de quien no ejecuta</t>
        </r>
      </text>
    </comment>
    <comment ref="H158" authorId="0" shapeId="0" xr:uid="{00000000-0006-0000-0500-000014000000}">
      <text>
        <r>
          <rPr>
            <sz val="9"/>
            <color indexed="81"/>
            <rFont val="Tahoma"/>
            <family val="2"/>
          </rPr>
          <t xml:space="preserve">
Valor expresado en moneda legal colombiana</t>
        </r>
      </text>
    </comment>
    <comment ref="E162" authorId="2" shapeId="0" xr:uid="{00000000-0006-0000-0500-000015000000}">
      <text>
        <r>
          <rPr>
            <sz val="9"/>
            <color indexed="81"/>
            <rFont val="Tahoma"/>
            <family val="2"/>
          </rPr>
          <t xml:space="preserve">
(%) Porcentaje de participación respecto al SUBTOTAL </t>
        </r>
      </text>
    </comment>
    <comment ref="F162" authorId="0" shapeId="0" xr:uid="{00000000-0006-0000-0500-000016000000}">
      <text>
        <r>
          <rPr>
            <sz val="9"/>
            <color indexed="81"/>
            <rFont val="Tahoma"/>
            <family val="2"/>
          </rPr>
          <t xml:space="preserve">
(%) Porcentaje de participación respecto al TOTAL </t>
        </r>
      </text>
    </comment>
    <comment ref="A171" authorId="0" shapeId="0" xr:uid="{00000000-0006-0000-0500-000017000000}">
      <text>
        <r>
          <rPr>
            <sz val="9"/>
            <color indexed="81"/>
            <rFont val="Tahoma"/>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F172" authorId="0" shapeId="0" xr:uid="{00000000-0006-0000-0500-000018000000}">
      <text>
        <r>
          <rPr>
            <sz val="9"/>
            <color indexed="81"/>
            <rFont val="Tahoma"/>
            <family val="2"/>
          </rPr>
          <t xml:space="preserve">
(%) Porcentaje de participación respecto al TOTAL (incluido AU e IVA)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75CABE84-72E7-4174-B4C0-45FD0259F303}">
      <text>
        <r>
          <rPr>
            <sz val="9"/>
            <color indexed="81"/>
            <rFont val="Tahoma"/>
            <family val="2"/>
          </rPr>
          <t>La información se alimenta de la hoja 
"PLAN DE EJECUCIÓN FÍSICA Y DE INVERSIONES"</t>
        </r>
      </text>
    </comment>
    <comment ref="A6" authorId="0" shapeId="0" xr:uid="{F7A52A5C-9329-4CCD-94C3-2F21D6D1E58B}">
      <text>
        <r>
          <rPr>
            <sz val="9"/>
            <color indexed="81"/>
            <rFont val="Tahoma"/>
            <family val="2"/>
          </rPr>
          <t>La información se alimenta de la hoja 
"PLAN DE EJECUCIÓN FÍSICA Y DE INVERSIONES"</t>
        </r>
      </text>
    </comment>
    <comment ref="J8" authorId="0" shapeId="0" xr:uid="{A45230F1-7829-4FED-9A6C-62D45B664E71}">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1" shapeId="0" xr:uid="{59DA8C44-1AA3-420E-BCF3-0A44895E8465}">
      <text>
        <r>
          <rPr>
            <sz val="9"/>
            <color indexed="81"/>
            <rFont val="Tahoma"/>
            <family val="2"/>
          </rPr>
          <t xml:space="preserve">
Respecto al ítem</t>
        </r>
      </text>
    </comment>
    <comment ref="C9" authorId="1" shapeId="0" xr:uid="{81754E10-0358-4FC2-88E3-EECBF554DEA4}">
      <text>
        <r>
          <rPr>
            <sz val="9"/>
            <color indexed="81"/>
            <rFont val="Tahoma"/>
            <family val="2"/>
          </rPr>
          <t xml:space="preserve">
(%) de dedicación respecto a la unidad de medida, justificar adecuamente en caso que sea inferior al 100% y no sea aporte en especie</t>
        </r>
      </text>
    </comment>
    <comment ref="E9" authorId="1" shapeId="0" xr:uid="{2A4EDE81-202D-4744-A0FB-D84951707243}">
      <text>
        <r>
          <rPr>
            <sz val="9"/>
            <color indexed="81"/>
            <rFont val="Tahoma"/>
            <family val="2"/>
          </rPr>
          <t xml:space="preserve">
Respecto a la unidad de medida</t>
        </r>
      </text>
    </comment>
    <comment ref="G9" authorId="0" shapeId="0" xr:uid="{1AD6A6F5-DACF-4D10-A933-3E3F909E72C3}">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I9" authorId="0" shapeId="0" xr:uid="{640F0450-05F7-4B51-AC60-1682F0BD30F8}">
      <text>
        <r>
          <rPr>
            <sz val="9"/>
            <color indexed="81"/>
            <rFont val="Tahoma"/>
            <family val="2"/>
          </rPr>
          <t xml:space="preserve">
(%) Porcentaje de participación respecto al SUBTOTAL PERSONAL</t>
        </r>
      </text>
    </comment>
    <comment ref="F83" authorId="0" shapeId="0" xr:uid="{77E4E889-D175-4C7F-9B62-8E49CAC5A502}">
      <text>
        <r>
          <rPr>
            <sz val="9"/>
            <color indexed="81"/>
            <rFont val="Tahoma"/>
            <family val="2"/>
          </rPr>
          <t xml:space="preserve">
Los valores unitarios se deben expresar en valores mayores de cero (0)</t>
        </r>
      </text>
    </comment>
    <comment ref="H83" authorId="0" shapeId="0" xr:uid="{7CB229E3-CAAF-4883-B1D0-062EEB94D016}">
      <text>
        <r>
          <rPr>
            <sz val="9"/>
            <color indexed="81"/>
            <rFont val="Tahoma"/>
            <family val="2"/>
          </rPr>
          <t xml:space="preserve">
cantidad X valor unitario</t>
        </r>
      </text>
    </comment>
    <comment ref="I83" authorId="0" shapeId="0" xr:uid="{73C57178-56C3-43A8-85DA-D1444BC818C9}">
      <text>
        <r>
          <rPr>
            <sz val="9"/>
            <color indexed="81"/>
            <rFont val="Tahoma"/>
            <family val="2"/>
          </rPr>
          <t xml:space="preserve">
(%) Porcentaje de participación respecto al SUBTOTAL COSTOS (diferentes a los costos del personal)</t>
        </r>
      </text>
    </comment>
    <comment ref="G130" authorId="0" shapeId="0" xr:uid="{75FC44BA-D238-4A0C-978F-3A0D63668DB4}">
      <text>
        <r>
          <rPr>
            <sz val="9"/>
            <color indexed="81"/>
            <rFont val="Tahoma"/>
            <family val="2"/>
          </rPr>
          <t xml:space="preserve">
Diligenciar si aplica</t>
        </r>
      </text>
    </comment>
    <comment ref="G131" authorId="0" shapeId="0" xr:uid="{EED69F87-4515-46B4-8263-F967E46EA5A3}">
      <text>
        <r>
          <rPr>
            <sz val="9"/>
            <color indexed="81"/>
            <rFont val="Tahoma"/>
            <family val="2"/>
          </rPr>
          <t xml:space="preserve">
Diligenciar si aplica</t>
        </r>
      </text>
    </comment>
    <comment ref="G132" authorId="0" shapeId="0" xr:uid="{C4CF6AFE-36E9-448F-9028-C361B047453F}">
      <text>
        <r>
          <rPr>
            <sz val="9"/>
            <color indexed="81"/>
            <rFont val="Tahoma"/>
            <family val="2"/>
          </rPr>
          <t xml:space="preserve">
Diligenciar si aplica</t>
        </r>
      </text>
    </comment>
    <comment ref="H133" authorId="0" shapeId="0" xr:uid="{F0077A71-B796-4E59-9074-966DA076437F}">
      <text>
        <r>
          <rPr>
            <sz val="9"/>
            <color indexed="81"/>
            <rFont val="Tahoma"/>
            <family val="2"/>
          </rPr>
          <t xml:space="preserve">
Valor expresado en moneda legal colombiana</t>
        </r>
      </text>
    </comment>
    <comment ref="E136" authorId="2" shapeId="0" xr:uid="{67C03315-CBF6-46DC-929E-2748245D6890}">
      <text>
        <r>
          <rPr>
            <sz val="9"/>
            <color indexed="81"/>
            <rFont val="Tahoma"/>
            <family val="2"/>
          </rPr>
          <t xml:space="preserve">
(%) Porcentaje de participación respecto al SUBTOTAL (Antes de AU e IVA)</t>
        </r>
      </text>
    </comment>
    <comment ref="F136" authorId="0" shapeId="0" xr:uid="{C830C0F7-56F6-447A-8284-14C87CA99E97}">
      <text>
        <r>
          <rPr>
            <sz val="9"/>
            <color indexed="81"/>
            <rFont val="Tahoma"/>
            <family val="2"/>
          </rPr>
          <t xml:space="preserve">
(%) Porcentaje de participación respecto al TOTAL (incluido AU e IVA)</t>
        </r>
      </text>
    </comment>
    <comment ref="A144" authorId="0" shapeId="0" xr:uid="{17A040DC-B995-499A-8247-6F9408A7DC65}">
      <text>
        <r>
          <rPr>
            <sz val="9"/>
            <color indexed="81"/>
            <rFont val="Tahoma"/>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600-000001000000}">
      <text>
        <r>
          <rPr>
            <sz val="9"/>
            <color indexed="81"/>
            <rFont val="Tahoma"/>
            <family val="2"/>
          </rPr>
          <t>La información se alimenta de la hoja 
"PLAN DE EJECUCIÓN FÍSICA Y DE INVERSIONES"</t>
        </r>
      </text>
    </comment>
    <comment ref="A6" authorId="0" shapeId="0" xr:uid="{00000000-0006-0000-0600-000002000000}">
      <text>
        <r>
          <rPr>
            <sz val="9"/>
            <color indexed="81"/>
            <rFont val="Tahoma"/>
            <family val="2"/>
          </rPr>
          <t>La información se alimenta de la hoja 
"PLAN DE EJECUCIÓN FÍSICA Y DE INVERSIONES"</t>
        </r>
      </text>
    </comment>
    <comment ref="D12" authorId="0" shapeId="0" xr:uid="{00000000-0006-0000-0600-000003000000}">
      <text>
        <r>
          <rPr>
            <sz val="9"/>
            <color indexed="81"/>
            <rFont val="Tahoma"/>
            <family val="2"/>
          </rPr>
          <t xml:space="preserve">
Normalmente este valor se deriva del estudio de mercado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700-000001000000}">
      <text>
        <r>
          <rPr>
            <sz val="9"/>
            <color indexed="81"/>
            <rFont val="Tahoma"/>
            <family val="2"/>
          </rPr>
          <t>La información se alimenta de la hoja 
"PLAN DE EJECUCIÓN FÍSICA Y DE INVERSIONES"</t>
        </r>
      </text>
    </comment>
    <comment ref="A6" authorId="0" shapeId="0" xr:uid="{00000000-0006-0000-0700-000002000000}">
      <text>
        <r>
          <rPr>
            <sz val="9"/>
            <color indexed="81"/>
            <rFont val="Tahoma"/>
            <family val="2"/>
          </rPr>
          <t>La información se alimenta de la hoja 
"PLAN DE EJECUCIÓN FÍSICA Y DE INVERSIONES"</t>
        </r>
      </text>
    </comment>
    <comment ref="I12" authorId="0" shapeId="0" xr:uid="{00000000-0006-0000-0700-000003000000}">
      <text>
        <r>
          <rPr>
            <sz val="9"/>
            <color indexed="81"/>
            <rFont val="Tahoma"/>
            <family val="2"/>
          </rPr>
          <t xml:space="preserve">
Diligenciar solo si se trata de un convenio</t>
        </r>
      </text>
    </comment>
    <comment ref="K13" authorId="0" shapeId="0" xr:uid="{00000000-0006-0000-0700-000004000000}">
      <text>
        <r>
          <rPr>
            <sz val="9"/>
            <color indexed="81"/>
            <rFont val="Tahoma"/>
            <family val="2"/>
          </rPr>
          <t xml:space="preserve">
Diligenciar el nombre del conveniante.
Incluir columnas a la derecha, en caso de requerirlo.</t>
        </r>
      </text>
    </comment>
    <comment ref="B14" authorId="1" shapeId="0" xr:uid="{00000000-0006-0000-0700-000005000000}">
      <text>
        <r>
          <rPr>
            <sz val="9"/>
            <color indexed="81"/>
            <rFont val="Tahoma"/>
            <family val="2"/>
          </rPr>
          <t xml:space="preserve">
Respecto al ítem</t>
        </r>
      </text>
    </comment>
    <comment ref="C14" authorId="1" shapeId="0" xr:uid="{00000000-0006-0000-0700-000006000000}">
      <text>
        <r>
          <rPr>
            <sz val="9"/>
            <color indexed="81"/>
            <rFont val="Tahoma"/>
            <family val="2"/>
          </rPr>
          <t xml:space="preserve">
(%) de dedicación respecto a la unidad de medida, justificar adecuamente en caso que sea inferior al 100% y no sea aporte en especie</t>
        </r>
      </text>
    </comment>
    <comment ref="E14" authorId="1" shapeId="0" xr:uid="{00000000-0006-0000-0700-000007000000}">
      <text>
        <r>
          <rPr>
            <sz val="9"/>
            <color indexed="81"/>
            <rFont val="Tahoma"/>
            <family val="2"/>
          </rPr>
          <t xml:space="preserve">
Respecto a la unidad de medida</t>
        </r>
      </text>
    </comment>
    <comment ref="G14" authorId="0" shapeId="0" xr:uid="{00000000-0006-0000-0700-000008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42" authorId="0" shapeId="0" xr:uid="{00000000-0006-0000-0700-000009000000}">
      <text>
        <r>
          <rPr>
            <sz val="9"/>
            <color indexed="81"/>
            <rFont val="Tahoma"/>
            <family val="2"/>
          </rPr>
          <t xml:space="preserve">
Normalmente este valor se deriva del estudio de mercado</t>
        </r>
      </text>
    </comment>
    <comment ref="A237" authorId="0" shapeId="0" xr:uid="{00000000-0006-0000-0700-00000A000000}">
      <text>
        <r>
          <rPr>
            <sz val="9"/>
            <color indexed="81"/>
            <rFont val="Tahoma"/>
            <family val="2"/>
          </rPr>
          <t xml:space="preserve">
Sobre los aportes en dinero de quien no ejecuta</t>
        </r>
      </text>
    </comment>
    <comment ref="G237" authorId="0" shapeId="0" xr:uid="{00000000-0006-0000-0700-00000B000000}">
      <text>
        <r>
          <rPr>
            <sz val="9"/>
            <color indexed="81"/>
            <rFont val="Tahoma"/>
            <family val="2"/>
          </rPr>
          <t xml:space="preserve">
Diligenciar el porcentaje si aplica</t>
        </r>
      </text>
    </comment>
    <comment ref="A238" authorId="0" shapeId="0" xr:uid="{00000000-0006-0000-0700-00000C000000}">
      <text>
        <r>
          <rPr>
            <sz val="9"/>
            <color indexed="81"/>
            <rFont val="Tahoma"/>
            <family val="2"/>
          </rPr>
          <t xml:space="preserve">
Sobre los aportes en dinero de quien no ejecuta</t>
        </r>
      </text>
    </comment>
    <comment ref="G238" authorId="0" shapeId="0" xr:uid="{00000000-0006-0000-0700-00000D000000}">
      <text>
        <r>
          <rPr>
            <sz val="9"/>
            <color indexed="81"/>
            <rFont val="Tahoma"/>
            <family val="2"/>
          </rPr>
          <t xml:space="preserve">
Diligenciar el porcentaje si aplica</t>
        </r>
      </text>
    </comment>
    <comment ref="A239" authorId="0" shapeId="0" xr:uid="{00000000-0006-0000-0700-00000E000000}">
      <text>
        <r>
          <rPr>
            <sz val="9"/>
            <color indexed="81"/>
            <rFont val="Tahoma"/>
            <family val="2"/>
          </rPr>
          <t xml:space="preserve">
La base gravable del </t>
        </r>
        <r>
          <rPr>
            <b/>
            <u/>
            <sz val="9"/>
            <color indexed="81"/>
            <rFont val="Tahoma"/>
            <family val="2"/>
          </rPr>
          <t>IVA</t>
        </r>
        <r>
          <rPr>
            <sz val="9"/>
            <color indexed="81"/>
            <rFont val="Tahoma"/>
            <family val="2"/>
          </rPr>
          <t xml:space="preserve"> en los contratos de obra si son de</t>
        </r>
        <r>
          <rPr>
            <u/>
            <sz val="9"/>
            <color indexed="81"/>
            <rFont val="Tahoma"/>
            <family val="2"/>
          </rPr>
          <t xml:space="preserve"> </t>
        </r>
        <r>
          <rPr>
            <b/>
            <u/>
            <sz val="9"/>
            <color indexed="81"/>
            <rFont val="Tahoma"/>
            <family val="2"/>
          </rPr>
          <t>construcción</t>
        </r>
        <r>
          <rPr>
            <sz val="9"/>
            <color indexed="81"/>
            <rFont val="Tahoma"/>
            <family val="2"/>
          </rPr>
          <t xml:space="preserve"> son los </t>
        </r>
        <r>
          <rPr>
            <b/>
            <u/>
            <sz val="9"/>
            <color indexed="81"/>
            <rFont val="Tahoma"/>
            <family val="2"/>
          </rPr>
          <t>honorarios</t>
        </r>
        <r>
          <rPr>
            <sz val="9"/>
            <color indexed="81"/>
            <rFont val="Tahoma"/>
            <family val="2"/>
          </rPr>
          <t xml:space="preserve">, o en su defecto la </t>
        </r>
        <r>
          <rPr>
            <b/>
            <u/>
            <sz val="9"/>
            <color indexed="81"/>
            <rFont val="Tahoma"/>
            <family val="2"/>
          </rPr>
          <t>utilidad</t>
        </r>
        <r>
          <rPr>
            <sz val="9"/>
            <color indexed="81"/>
            <rFont val="Tahoma"/>
            <family val="2"/>
          </rPr>
          <t xml:space="preserve"> del contratista (artículo 1.3.1.7.9 del decreto 1625 de 2016)
La base gravable del </t>
        </r>
        <r>
          <rPr>
            <b/>
            <u/>
            <sz val="9"/>
            <color indexed="81"/>
            <rFont val="Tahoma"/>
            <family val="2"/>
          </rPr>
          <t>IVA</t>
        </r>
        <r>
          <rPr>
            <sz val="9"/>
            <color indexed="81"/>
            <rFont val="Tahoma"/>
            <family val="2"/>
          </rPr>
          <t xml:space="preserve"> en los contratos de obra si son de </t>
        </r>
        <r>
          <rPr>
            <b/>
            <u/>
            <sz val="9"/>
            <color indexed="81"/>
            <rFont val="Tahoma"/>
            <family val="2"/>
          </rPr>
          <t>mantenimiento</t>
        </r>
        <r>
          <rPr>
            <sz val="9"/>
            <color indexed="81"/>
            <rFont val="Tahoma"/>
            <family val="2"/>
          </rPr>
          <t xml:space="preserve"> son sobre el </t>
        </r>
        <r>
          <rPr>
            <b/>
            <u/>
            <sz val="9"/>
            <color indexed="81"/>
            <rFont val="Tahoma"/>
            <family val="2"/>
          </rPr>
          <t>total de la operación</t>
        </r>
        <r>
          <rPr>
            <sz val="9"/>
            <color indexed="81"/>
            <rFont val="Tahoma"/>
            <family val="2"/>
          </rPr>
          <t xml:space="preserve">
Los </t>
        </r>
        <r>
          <rPr>
            <b/>
            <u/>
            <sz val="9"/>
            <color indexed="81"/>
            <rFont val="Tahoma"/>
            <family val="2"/>
          </rPr>
          <t>contratos de Obras Públicas</t>
        </r>
        <r>
          <rPr>
            <sz val="9"/>
            <color indexed="81"/>
            <rFont val="Tahoma"/>
            <family val="2"/>
          </rPr>
          <t xml:space="preserve"> que celebren las personas naturales o jurídicas con las </t>
        </r>
        <r>
          <rPr>
            <b/>
            <u/>
            <sz val="9"/>
            <color indexed="81"/>
            <rFont val="Tahoma"/>
            <family val="2"/>
          </rPr>
          <t>Entidades Territoriales y/o Entidades Descentralizadas del Orden Departamental y Municipal estarán excluidos del IVA</t>
        </r>
        <r>
          <rPr>
            <sz val="9"/>
            <color indexed="81"/>
            <rFont val="Tahoma"/>
            <family val="2"/>
          </rPr>
          <t xml:space="preserve"> (artículo 100 de la ley 21 de 1992)</t>
        </r>
      </text>
    </comment>
    <comment ref="G239" authorId="0" shapeId="0" xr:uid="{00000000-0006-0000-0700-00000F000000}">
      <text>
        <r>
          <rPr>
            <sz val="9"/>
            <color indexed="81"/>
            <rFont val="Tahoma"/>
            <family val="2"/>
          </rPr>
          <t xml:space="preserve">
Diligenciar el porcentaje si aplica</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800-000001000000}">
      <text>
        <r>
          <rPr>
            <sz val="9"/>
            <color indexed="81"/>
            <rFont val="Tahoma"/>
            <family val="2"/>
          </rPr>
          <t>La información se alimenta de la hoja 
"PLAN DE EJECUCIÓN FÍSICA Y DE INVERSIONES"</t>
        </r>
      </text>
    </comment>
    <comment ref="A6" authorId="0" shapeId="0" xr:uid="{00000000-0006-0000-0800-000002000000}">
      <text>
        <r>
          <rPr>
            <sz val="9"/>
            <color indexed="81"/>
            <rFont val="Tahoma"/>
            <family val="2"/>
          </rPr>
          <t>La información se alimenta de la hoja 
"PLAN DE EJECUCIÓN FÍSICA Y DE INVERSIONES"</t>
        </r>
      </text>
    </comment>
    <comment ref="I12" authorId="0" shapeId="0" xr:uid="{00000000-0006-0000-0800-000003000000}">
      <text>
        <r>
          <rPr>
            <sz val="9"/>
            <color indexed="81"/>
            <rFont val="Tahoma"/>
            <family val="2"/>
          </rPr>
          <t xml:space="preserve">
Diligenciar solo si se trata de un convenio</t>
        </r>
      </text>
    </comment>
    <comment ref="K13" authorId="0" shapeId="0" xr:uid="{00000000-0006-0000-0800-000004000000}">
      <text>
        <r>
          <rPr>
            <sz val="9"/>
            <color indexed="81"/>
            <rFont val="Tahoma"/>
            <family val="2"/>
          </rPr>
          <t xml:space="preserve">
Diligenciar el nombre del conveniante.
Incluir columnas a la derecha, en caso de requerirlo.</t>
        </r>
      </text>
    </comment>
    <comment ref="B15" authorId="1" shapeId="0" xr:uid="{00000000-0006-0000-0800-000005000000}">
      <text>
        <r>
          <rPr>
            <sz val="9"/>
            <color indexed="81"/>
            <rFont val="Tahoma"/>
            <family val="2"/>
          </rPr>
          <t xml:space="preserve">
Respecto al ítem</t>
        </r>
      </text>
    </comment>
    <comment ref="C15" authorId="1" shapeId="0" xr:uid="{00000000-0006-0000-0800-000006000000}">
      <text>
        <r>
          <rPr>
            <sz val="9"/>
            <color indexed="81"/>
            <rFont val="Tahoma"/>
            <family val="2"/>
          </rPr>
          <t xml:space="preserve">
(%) de dedicación respecto a la unidad de medida, justificar adecuamente en caso que sea inferior al 100% y no sea aporte en especie</t>
        </r>
      </text>
    </comment>
    <comment ref="E15" authorId="1" shapeId="0" xr:uid="{00000000-0006-0000-0800-000007000000}">
      <text>
        <r>
          <rPr>
            <sz val="9"/>
            <color indexed="81"/>
            <rFont val="Tahoma"/>
            <family val="2"/>
          </rPr>
          <t xml:space="preserve">
Respecto a la unidad de medida</t>
        </r>
      </text>
    </comment>
    <comment ref="G15" authorId="0" shapeId="0" xr:uid="{00000000-0006-0000-0800-000008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29" authorId="0" shapeId="0" xr:uid="{00000000-0006-0000-0800-000009000000}">
      <text>
        <r>
          <rPr>
            <sz val="9"/>
            <color indexed="81"/>
            <rFont val="Tahoma"/>
            <family val="2"/>
          </rPr>
          <t xml:space="preserve">
Normalmente este valor se deriva del estudio de mercado</t>
        </r>
      </text>
    </comment>
    <comment ref="A48" authorId="0" shapeId="0" xr:uid="{00000000-0006-0000-0800-00000A000000}">
      <text>
        <r>
          <rPr>
            <sz val="9"/>
            <color indexed="81"/>
            <rFont val="Tahoma"/>
            <family val="2"/>
          </rPr>
          <t xml:space="preserve">
Sobre los aportes en dinero de quien no ejecuta</t>
        </r>
      </text>
    </comment>
    <comment ref="G48" authorId="0" shapeId="0" xr:uid="{00000000-0006-0000-0800-00000B000000}">
      <text>
        <r>
          <rPr>
            <sz val="9"/>
            <color indexed="81"/>
            <rFont val="Tahoma"/>
            <family val="2"/>
          </rPr>
          <t xml:space="preserve">
Diligenciar el porcentaje si aplica</t>
        </r>
      </text>
    </comment>
    <comment ref="A49" authorId="0" shapeId="0" xr:uid="{00000000-0006-0000-0800-00000C000000}">
      <text>
        <r>
          <rPr>
            <sz val="9"/>
            <color indexed="81"/>
            <rFont val="Tahoma"/>
            <family val="2"/>
          </rPr>
          <t xml:space="preserve">
Sobre los aportes en dinero de quien no ejecuta</t>
        </r>
      </text>
    </comment>
    <comment ref="G49" authorId="0" shapeId="0" xr:uid="{00000000-0006-0000-0800-00000D000000}">
      <text>
        <r>
          <rPr>
            <sz val="9"/>
            <color indexed="81"/>
            <rFont val="Tahoma"/>
            <family val="2"/>
          </rPr>
          <t xml:space="preserve">
Diligenciar el porcentaje si aplica</t>
        </r>
      </text>
    </comment>
    <comment ref="G50" authorId="0" shapeId="0" xr:uid="{00000000-0006-0000-0800-00000E000000}">
      <text>
        <r>
          <rPr>
            <sz val="9"/>
            <color indexed="81"/>
            <rFont val="Tahoma"/>
            <family val="2"/>
          </rPr>
          <t xml:space="preserve">
Diligenciar el porcentaje si aplica</t>
        </r>
      </text>
    </comment>
    <comment ref="B57" authorId="1" shapeId="0" xr:uid="{00000000-0006-0000-0800-00000F000000}">
      <text>
        <r>
          <rPr>
            <sz val="9"/>
            <color indexed="81"/>
            <rFont val="Tahoma"/>
            <family val="2"/>
          </rPr>
          <t xml:space="preserve">
Respecto al ítem</t>
        </r>
      </text>
    </comment>
    <comment ref="C57" authorId="1" shapeId="0" xr:uid="{00000000-0006-0000-0800-000010000000}">
      <text>
        <r>
          <rPr>
            <sz val="9"/>
            <color indexed="81"/>
            <rFont val="Tahoma"/>
            <family val="2"/>
          </rPr>
          <t xml:space="preserve">
(%) de dedicación respecto a la unidad de medida, justificar adecuamente en caso que sea inferior al 100% y no sea aporte en especie</t>
        </r>
      </text>
    </comment>
    <comment ref="E57" authorId="1" shapeId="0" xr:uid="{00000000-0006-0000-0800-000011000000}">
      <text>
        <r>
          <rPr>
            <sz val="9"/>
            <color indexed="81"/>
            <rFont val="Tahoma"/>
            <family val="2"/>
          </rPr>
          <t xml:space="preserve">
Respecto a la unidad de medida</t>
        </r>
      </text>
    </comment>
    <comment ref="G57" authorId="0" shapeId="0" xr:uid="{00000000-0006-0000-0800-000012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71" authorId="0" shapeId="0" xr:uid="{00000000-0006-0000-0800-000013000000}">
      <text>
        <r>
          <rPr>
            <sz val="9"/>
            <color indexed="81"/>
            <rFont val="Tahoma"/>
            <family val="2"/>
          </rPr>
          <t xml:space="preserve">
Normalmente este valor se deriva del estudio de mercado</t>
        </r>
      </text>
    </comment>
    <comment ref="A90" authorId="0" shapeId="0" xr:uid="{00000000-0006-0000-0800-000014000000}">
      <text>
        <r>
          <rPr>
            <sz val="9"/>
            <color indexed="81"/>
            <rFont val="Tahoma"/>
            <family val="2"/>
          </rPr>
          <t xml:space="preserve">
Sobre los aportes en dinero de quien no ejecuta</t>
        </r>
      </text>
    </comment>
    <comment ref="G90" authorId="0" shapeId="0" xr:uid="{00000000-0006-0000-0800-000015000000}">
      <text>
        <r>
          <rPr>
            <sz val="9"/>
            <color indexed="81"/>
            <rFont val="Tahoma"/>
            <family val="2"/>
          </rPr>
          <t xml:space="preserve">
Diligenciar el porcentaje si aplica</t>
        </r>
      </text>
    </comment>
    <comment ref="A91" authorId="0" shapeId="0" xr:uid="{00000000-0006-0000-0800-000016000000}">
      <text>
        <r>
          <rPr>
            <sz val="9"/>
            <color indexed="81"/>
            <rFont val="Tahoma"/>
            <family val="2"/>
          </rPr>
          <t xml:space="preserve">
Sobre los aportes en dinero de quien no ejecuta</t>
        </r>
      </text>
    </comment>
    <comment ref="G91" authorId="0" shapeId="0" xr:uid="{00000000-0006-0000-0800-000017000000}">
      <text>
        <r>
          <rPr>
            <sz val="9"/>
            <color indexed="81"/>
            <rFont val="Tahoma"/>
            <family val="2"/>
          </rPr>
          <t xml:space="preserve">
Diligenciar el porcentaje si aplica</t>
        </r>
      </text>
    </comment>
    <comment ref="G92" authorId="0" shapeId="0" xr:uid="{00000000-0006-0000-0800-000018000000}">
      <text>
        <r>
          <rPr>
            <sz val="9"/>
            <color indexed="81"/>
            <rFont val="Tahoma"/>
            <family val="2"/>
          </rPr>
          <t xml:space="preserve">
Diligenciar el porcentaje si aplica</t>
        </r>
      </text>
    </comment>
    <comment ref="B99" authorId="1" shapeId="0" xr:uid="{00000000-0006-0000-0800-000019000000}">
      <text>
        <r>
          <rPr>
            <sz val="9"/>
            <color indexed="81"/>
            <rFont val="Tahoma"/>
            <family val="2"/>
          </rPr>
          <t xml:space="preserve">
Respecto al ítem</t>
        </r>
      </text>
    </comment>
    <comment ref="C99" authorId="1" shapeId="0" xr:uid="{00000000-0006-0000-0800-00001A000000}">
      <text>
        <r>
          <rPr>
            <sz val="9"/>
            <color indexed="81"/>
            <rFont val="Tahoma"/>
            <family val="2"/>
          </rPr>
          <t xml:space="preserve">
(%) de dedicación respecto a la unidad de medida, justificar adecuamente en caso que sea inferior al 100% y no sea aporte en especie</t>
        </r>
      </text>
    </comment>
    <comment ref="E99" authorId="1" shapeId="0" xr:uid="{00000000-0006-0000-0800-00001B000000}">
      <text>
        <r>
          <rPr>
            <sz val="9"/>
            <color indexed="81"/>
            <rFont val="Tahoma"/>
            <family val="2"/>
          </rPr>
          <t xml:space="preserve">
Respecto a la unidad de medida</t>
        </r>
      </text>
    </comment>
    <comment ref="G99" authorId="0" shapeId="0" xr:uid="{00000000-0006-0000-0800-00001C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13" authorId="0" shapeId="0" xr:uid="{00000000-0006-0000-0800-00001D000000}">
      <text>
        <r>
          <rPr>
            <sz val="9"/>
            <color indexed="81"/>
            <rFont val="Tahoma"/>
            <family val="2"/>
          </rPr>
          <t xml:space="preserve">
Normalmente este valor se deriva del estudio de mercado</t>
        </r>
      </text>
    </comment>
    <comment ref="A132" authorId="0" shapeId="0" xr:uid="{00000000-0006-0000-0800-00001E000000}">
      <text>
        <r>
          <rPr>
            <sz val="9"/>
            <color indexed="81"/>
            <rFont val="Tahoma"/>
            <family val="2"/>
          </rPr>
          <t xml:space="preserve">
Sobre los aportes en dinero de quien no ejecuta</t>
        </r>
      </text>
    </comment>
    <comment ref="G132" authorId="0" shapeId="0" xr:uid="{00000000-0006-0000-0800-00001F000000}">
      <text>
        <r>
          <rPr>
            <sz val="9"/>
            <color indexed="81"/>
            <rFont val="Tahoma"/>
            <family val="2"/>
          </rPr>
          <t xml:space="preserve">
Diligenciar el porcentaje si aplica</t>
        </r>
      </text>
    </comment>
    <comment ref="A133" authorId="0" shapeId="0" xr:uid="{00000000-0006-0000-0800-000020000000}">
      <text>
        <r>
          <rPr>
            <sz val="9"/>
            <color indexed="81"/>
            <rFont val="Tahoma"/>
            <family val="2"/>
          </rPr>
          <t xml:space="preserve">
Sobre los aportes en dinero de quien no ejecuta</t>
        </r>
      </text>
    </comment>
    <comment ref="G133" authorId="0" shapeId="0" xr:uid="{00000000-0006-0000-0800-000021000000}">
      <text>
        <r>
          <rPr>
            <sz val="9"/>
            <color indexed="81"/>
            <rFont val="Tahoma"/>
            <family val="2"/>
          </rPr>
          <t xml:space="preserve">
Diligenciar el porcentaje si aplica</t>
        </r>
      </text>
    </comment>
    <comment ref="G134" authorId="0" shapeId="0" xr:uid="{00000000-0006-0000-0800-000022000000}">
      <text>
        <r>
          <rPr>
            <sz val="9"/>
            <color indexed="81"/>
            <rFont val="Tahoma"/>
            <family val="2"/>
          </rPr>
          <t xml:space="preserve">
Diligenciar el porcentaje si aplica</t>
        </r>
      </text>
    </comment>
    <comment ref="B141" authorId="1" shapeId="0" xr:uid="{00000000-0006-0000-0800-000023000000}">
      <text>
        <r>
          <rPr>
            <sz val="9"/>
            <color indexed="81"/>
            <rFont val="Tahoma"/>
            <family val="2"/>
          </rPr>
          <t xml:space="preserve">
Respecto al ítem</t>
        </r>
      </text>
    </comment>
    <comment ref="C141" authorId="1" shapeId="0" xr:uid="{00000000-0006-0000-0800-000024000000}">
      <text>
        <r>
          <rPr>
            <sz val="9"/>
            <color indexed="81"/>
            <rFont val="Tahoma"/>
            <family val="2"/>
          </rPr>
          <t xml:space="preserve">
(%) de dedicación respecto a la unidad de medida, justificar adecuamente en caso que sea inferior al 100% y no sea aporte en especie</t>
        </r>
      </text>
    </comment>
    <comment ref="E141" authorId="1" shapeId="0" xr:uid="{00000000-0006-0000-0800-000025000000}">
      <text>
        <r>
          <rPr>
            <sz val="9"/>
            <color indexed="81"/>
            <rFont val="Tahoma"/>
            <family val="2"/>
          </rPr>
          <t xml:space="preserve">
Respecto a la unidad de medida</t>
        </r>
      </text>
    </comment>
    <comment ref="G141" authorId="0" shapeId="0" xr:uid="{00000000-0006-0000-0800-000026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55" authorId="0" shapeId="0" xr:uid="{00000000-0006-0000-0800-000027000000}">
      <text>
        <r>
          <rPr>
            <sz val="9"/>
            <color indexed="81"/>
            <rFont val="Tahoma"/>
            <family val="2"/>
          </rPr>
          <t xml:space="preserve">
Normalmente este valor se deriva del estudio de mercado</t>
        </r>
      </text>
    </comment>
    <comment ref="A174" authorId="0" shapeId="0" xr:uid="{00000000-0006-0000-0800-000028000000}">
      <text>
        <r>
          <rPr>
            <sz val="9"/>
            <color indexed="81"/>
            <rFont val="Tahoma"/>
            <family val="2"/>
          </rPr>
          <t xml:space="preserve">
Sobre los aportes en dinero de quien no ejecuta</t>
        </r>
      </text>
    </comment>
    <comment ref="G174" authorId="0" shapeId="0" xr:uid="{00000000-0006-0000-0800-000029000000}">
      <text>
        <r>
          <rPr>
            <sz val="9"/>
            <color indexed="81"/>
            <rFont val="Tahoma"/>
            <family val="2"/>
          </rPr>
          <t xml:space="preserve">
Diligenciar el porcentaje si aplica</t>
        </r>
      </text>
    </comment>
    <comment ref="A175" authorId="0" shapeId="0" xr:uid="{00000000-0006-0000-0800-00002A000000}">
      <text>
        <r>
          <rPr>
            <sz val="9"/>
            <color indexed="81"/>
            <rFont val="Tahoma"/>
            <family val="2"/>
          </rPr>
          <t xml:space="preserve">
Sobre los aportes en dinero de quien no ejecuta</t>
        </r>
      </text>
    </comment>
    <comment ref="G175" authorId="0" shapeId="0" xr:uid="{00000000-0006-0000-0800-00002B000000}">
      <text>
        <r>
          <rPr>
            <sz val="9"/>
            <color indexed="81"/>
            <rFont val="Tahoma"/>
            <family val="2"/>
          </rPr>
          <t xml:space="preserve">
Diligenciar el porcentaje si aplica</t>
        </r>
      </text>
    </comment>
    <comment ref="G176" authorId="0" shapeId="0" xr:uid="{00000000-0006-0000-0800-00002C000000}">
      <text>
        <r>
          <rPr>
            <sz val="9"/>
            <color indexed="81"/>
            <rFont val="Tahoma"/>
            <family val="2"/>
          </rPr>
          <t xml:space="preserve">
Diligenciar el porcentaje si aplica</t>
        </r>
      </text>
    </comment>
    <comment ref="B183" authorId="1" shapeId="0" xr:uid="{00000000-0006-0000-0800-00002D000000}">
      <text>
        <r>
          <rPr>
            <sz val="9"/>
            <color indexed="81"/>
            <rFont val="Tahoma"/>
            <family val="2"/>
          </rPr>
          <t xml:space="preserve">
Respecto al ítem</t>
        </r>
      </text>
    </comment>
    <comment ref="C183" authorId="1" shapeId="0" xr:uid="{00000000-0006-0000-0800-00002E000000}">
      <text>
        <r>
          <rPr>
            <sz val="9"/>
            <color indexed="81"/>
            <rFont val="Tahoma"/>
            <family val="2"/>
          </rPr>
          <t xml:space="preserve">
(%) de dedicación respecto a la unidad de medida, justificar adecuamente en caso que sea inferior al 100% y no sea aporte en especie</t>
        </r>
      </text>
    </comment>
    <comment ref="E183" authorId="1" shapeId="0" xr:uid="{00000000-0006-0000-0800-00002F000000}">
      <text>
        <r>
          <rPr>
            <sz val="9"/>
            <color indexed="81"/>
            <rFont val="Tahoma"/>
            <family val="2"/>
          </rPr>
          <t xml:space="preserve">
Respecto a la unidad de medida</t>
        </r>
      </text>
    </comment>
    <comment ref="G183" authorId="0" shapeId="0" xr:uid="{00000000-0006-0000-0800-000030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97" authorId="0" shapeId="0" xr:uid="{00000000-0006-0000-0800-000031000000}">
      <text>
        <r>
          <rPr>
            <sz val="9"/>
            <color indexed="81"/>
            <rFont val="Tahoma"/>
            <family val="2"/>
          </rPr>
          <t xml:space="preserve">
Normalmente este valor se deriva del estudio de mercado</t>
        </r>
      </text>
    </comment>
    <comment ref="A216" authorId="0" shapeId="0" xr:uid="{00000000-0006-0000-0800-000032000000}">
      <text>
        <r>
          <rPr>
            <sz val="9"/>
            <color indexed="81"/>
            <rFont val="Tahoma"/>
            <family val="2"/>
          </rPr>
          <t xml:space="preserve">
Sobre los aportes en dinero de quien no ejecuta</t>
        </r>
      </text>
    </comment>
    <comment ref="G216" authorId="0" shapeId="0" xr:uid="{00000000-0006-0000-0800-000033000000}">
      <text>
        <r>
          <rPr>
            <sz val="9"/>
            <color indexed="81"/>
            <rFont val="Tahoma"/>
            <family val="2"/>
          </rPr>
          <t xml:space="preserve">
Diligenciar el porcentaje si aplica</t>
        </r>
      </text>
    </comment>
    <comment ref="A217" authorId="0" shapeId="0" xr:uid="{00000000-0006-0000-0800-000034000000}">
      <text>
        <r>
          <rPr>
            <sz val="9"/>
            <color indexed="81"/>
            <rFont val="Tahoma"/>
            <family val="2"/>
          </rPr>
          <t xml:space="preserve">
Sobre los aportes en dinero de quien no ejecuta</t>
        </r>
      </text>
    </comment>
    <comment ref="G217" authorId="0" shapeId="0" xr:uid="{00000000-0006-0000-0800-000035000000}">
      <text>
        <r>
          <rPr>
            <sz val="9"/>
            <color indexed="81"/>
            <rFont val="Tahoma"/>
            <family val="2"/>
          </rPr>
          <t xml:space="preserve">
Diligenciar el porcentaje si aplica</t>
        </r>
      </text>
    </comment>
    <comment ref="G218" authorId="0" shapeId="0" xr:uid="{00000000-0006-0000-0800-000036000000}">
      <text>
        <r>
          <rPr>
            <sz val="9"/>
            <color indexed="81"/>
            <rFont val="Tahoma"/>
            <family val="2"/>
          </rPr>
          <t xml:space="preserve">
Diligenciar el porcentaje si aplica</t>
        </r>
      </text>
    </comment>
    <comment ref="B225" authorId="1" shapeId="0" xr:uid="{00000000-0006-0000-0800-000037000000}">
      <text>
        <r>
          <rPr>
            <sz val="9"/>
            <color indexed="81"/>
            <rFont val="Tahoma"/>
            <family val="2"/>
          </rPr>
          <t xml:space="preserve">
Respecto al ítem</t>
        </r>
      </text>
    </comment>
    <comment ref="C225" authorId="1" shapeId="0" xr:uid="{00000000-0006-0000-0800-000038000000}">
      <text>
        <r>
          <rPr>
            <sz val="9"/>
            <color indexed="81"/>
            <rFont val="Tahoma"/>
            <family val="2"/>
          </rPr>
          <t xml:space="preserve">
(%) de dedicación respecto a la unidad de medida, justificar adecuamente en caso que sea inferior al 100% y no sea aporte en especie</t>
        </r>
      </text>
    </comment>
    <comment ref="E225" authorId="1" shapeId="0" xr:uid="{00000000-0006-0000-0800-000039000000}">
      <text>
        <r>
          <rPr>
            <sz val="9"/>
            <color indexed="81"/>
            <rFont val="Tahoma"/>
            <family val="2"/>
          </rPr>
          <t xml:space="preserve">
Respecto a la unidad de medida</t>
        </r>
      </text>
    </comment>
    <comment ref="G225" authorId="0" shapeId="0" xr:uid="{00000000-0006-0000-0800-00003A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239" authorId="0" shapeId="0" xr:uid="{00000000-0006-0000-0800-00003B000000}">
      <text>
        <r>
          <rPr>
            <sz val="9"/>
            <color indexed="81"/>
            <rFont val="Tahoma"/>
            <family val="2"/>
          </rPr>
          <t xml:space="preserve">
Normalmente este valor se deriva del estudio de mercado</t>
        </r>
      </text>
    </comment>
    <comment ref="A258" authorId="0" shapeId="0" xr:uid="{00000000-0006-0000-0800-00003C000000}">
      <text>
        <r>
          <rPr>
            <sz val="9"/>
            <color indexed="81"/>
            <rFont val="Tahoma"/>
            <family val="2"/>
          </rPr>
          <t xml:space="preserve">
Sobre los aportes en dinero de quien no ejecuta</t>
        </r>
      </text>
    </comment>
    <comment ref="G258" authorId="0" shapeId="0" xr:uid="{00000000-0006-0000-0800-00003D000000}">
      <text>
        <r>
          <rPr>
            <sz val="9"/>
            <color indexed="81"/>
            <rFont val="Tahoma"/>
            <family val="2"/>
          </rPr>
          <t xml:space="preserve">
Diligenciar el porcentaje si aplica</t>
        </r>
      </text>
    </comment>
    <comment ref="A259" authorId="0" shapeId="0" xr:uid="{00000000-0006-0000-0800-00003E000000}">
      <text>
        <r>
          <rPr>
            <sz val="9"/>
            <color indexed="81"/>
            <rFont val="Tahoma"/>
            <family val="2"/>
          </rPr>
          <t xml:space="preserve">
Sobre los aportes en dinero de quien no ejecuta</t>
        </r>
      </text>
    </comment>
    <comment ref="G259" authorId="0" shapeId="0" xr:uid="{00000000-0006-0000-0800-00003F000000}">
      <text>
        <r>
          <rPr>
            <sz val="9"/>
            <color indexed="81"/>
            <rFont val="Tahoma"/>
            <family val="2"/>
          </rPr>
          <t xml:space="preserve">
Diligenciar el porcentaje si aplica</t>
        </r>
      </text>
    </comment>
    <comment ref="G260" authorId="0" shapeId="0" xr:uid="{00000000-0006-0000-0800-000040000000}">
      <text>
        <r>
          <rPr>
            <sz val="9"/>
            <color indexed="81"/>
            <rFont val="Tahoma"/>
            <family val="2"/>
          </rPr>
          <t xml:space="preserve">
Diligenciar el porcentaje si aplica</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900-000001000000}">
      <text>
        <r>
          <rPr>
            <sz val="9"/>
            <color indexed="81"/>
            <rFont val="Tahoma"/>
            <family val="2"/>
          </rPr>
          <t>La información se alimenta de la hoja 
"PLAN DE EJECUCIÓN FÍSICA Y DE INVERSIONES"</t>
        </r>
      </text>
    </comment>
    <comment ref="A6" authorId="0" shapeId="0" xr:uid="{00000000-0006-0000-0900-000002000000}">
      <text>
        <r>
          <rPr>
            <sz val="9"/>
            <color indexed="81"/>
            <rFont val="Tahoma"/>
            <family val="2"/>
          </rPr>
          <t>La información se alimenta de la hoja 
"PLAN DE EJECUCIÓN FÍSICA Y DE INVERSIONES"</t>
        </r>
      </text>
    </comment>
    <comment ref="K11" authorId="0" shapeId="0" xr:uid="{00000000-0006-0000-0900-000003000000}">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M11" authorId="0" shapeId="0" xr:uid="{00000000-0006-0000-0900-000004000000}">
      <text>
        <r>
          <rPr>
            <sz val="9"/>
            <color indexed="81"/>
            <rFont val="Tahoma"/>
            <family val="2"/>
          </rPr>
          <t xml:space="preserve">En caso que los valores de las cotizaciones presenten una desviación significativa se recomienda calcular la mediana y no el promedio, y relacionar dicho valor como Valor unitario antes de IVA en la memoria de cálculo.
Tener en cuenta que la mediana solo se saca con valores superiores a cero pesos ($0), para ello verificar la fórmula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Usuario</author>
  </authors>
  <commentList>
    <comment ref="A5" authorId="0" shapeId="0" xr:uid="{00000000-0006-0000-0A00-000001000000}">
      <text>
        <r>
          <rPr>
            <sz val="9"/>
            <color indexed="81"/>
            <rFont val="Tahoma"/>
            <family val="2"/>
          </rPr>
          <t>La información se alimenta de la hoja 
"PLAN DE EJECUCIÓN FÍSICA Y DE INVERSIONES"</t>
        </r>
      </text>
    </comment>
    <comment ref="A6" authorId="0" shapeId="0" xr:uid="{00000000-0006-0000-0A00-000002000000}">
      <text>
        <r>
          <rPr>
            <sz val="9"/>
            <color indexed="81"/>
            <rFont val="Tahoma"/>
            <family val="2"/>
          </rPr>
          <t>La información se alimenta de la hoja 
"PLAN DE EJECUCIÓN FÍSICA Y DE INVERSIONES"</t>
        </r>
      </text>
    </comment>
    <comment ref="B8" authorId="1" shapeId="0" xr:uid="{00000000-0006-0000-0A00-000003000000}">
      <text>
        <r>
          <rPr>
            <sz val="9"/>
            <color indexed="81"/>
            <rFont val="Tahoma"/>
            <family val="2"/>
          </rPr>
          <t>Aplica para los aportes en dinero de la corporación. O para los aportes en dinero de la corporación y el conveniante si se va a subcontratar.</t>
        </r>
      </text>
    </comment>
    <comment ref="F11" authorId="0" shapeId="0" xr:uid="{00000000-0006-0000-0A00-000004000000}">
      <text>
        <r>
          <rPr>
            <sz val="9"/>
            <color indexed="81"/>
            <rFont val="Tahoma"/>
            <family val="2"/>
          </rPr>
          <t xml:space="preserve">
(%) Porcentaje de participación respecto a los costos directos del proceso</t>
        </r>
      </text>
    </comment>
    <comment ref="A63" authorId="0" shapeId="0" xr:uid="{00000000-0006-0000-0A00-000005000000}">
      <text>
        <r>
          <rPr>
            <sz val="9"/>
            <color indexed="81"/>
            <rFont val="Tahoma"/>
            <family val="2"/>
          </rPr>
          <t xml:space="preserve">
De quien no ejecuta</t>
        </r>
      </text>
    </comment>
    <comment ref="D64" authorId="0" shapeId="0" xr:uid="{00000000-0006-0000-0A00-000006000000}">
      <text>
        <r>
          <rPr>
            <sz val="9"/>
            <color indexed="81"/>
            <rFont val="Tahoma"/>
            <family val="2"/>
          </rPr>
          <t xml:space="preserve">
Diligenciar el porcentaje si aplica
</t>
        </r>
      </text>
    </comment>
    <comment ref="E64" authorId="0" shapeId="0" xr:uid="{00000000-0006-0000-0A00-000007000000}">
      <text>
        <r>
          <rPr>
            <sz val="9"/>
            <color indexed="81"/>
            <rFont val="Tahoma"/>
            <family val="2"/>
          </rPr>
          <t xml:space="preserve">
Porcentaje sobre los aportes en dinero, de quien no ejecuta</t>
        </r>
      </text>
    </comment>
    <comment ref="D65" authorId="0" shapeId="0" xr:uid="{00000000-0006-0000-0A00-000008000000}">
      <text>
        <r>
          <rPr>
            <sz val="9"/>
            <color indexed="81"/>
            <rFont val="Tahoma"/>
            <family val="2"/>
          </rPr>
          <t xml:space="preserve">
Diligenciar el porcentaje si aplica
</t>
        </r>
      </text>
    </comment>
    <comment ref="D66" authorId="0" shapeId="0" xr:uid="{00000000-0006-0000-0A00-000009000000}">
      <text>
        <r>
          <rPr>
            <sz val="9"/>
            <color indexed="81"/>
            <rFont val="Tahoma"/>
            <family val="2"/>
          </rPr>
          <t xml:space="preserve">
Diligenciar el porcentaje si aplica
</t>
        </r>
      </text>
    </comment>
    <comment ref="E67" authorId="0" shapeId="0" xr:uid="{00000000-0006-0000-0A00-00000A000000}">
      <text>
        <r>
          <rPr>
            <sz val="9"/>
            <color indexed="81"/>
            <rFont val="Tahoma"/>
            <family val="2"/>
          </rPr>
          <t xml:space="preserve">
Valor expresado en moneda legal colombiana</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C5" authorId="0" shapeId="0" xr:uid="{00000000-0006-0000-0B00-000001000000}">
      <text>
        <r>
          <rPr>
            <sz val="9"/>
            <color indexed="81"/>
            <rFont val="Tahoma"/>
            <family val="2"/>
          </rPr>
          <t>La información se alimenta de la hoja 
"PLAN DE EJECUCIÓN FÍSICA Y DE INVERSIONES"</t>
        </r>
      </text>
    </comment>
    <comment ref="C6" authorId="0" shapeId="0" xr:uid="{00000000-0006-0000-0B00-000002000000}">
      <text>
        <r>
          <rPr>
            <sz val="9"/>
            <color indexed="81"/>
            <rFont val="Tahoma"/>
            <family val="2"/>
          </rPr>
          <t>La información se alimenta de la hoja 
"PLAN DE EJECUCIÓN FÍSICA Y DE INVERSIONES"</t>
        </r>
      </text>
    </comment>
    <comment ref="O270" authorId="0" shapeId="0" xr:uid="{00000000-0006-0000-0B00-000003000000}">
      <text>
        <r>
          <rPr>
            <sz val="9"/>
            <color indexed="81"/>
            <rFont val="Tahoma"/>
            <family val="2"/>
          </rPr>
          <t xml:space="preserve">
Para escoger la muestra de los datos con los cuales sacar el promedio de porcentaje de participación</t>
        </r>
      </text>
    </comment>
    <comment ref="P270" authorId="0" shapeId="0" xr:uid="{00000000-0006-0000-0B00-000004000000}">
      <text>
        <r>
          <rPr>
            <sz val="9"/>
            <color indexed="81"/>
            <rFont val="Tahoma"/>
            <family val="2"/>
          </rPr>
          <t xml:space="preserve">
Los bienes relevantes serán aquellos cuyo Porcentaje de participación sea igual o superior al PROMEDIO (PORCENTAJE DE PARTICIPACIÓN) DE LOS BIENES QUE REPRESENTAN EL 80 % DE MAYOR PARTICIPACIÓN</t>
        </r>
      </text>
    </comment>
    <comment ref="H527" authorId="0" shapeId="0" xr:uid="{00000000-0006-0000-0B00-000005000000}">
      <text>
        <r>
          <rPr>
            <sz val="9"/>
            <color indexed="81"/>
            <rFont val="Tahoma"/>
            <family val="2"/>
          </rPr>
          <t>Consultar: http://pbn.vuce.gov.co/consultas/index.php
Para diligenciar la opción</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0C00-000001000000}">
      <text>
        <r>
          <rPr>
            <sz val="9"/>
            <color indexed="81"/>
            <rFont val="Tahoma"/>
            <family val="2"/>
          </rPr>
          <t>La información se alimenta de la hoja 
"PLAN DE EJECUCIÓN FÍSICA Y DE INVERSIONES"</t>
        </r>
      </text>
    </comment>
    <comment ref="A7" authorId="0" shapeId="0" xr:uid="{00000000-0006-0000-0C00-000002000000}">
      <text>
        <r>
          <rPr>
            <sz val="9"/>
            <color indexed="81"/>
            <rFont val="Tahoma"/>
            <family val="2"/>
          </rPr>
          <t>La información se alimenta de la hoja 
"PLAN DE EJECUCIÓN FÍSICA Y DE INVERSIONES"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6" authorId="0" shapeId="0" xr:uid="{00000000-0006-0000-0D00-000001000000}">
      <text>
        <r>
          <rPr>
            <sz val="9"/>
            <color indexed="81"/>
            <rFont val="Tahoma"/>
            <family val="2"/>
          </rPr>
          <t>La información se alimenta de la hoja 
"PLAN DE EJECUCIÓN FÍSICA Y DE INVERSIONES"</t>
        </r>
      </text>
    </comment>
    <comment ref="A7" authorId="0" shapeId="0" xr:uid="{00000000-0006-0000-0D00-000002000000}">
      <text>
        <r>
          <rPr>
            <sz val="9"/>
            <color indexed="81"/>
            <rFont val="Tahoma"/>
            <family val="2"/>
          </rPr>
          <t>La información se alimenta de la hoja 
"PLAN DE EJECUCIÓN FÍSICA Y DE INVERSIONES"</t>
        </r>
      </text>
    </comment>
    <comment ref="B10" authorId="1" shapeId="0" xr:uid="{00000000-0006-0000-0D00-000003000000}">
      <text>
        <r>
          <rPr>
            <sz val="9"/>
            <color indexed="81"/>
            <rFont val="Tahoma"/>
            <family val="2"/>
          </rPr>
          <t xml:space="preserve">
Respecto al ítem</t>
        </r>
      </text>
    </comment>
    <comment ref="C10" authorId="1" shapeId="0" xr:uid="{00000000-0006-0000-0D00-000004000000}">
      <text>
        <r>
          <rPr>
            <sz val="9"/>
            <color indexed="81"/>
            <rFont val="Tahoma"/>
            <family val="2"/>
          </rPr>
          <t xml:space="preserve">
(%) de dedicación respecto a la unidad de medida, justificar adecuamente en caso que sea inferior al 100% y no sea aporte en especie</t>
        </r>
      </text>
    </comment>
    <comment ref="E10" authorId="1" shapeId="0" xr:uid="{00000000-0006-0000-0D00-000005000000}">
      <text>
        <r>
          <rPr>
            <sz val="9"/>
            <color indexed="81"/>
            <rFont val="Tahoma"/>
            <family val="2"/>
          </rPr>
          <t xml:space="preserve">
Respecto a la unidad de medida</t>
        </r>
      </text>
    </comment>
    <comment ref="G10" authorId="0" shapeId="0" xr:uid="{00000000-0006-0000-0D00-000006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6" authorId="0" shapeId="0" xr:uid="{00000000-0006-0000-0E00-000001000000}">
      <text>
        <r>
          <rPr>
            <sz val="9"/>
            <color indexed="81"/>
            <rFont val="Tahoma"/>
            <family val="2"/>
          </rPr>
          <t>La información se alimenta de la hoja 
"PLAN DE EJECUCIÓN FÍSICA Y DE INVERSIONES"</t>
        </r>
      </text>
    </comment>
    <comment ref="A7" authorId="0" shapeId="0" xr:uid="{00000000-0006-0000-0E00-000002000000}">
      <text>
        <r>
          <rPr>
            <sz val="9"/>
            <color indexed="81"/>
            <rFont val="Tahoma"/>
            <family val="2"/>
          </rPr>
          <t>La información se alimenta de la hoja 
"PLAN DE EJECUCIÓN FÍSICA Y DE INVERSIONES"</t>
        </r>
      </text>
    </comment>
    <comment ref="B11" authorId="1" shapeId="0" xr:uid="{00000000-0006-0000-0E00-000003000000}">
      <text>
        <r>
          <rPr>
            <sz val="9"/>
            <color indexed="81"/>
            <rFont val="Tahoma"/>
            <family val="2"/>
          </rPr>
          <t xml:space="preserve">
Respecto al ítem</t>
        </r>
      </text>
    </comment>
    <comment ref="C11" authorId="1" shapeId="0" xr:uid="{00000000-0006-0000-0E00-000004000000}">
      <text>
        <r>
          <rPr>
            <sz val="9"/>
            <color indexed="81"/>
            <rFont val="Tahoma"/>
            <family val="2"/>
          </rPr>
          <t xml:space="preserve">
(%) de dedicación respecto a la unidad de medida, justificar adecuamente en caso que sea inferior al 100% y no sea aporte en especie</t>
        </r>
      </text>
    </comment>
    <comment ref="E11" authorId="1" shapeId="0" xr:uid="{00000000-0006-0000-0E00-000005000000}">
      <text>
        <r>
          <rPr>
            <sz val="9"/>
            <color indexed="81"/>
            <rFont val="Tahoma"/>
            <family val="2"/>
          </rPr>
          <t xml:space="preserve">
Respecto a la unidad de medida</t>
        </r>
      </text>
    </comment>
    <comment ref="G11" authorId="0" shapeId="0" xr:uid="{00000000-0006-0000-0E00-000006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B31" authorId="1" shapeId="0" xr:uid="{00000000-0006-0000-0E00-000007000000}">
      <text>
        <r>
          <rPr>
            <sz val="9"/>
            <color indexed="81"/>
            <rFont val="Tahoma"/>
            <family val="2"/>
          </rPr>
          <t xml:space="preserve">
Respecto al ítem</t>
        </r>
      </text>
    </comment>
    <comment ref="C31" authorId="1" shapeId="0" xr:uid="{00000000-0006-0000-0E00-000008000000}">
      <text>
        <r>
          <rPr>
            <sz val="9"/>
            <color indexed="81"/>
            <rFont val="Tahoma"/>
            <family val="2"/>
          </rPr>
          <t xml:space="preserve">
(%) de dedicación respecto a la unidad de medida, justificar adecuamente en caso que sea inferior al 100% y no sea aporte en especie</t>
        </r>
      </text>
    </comment>
    <comment ref="E31" authorId="1" shapeId="0" xr:uid="{00000000-0006-0000-0E00-000009000000}">
      <text>
        <r>
          <rPr>
            <sz val="9"/>
            <color indexed="81"/>
            <rFont val="Tahoma"/>
            <family val="2"/>
          </rPr>
          <t xml:space="preserve">
Respecto a la unidad de medida</t>
        </r>
      </text>
    </comment>
    <comment ref="G31" authorId="0" shapeId="0" xr:uid="{00000000-0006-0000-0E00-00000A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B51" authorId="1" shapeId="0" xr:uid="{00000000-0006-0000-0E00-00000B000000}">
      <text>
        <r>
          <rPr>
            <sz val="9"/>
            <color indexed="81"/>
            <rFont val="Tahoma"/>
            <family val="2"/>
          </rPr>
          <t xml:space="preserve">
Respecto al ítem</t>
        </r>
      </text>
    </comment>
    <comment ref="C51" authorId="1" shapeId="0" xr:uid="{00000000-0006-0000-0E00-00000C000000}">
      <text>
        <r>
          <rPr>
            <sz val="9"/>
            <color indexed="81"/>
            <rFont val="Tahoma"/>
            <family val="2"/>
          </rPr>
          <t xml:space="preserve">
(%) de dedicación respecto a la unidad de medida, justificar adecuamente en caso que sea inferior al 100% y no sea aporte en especie</t>
        </r>
      </text>
    </comment>
    <comment ref="E51" authorId="1" shapeId="0" xr:uid="{00000000-0006-0000-0E00-00000D000000}">
      <text>
        <r>
          <rPr>
            <sz val="9"/>
            <color indexed="81"/>
            <rFont val="Tahoma"/>
            <family val="2"/>
          </rPr>
          <t xml:space="preserve">
Respecto a la unidad de medida</t>
        </r>
      </text>
    </comment>
    <comment ref="G51" authorId="0" shapeId="0" xr:uid="{00000000-0006-0000-0E00-00000E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10" authorId="0" shapeId="0" xr:uid="{00000000-0006-0000-0F00-000001000000}">
      <text>
        <r>
          <rPr>
            <sz val="9"/>
            <color indexed="81"/>
            <rFont val="Tahoma"/>
            <family val="2"/>
          </rPr>
          <t>La información se alimenta de la hoja 
"PLAN DE EJECUCIÓN FÍSICA Y DE INVERSIONES"</t>
        </r>
      </text>
    </comment>
    <comment ref="A11" authorId="0" shapeId="0" xr:uid="{00000000-0006-0000-0F00-000002000000}">
      <text>
        <r>
          <rPr>
            <sz val="9"/>
            <color indexed="81"/>
            <rFont val="Tahoma"/>
            <family val="2"/>
          </rPr>
          <t>La información se alimenta de la hoja 
"PLAN DE EJECUCIÓN FÍSICA Y DE INVERSIONES"</t>
        </r>
      </text>
    </comment>
    <comment ref="A13" authorId="0" shapeId="0" xr:uid="{00000000-0006-0000-0F00-000003000000}">
      <text>
        <r>
          <rPr>
            <sz val="9"/>
            <color indexed="81"/>
            <rFont val="Tahoma"/>
            <family val="2"/>
          </rPr>
          <t xml:space="preserve">
Para cada proceso elegir si se va a realizar la estimación, por el presupuesto total, por lotes, por unidad o por lote - unidad. Solo utilizar una de las cuatro opciones</t>
        </r>
      </text>
    </comment>
    <comment ref="A14" authorId="0" shapeId="0" xr:uid="{00000000-0006-0000-0F00-000004000000}">
      <text>
        <r>
          <rPr>
            <sz val="9"/>
            <color indexed="81"/>
            <rFont val="Tahoma"/>
            <family val="2"/>
          </rPr>
          <t xml:space="preserve">
La estimación del PAB siempre se hace con los valores antes de IVA</t>
        </r>
      </text>
    </comment>
    <comment ref="B14" authorId="0" shapeId="0" xr:uid="{00000000-0006-0000-0F00-000005000000}">
      <text>
        <r>
          <rPr>
            <sz val="9"/>
            <color indexed="81"/>
            <rFont val="Tahoma"/>
            <family val="2"/>
          </rPr>
          <t xml:space="preserve">
 Se le solicitará aclaración a los proponentes cuyas ofertas sean menores o iguales en un X% (porcentaje base) del costo total estimado por la Entidad Estatal.</t>
        </r>
      </text>
    </comment>
    <comment ref="D14" authorId="0" shapeId="0" xr:uid="{00000000-0006-0000-0F00-000006000000}">
      <text>
        <r>
          <rPr>
            <sz val="9"/>
            <color indexed="81"/>
            <rFont val="Tahoma"/>
            <family val="2"/>
          </rPr>
          <t xml:space="preserve">
Se le solicitará aclaración a los proponentes cuyas ofertas sean menores o iguales a $X.</t>
        </r>
      </text>
    </comment>
    <comment ref="A17" authorId="0" shapeId="0" xr:uid="{00000000-0006-0000-0F00-000007000000}">
      <text>
        <r>
          <rPr>
            <sz val="9"/>
            <color indexed="81"/>
            <rFont val="Tahoma"/>
            <family val="2"/>
          </rPr>
          <t xml:space="preserve">
Para cada proceso elegir si se va a realizar la estimación, por el presupuesto total, por lotes, por unidad o por lote - unidad. Solo utilizar una de las cuatro opciones</t>
        </r>
      </text>
    </comment>
    <comment ref="B18" authorId="0" shapeId="0" xr:uid="{00000000-0006-0000-0F00-000008000000}">
      <text>
        <r>
          <rPr>
            <sz val="9"/>
            <color indexed="81"/>
            <rFont val="Tahoma"/>
            <family val="2"/>
          </rPr>
          <t xml:space="preserve">
La estimación del PAB siempre se hace con los valores antes de IVA</t>
        </r>
      </text>
    </comment>
    <comment ref="C18" authorId="0" shapeId="0" xr:uid="{00000000-0006-0000-0F00-000009000000}">
      <text>
        <r>
          <rPr>
            <sz val="9"/>
            <color indexed="81"/>
            <rFont val="Tahoma"/>
            <family val="2"/>
          </rPr>
          <t xml:space="preserve">
 Se le solicitará aclaración a los proponentes cuyos valor total por lote sea menor o igual en un X% (porcentaje base) del costo total estimado por la Entidad Estatal.</t>
        </r>
      </text>
    </comment>
    <comment ref="E18" authorId="0" shapeId="0" xr:uid="{00000000-0006-0000-0F00-00000A000000}">
      <text>
        <r>
          <rPr>
            <sz val="9"/>
            <color indexed="81"/>
            <rFont val="Tahoma"/>
            <family val="2"/>
          </rPr>
          <t xml:space="preserve">
Se le solicitará aclaración a los proponentes cuyas ofertas por el lote respectivo sean menores o iguales a $X.</t>
        </r>
      </text>
    </comment>
    <comment ref="A25" authorId="0" shapeId="0" xr:uid="{00000000-0006-0000-0F00-00000B000000}">
      <text>
        <r>
          <rPr>
            <sz val="9"/>
            <color indexed="81"/>
            <rFont val="Tahoma"/>
            <family val="2"/>
          </rPr>
          <t xml:space="preserve">
Para cada proceso elegir si se va a realizar la estimación, por el presupuesto total, por lotes, por unidad o por lote - unidad. Solo utilizar una de las cuatro opciones</t>
        </r>
      </text>
    </comment>
    <comment ref="B26" authorId="0" shapeId="0" xr:uid="{00000000-0006-0000-0F00-00000C000000}">
      <text>
        <r>
          <rPr>
            <sz val="9"/>
            <color indexed="81"/>
            <rFont val="Tahoma"/>
            <family val="2"/>
          </rPr>
          <t xml:space="preserve">
La estimación del PAB siempre se hace con los valores antes de IVA</t>
        </r>
      </text>
    </comment>
    <comment ref="C26" authorId="0" shapeId="0" xr:uid="{00000000-0006-0000-0F00-00000D000000}">
      <text>
        <r>
          <rPr>
            <sz val="9"/>
            <color indexed="81"/>
            <rFont val="Tahoma"/>
            <family val="2"/>
          </rPr>
          <t xml:space="preserve">
 Se le solicitará aclaración a los proponentes cuyos valores unitarios ofertados sean menores o iguales en un X% (porcentaje base) del costo total estimado por la Entidad Estatal.</t>
        </r>
      </text>
    </comment>
    <comment ref="E26" authorId="0" shapeId="0" xr:uid="{00000000-0006-0000-0F00-00000E000000}">
      <text>
        <r>
          <rPr>
            <sz val="9"/>
            <color indexed="81"/>
            <rFont val="Tahoma"/>
            <family val="2"/>
          </rPr>
          <t xml:space="preserve">
Se le solicitará aclaración a los proponentes cuyas ofertas sean menores o iguales a $X.</t>
        </r>
      </text>
    </comment>
    <comment ref="A40" authorId="0" shapeId="0" xr:uid="{00000000-0006-0000-0F00-00000F000000}">
      <text>
        <r>
          <rPr>
            <sz val="9"/>
            <color indexed="81"/>
            <rFont val="Tahoma"/>
            <family val="2"/>
          </rPr>
          <t xml:space="preserve">
Para cada proceso elegir si se va a realizar la estimación, por el presupuesto total, por lotes, por unidad o por lote - unidad. Solo utilizar una de las cuatro opciones</t>
        </r>
      </text>
    </comment>
    <comment ref="B42" authorId="0" shapeId="0" xr:uid="{00000000-0006-0000-0F00-000010000000}">
      <text>
        <r>
          <rPr>
            <sz val="9"/>
            <color indexed="81"/>
            <rFont val="Tahoma"/>
            <family val="2"/>
          </rPr>
          <t xml:space="preserve">
La estimación del PAB siempre se hace con los valores antes de IVA</t>
        </r>
      </text>
    </comment>
    <comment ref="C42" authorId="0" shapeId="0" xr:uid="{00000000-0006-0000-0F00-000011000000}">
      <text>
        <r>
          <rPr>
            <sz val="9"/>
            <color indexed="81"/>
            <rFont val="Tahoma"/>
            <family val="2"/>
          </rPr>
          <t xml:space="preserve">
 Se le solicitará aclaración a los proponentes cuyos valores unitarios ofertados sean menores o iguales en un X% (porcentaje base) del costo total estimado por la Entidad Estatal.</t>
        </r>
      </text>
    </comment>
    <comment ref="E42" authorId="0" shapeId="0" xr:uid="{00000000-0006-0000-0F00-000012000000}">
      <text>
        <r>
          <rPr>
            <sz val="9"/>
            <color indexed="81"/>
            <rFont val="Tahoma"/>
            <family val="2"/>
          </rPr>
          <t xml:space="preserve">
Se le solicitará aclaración a los proponentes cuyas ofertas sean menores o iguales a $X.</t>
        </r>
      </text>
    </comment>
    <comment ref="B55" authorId="0" shapeId="0" xr:uid="{00000000-0006-0000-0F00-000013000000}">
      <text>
        <r>
          <rPr>
            <sz val="9"/>
            <color indexed="81"/>
            <rFont val="Tahoma"/>
            <family val="2"/>
          </rPr>
          <t xml:space="preserve">
La estimación del PAB siempre se hace con los valores antes de IVA</t>
        </r>
      </text>
    </comment>
    <comment ref="C55" authorId="0" shapeId="0" xr:uid="{00000000-0006-0000-0F00-000014000000}">
      <text>
        <r>
          <rPr>
            <sz val="9"/>
            <color indexed="81"/>
            <rFont val="Tahoma"/>
            <family val="2"/>
          </rPr>
          <t xml:space="preserve">
 Se le solicitará aclaración a los proponentes cuyos valores unitarios ofertados sean menores o iguales en un X% (porcentaje base) del costo total estimado por la Entidad Estatal.</t>
        </r>
      </text>
    </comment>
    <comment ref="E55" authorId="0" shapeId="0" xr:uid="{00000000-0006-0000-0F00-000015000000}">
      <text>
        <r>
          <rPr>
            <sz val="9"/>
            <color indexed="81"/>
            <rFont val="Tahoma"/>
            <family val="2"/>
          </rPr>
          <t xml:space="preserve">
Se le solicitará aclaración a los proponentes cuyas ofertas sean menores o iguales a $X.</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000-000001000000}">
      <text>
        <r>
          <rPr>
            <sz val="9"/>
            <color indexed="81"/>
            <rFont val="Tahoma"/>
            <family val="2"/>
          </rPr>
          <t>La información se alimenta de la hoja 
"PLAN DE EJECUCIÓN FÍSICA Y DE INVERSIONES"</t>
        </r>
      </text>
    </comment>
    <comment ref="A7" authorId="0" shapeId="0" xr:uid="{00000000-0006-0000-1000-000002000000}">
      <text>
        <r>
          <rPr>
            <sz val="9"/>
            <color indexed="81"/>
            <rFont val="Tahoma"/>
            <family val="2"/>
          </rPr>
          <t>La información se alimenta de la hoja 
"PLAN DE EJECUCIÓN FÍSICA Y DE INVERSIONES"</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8" authorId="0" shapeId="0" xr:uid="{00000000-0006-0000-1100-000001000000}">
      <text>
        <r>
          <rPr>
            <sz val="9"/>
            <color indexed="81"/>
            <rFont val="Tahoma"/>
            <family val="2"/>
          </rPr>
          <t>La información se alimenta de la hoja 
"PLAN DE EJECUCIÓN FÍSICA Y DE INVERSIONES"</t>
        </r>
      </text>
    </comment>
    <comment ref="A9" authorId="0" shapeId="0" xr:uid="{00000000-0006-0000-1100-000002000000}">
      <text>
        <r>
          <rPr>
            <sz val="9"/>
            <color indexed="81"/>
            <rFont val="Tahoma"/>
            <family val="2"/>
          </rPr>
          <t>La información se alimenta de la hoja 
"PLAN DE EJECUCIÓN FÍSICA Y DE INVERSIONES"</t>
        </r>
      </text>
    </comment>
    <comment ref="A11" authorId="0" shapeId="0" xr:uid="{00000000-0006-0000-1100-000003000000}">
      <text>
        <r>
          <rPr>
            <sz val="9"/>
            <color indexed="81"/>
            <rFont val="Tahoma"/>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C24" authorId="0" shapeId="0" xr:uid="{00000000-0006-0000-1100-000004000000}">
      <text>
        <r>
          <rPr>
            <sz val="9"/>
            <color indexed="81"/>
            <rFont val="Tahoma"/>
            <family val="2"/>
          </rPr>
          <t xml:space="preserve">
Bajo la aplicación de la metodología comparación relativa, la Corporación estima que será artificialmente baja toda oferta cuyo valor total antes de IVA sea menor o igual al valor mínimo aceptable</t>
        </r>
      </text>
    </comment>
    <comment ref="A26" authorId="0" shapeId="0" xr:uid="{00000000-0006-0000-1100-000005000000}">
      <text>
        <r>
          <rPr>
            <sz val="9"/>
            <color indexed="81"/>
            <rFont val="Tahoma"/>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C40" authorId="0" shapeId="0" xr:uid="{00000000-0006-0000-1100-000006000000}">
      <text>
        <r>
          <rPr>
            <sz val="9"/>
            <color indexed="81"/>
            <rFont val="Tahoma"/>
            <family val="2"/>
          </rPr>
          <t xml:space="preserve">
Bajo la aplicación de la metodología comparación relativa, la Corporación estima que será artificialmente baja toda oferta cuyo valor total antes de IVA de cada lote, sea menor o igual al valor mínimo aceptable de dicho lote.</t>
        </r>
      </text>
    </comment>
    <comment ref="F40" authorId="0" shapeId="0" xr:uid="{00000000-0006-0000-1100-000007000000}">
      <text>
        <r>
          <rPr>
            <sz val="9"/>
            <color indexed="81"/>
            <rFont val="Tahoma"/>
            <family val="2"/>
          </rPr>
          <t xml:space="preserve">
Bajo la aplicación de la metodología comparación relativa, la Corporación estima que será artificialmente baja toda oferta cuyo valor total antes de IVA de cada lote, sea menor o igual al valor mínimo aceptable de dicho lote.</t>
        </r>
      </text>
    </comment>
    <comment ref="A42" authorId="0" shapeId="0" xr:uid="{00000000-0006-0000-1100-000008000000}">
      <text>
        <r>
          <rPr>
            <sz val="9"/>
            <color indexed="81"/>
            <rFont val="Tahoma"/>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N43" authorId="0" shapeId="0" xr:uid="{00000000-0006-0000-1100-000009000000}">
      <text>
        <r>
          <rPr>
            <sz val="9"/>
            <color indexed="81"/>
            <rFont val="Tahoma"/>
            <family val="2"/>
          </rPr>
          <t xml:space="preserve">
Bajo la aplicación de la metodología de comparación relativa, la Corporación estima que será artificialmente baja toda oferta cuyo valor unitario antes de IVA de cada ítem, sea menor o igual al valor mínimo aceptable de dicho ítem</t>
        </r>
      </text>
    </comment>
    <comment ref="A55" authorId="0" shapeId="0" xr:uid="{00000000-0006-0000-1100-00000A000000}">
      <text>
        <r>
          <rPr>
            <sz val="9"/>
            <color indexed="81"/>
            <rFont val="Tahoma"/>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N57" authorId="0" shapeId="0" xr:uid="{00000000-0006-0000-1100-00000B000000}">
      <text>
        <r>
          <rPr>
            <sz val="9"/>
            <color indexed="81"/>
            <rFont val="Tahoma"/>
            <family val="2"/>
          </rPr>
          <t xml:space="preserve">
Bajo la aplicación de la metodología de comparación relativa, la Corporación estima que será artificialmente baja toda oferta cuyo valor unitario antes de IVA de cada ítem dentro de cada lote, sea menor o igual al valor mínimo aceptable de dicho ítem del correspondiente lote</t>
        </r>
      </text>
    </comment>
    <comment ref="N70" authorId="0" shapeId="0" xr:uid="{00000000-0006-0000-1100-00000C000000}">
      <text>
        <r>
          <rPr>
            <sz val="9"/>
            <color indexed="81"/>
            <rFont val="Tahoma"/>
            <family val="2"/>
          </rPr>
          <t xml:space="preserve">
Bajo la aplicación de la metodología de comparación relativa, la Corporación estima que será artificialmente baja toda oferta cuyo valor unitario antes de IVA de cada ítem dentro de cada lote, sea menor o igual al valor mínimo aceptable de dicho ítem del correspondiente lote</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B16" authorId="0" shapeId="0" xr:uid="{00000000-0006-0000-1200-000001000000}">
      <text>
        <r>
          <rPr>
            <sz val="9"/>
            <color indexed="81"/>
            <rFont val="Tahoma"/>
            <family val="2"/>
          </rPr>
          <t xml:space="preserve">
Seleccionar
</t>
        </r>
      </text>
    </comment>
    <comment ref="D16" authorId="0" shapeId="0" xr:uid="{00000000-0006-0000-1200-000002000000}">
      <text>
        <r>
          <rPr>
            <sz val="9"/>
            <color indexed="81"/>
            <rFont val="Tahoma"/>
            <family val="2"/>
          </rPr>
          <t xml:space="preserve">
Seleccionar
</t>
        </r>
      </text>
    </comment>
    <comment ref="F16" authorId="0" shapeId="0" xr:uid="{00000000-0006-0000-1200-000003000000}">
      <text>
        <r>
          <rPr>
            <sz val="9"/>
            <color indexed="81"/>
            <rFont val="Tahoma"/>
            <family val="2"/>
          </rPr>
          <t xml:space="preserve">
Seleccionar
</t>
        </r>
      </text>
    </comment>
    <comment ref="B17" authorId="0" shapeId="0" xr:uid="{00000000-0006-0000-1200-000004000000}">
      <text>
        <r>
          <rPr>
            <sz val="9"/>
            <color indexed="81"/>
            <rFont val="Tahoma"/>
            <family val="2"/>
          </rPr>
          <t xml:space="preserve">
Seleccionar
</t>
        </r>
      </text>
    </comment>
    <comment ref="D17" authorId="0" shapeId="0" xr:uid="{00000000-0006-0000-1200-000005000000}">
      <text>
        <r>
          <rPr>
            <b/>
            <sz val="9"/>
            <color indexed="81"/>
            <rFont val="Tahoma"/>
            <family val="2"/>
          </rPr>
          <t>Marcela Buitrago Monsalve:</t>
        </r>
        <r>
          <rPr>
            <sz val="9"/>
            <color indexed="81"/>
            <rFont val="Tahoma"/>
            <family val="2"/>
          </rPr>
          <t xml:space="preserve">
Seleccionar
</t>
        </r>
      </text>
    </comment>
    <comment ref="F17" authorId="0" shapeId="0" xr:uid="{00000000-0006-0000-1200-000006000000}">
      <text>
        <r>
          <rPr>
            <b/>
            <sz val="9"/>
            <color indexed="81"/>
            <rFont val="Tahoma"/>
            <family val="2"/>
          </rPr>
          <t>Marcela Buitrago Monsalve:</t>
        </r>
        <r>
          <rPr>
            <sz val="9"/>
            <color indexed="81"/>
            <rFont val="Tahoma"/>
            <family val="2"/>
          </rPr>
          <t xml:space="preserve">
Seleccionar
</t>
        </r>
      </text>
    </comment>
    <comment ref="B18" authorId="0" shapeId="0" xr:uid="{00000000-0006-0000-1200-000007000000}">
      <text>
        <r>
          <rPr>
            <sz val="9"/>
            <color indexed="81"/>
            <rFont val="Tahoma"/>
            <family val="2"/>
          </rPr>
          <t xml:space="preserve">
Seleccionar
</t>
        </r>
      </text>
    </comment>
    <comment ref="D18" authorId="0" shapeId="0" xr:uid="{00000000-0006-0000-1200-000008000000}">
      <text>
        <r>
          <rPr>
            <b/>
            <sz val="9"/>
            <color indexed="81"/>
            <rFont val="Tahoma"/>
            <family val="2"/>
          </rPr>
          <t>Marcela Buitrago Monsalve:</t>
        </r>
        <r>
          <rPr>
            <sz val="9"/>
            <color indexed="81"/>
            <rFont val="Tahoma"/>
            <family val="2"/>
          </rPr>
          <t xml:space="preserve">
Seleccionar
</t>
        </r>
      </text>
    </comment>
    <comment ref="F18" authorId="0" shapeId="0" xr:uid="{00000000-0006-0000-1200-000009000000}">
      <text>
        <r>
          <rPr>
            <b/>
            <sz val="9"/>
            <color indexed="81"/>
            <rFont val="Tahoma"/>
            <family val="2"/>
          </rPr>
          <t>Marcela Buitrago Monsalve:</t>
        </r>
        <r>
          <rPr>
            <sz val="9"/>
            <color indexed="81"/>
            <rFont val="Tahoma"/>
            <family val="2"/>
          </rPr>
          <t xml:space="preserve">
Seleccionar
</t>
        </r>
      </text>
    </comment>
    <comment ref="B19" authorId="0" shapeId="0" xr:uid="{00000000-0006-0000-1200-00000A000000}">
      <text>
        <r>
          <rPr>
            <sz val="9"/>
            <color indexed="81"/>
            <rFont val="Tahoma"/>
            <family val="2"/>
          </rPr>
          <t xml:space="preserve">
Seleccionar
</t>
        </r>
      </text>
    </comment>
    <comment ref="D19" authorId="0" shapeId="0" xr:uid="{00000000-0006-0000-1200-00000B000000}">
      <text>
        <r>
          <rPr>
            <b/>
            <sz val="9"/>
            <color indexed="81"/>
            <rFont val="Tahoma"/>
            <family val="2"/>
          </rPr>
          <t>Marcela Buitrago Monsalve:</t>
        </r>
        <r>
          <rPr>
            <sz val="9"/>
            <color indexed="81"/>
            <rFont val="Tahoma"/>
            <family val="2"/>
          </rPr>
          <t xml:space="preserve">
Seleccionar
</t>
        </r>
      </text>
    </comment>
    <comment ref="F19" authorId="0" shapeId="0" xr:uid="{00000000-0006-0000-1200-00000C000000}">
      <text>
        <r>
          <rPr>
            <b/>
            <sz val="9"/>
            <color indexed="81"/>
            <rFont val="Tahoma"/>
            <family val="2"/>
          </rPr>
          <t>Marcela Buitrago Monsalve:</t>
        </r>
        <r>
          <rPr>
            <sz val="9"/>
            <color indexed="81"/>
            <rFont val="Tahoma"/>
            <family val="2"/>
          </rPr>
          <t xml:space="preserve">
Seleccionar
</t>
        </r>
      </text>
    </comment>
    <comment ref="B20" authorId="0" shapeId="0" xr:uid="{00000000-0006-0000-1200-00000D000000}">
      <text>
        <r>
          <rPr>
            <sz val="9"/>
            <color indexed="81"/>
            <rFont val="Tahoma"/>
            <family val="2"/>
          </rPr>
          <t xml:space="preserve">
Seleccionar
</t>
        </r>
      </text>
    </comment>
    <comment ref="D20" authorId="0" shapeId="0" xr:uid="{00000000-0006-0000-1200-00000E000000}">
      <text>
        <r>
          <rPr>
            <b/>
            <sz val="9"/>
            <color indexed="81"/>
            <rFont val="Tahoma"/>
            <family val="2"/>
          </rPr>
          <t>Marcela Buitrago Monsalve:</t>
        </r>
        <r>
          <rPr>
            <sz val="9"/>
            <color indexed="81"/>
            <rFont val="Tahoma"/>
            <family val="2"/>
          </rPr>
          <t xml:space="preserve">
Seleccionar
</t>
        </r>
      </text>
    </comment>
    <comment ref="F20" authorId="0" shapeId="0" xr:uid="{00000000-0006-0000-1200-00000F000000}">
      <text>
        <r>
          <rPr>
            <b/>
            <sz val="9"/>
            <color indexed="81"/>
            <rFont val="Tahoma"/>
            <family val="2"/>
          </rPr>
          <t>Marcela Buitrago Monsalve:</t>
        </r>
        <r>
          <rPr>
            <sz val="9"/>
            <color indexed="81"/>
            <rFont val="Tahoma"/>
            <family val="2"/>
          </rPr>
          <t xml:space="preserve">
Seleccionar
</t>
        </r>
      </text>
    </comment>
    <comment ref="B21" authorId="0" shapeId="0" xr:uid="{00000000-0006-0000-1200-000010000000}">
      <text>
        <r>
          <rPr>
            <sz val="9"/>
            <color indexed="81"/>
            <rFont val="Tahoma"/>
            <family val="2"/>
          </rPr>
          <t xml:space="preserve">
Seleccionar
</t>
        </r>
      </text>
    </comment>
    <comment ref="D21" authorId="0" shapeId="0" xr:uid="{00000000-0006-0000-1200-000011000000}">
      <text>
        <r>
          <rPr>
            <b/>
            <sz val="9"/>
            <color indexed="81"/>
            <rFont val="Tahoma"/>
            <family val="2"/>
          </rPr>
          <t>Marcela Buitrago Monsalve:</t>
        </r>
        <r>
          <rPr>
            <sz val="9"/>
            <color indexed="81"/>
            <rFont val="Tahoma"/>
            <family val="2"/>
          </rPr>
          <t xml:space="preserve">
Seleccionar
</t>
        </r>
      </text>
    </comment>
    <comment ref="F21" authorId="0" shapeId="0" xr:uid="{00000000-0006-0000-1200-000012000000}">
      <text>
        <r>
          <rPr>
            <b/>
            <sz val="9"/>
            <color indexed="81"/>
            <rFont val="Tahoma"/>
            <family val="2"/>
          </rPr>
          <t>Marcela Buitrago Monsalve:</t>
        </r>
        <r>
          <rPr>
            <sz val="9"/>
            <color indexed="81"/>
            <rFont val="Tahoma"/>
            <family val="2"/>
          </rPr>
          <t xml:space="preserve">
Seleccionar
</t>
        </r>
      </text>
    </comment>
    <comment ref="B22" authorId="0" shapeId="0" xr:uid="{00000000-0006-0000-1200-000013000000}">
      <text>
        <r>
          <rPr>
            <sz val="9"/>
            <color indexed="81"/>
            <rFont val="Tahoma"/>
            <family val="2"/>
          </rPr>
          <t xml:space="preserve">
Seleccionar
</t>
        </r>
      </text>
    </comment>
    <comment ref="D22" authorId="0" shapeId="0" xr:uid="{00000000-0006-0000-1200-000014000000}">
      <text>
        <r>
          <rPr>
            <b/>
            <sz val="9"/>
            <color indexed="81"/>
            <rFont val="Tahoma"/>
            <family val="2"/>
          </rPr>
          <t>Marcela Buitrago Monsalve:</t>
        </r>
        <r>
          <rPr>
            <sz val="9"/>
            <color indexed="81"/>
            <rFont val="Tahoma"/>
            <family val="2"/>
          </rPr>
          <t xml:space="preserve">
Seleccionar
</t>
        </r>
      </text>
    </comment>
    <comment ref="F22" authorId="0" shapeId="0" xr:uid="{00000000-0006-0000-1200-000015000000}">
      <text>
        <r>
          <rPr>
            <b/>
            <sz val="9"/>
            <color indexed="81"/>
            <rFont val="Tahoma"/>
            <family val="2"/>
          </rPr>
          <t>Marcela Buitrago Monsalve:</t>
        </r>
        <r>
          <rPr>
            <sz val="9"/>
            <color indexed="81"/>
            <rFont val="Tahoma"/>
            <family val="2"/>
          </rPr>
          <t xml:space="preserve">
Seleccionar
</t>
        </r>
      </text>
    </comment>
    <comment ref="B27" authorId="0" shapeId="0" xr:uid="{00000000-0006-0000-1200-000016000000}">
      <text>
        <r>
          <rPr>
            <sz val="9"/>
            <color indexed="81"/>
            <rFont val="Tahoma"/>
            <family val="2"/>
          </rPr>
          <t xml:space="preserve">
Seleccionar
</t>
        </r>
      </text>
    </comment>
    <comment ref="D27" authorId="0" shapeId="0" xr:uid="{00000000-0006-0000-1200-000017000000}">
      <text>
        <r>
          <rPr>
            <sz val="9"/>
            <color indexed="81"/>
            <rFont val="Tahoma"/>
            <family val="2"/>
          </rPr>
          <t xml:space="preserve">
Seleccionar
</t>
        </r>
      </text>
    </comment>
    <comment ref="F27" authorId="0" shapeId="0" xr:uid="{00000000-0006-0000-1200-000018000000}">
      <text>
        <r>
          <rPr>
            <sz val="9"/>
            <color indexed="81"/>
            <rFont val="Tahoma"/>
            <family val="2"/>
          </rPr>
          <t xml:space="preserve">
Seleccionar
</t>
        </r>
      </text>
    </comment>
    <comment ref="B28" authorId="0" shapeId="0" xr:uid="{00000000-0006-0000-1200-000019000000}">
      <text>
        <r>
          <rPr>
            <sz val="9"/>
            <color indexed="81"/>
            <rFont val="Tahoma"/>
            <family val="2"/>
          </rPr>
          <t xml:space="preserve">
Seleccionar
</t>
        </r>
      </text>
    </comment>
    <comment ref="D28" authorId="0" shapeId="0" xr:uid="{00000000-0006-0000-1200-00001A000000}">
      <text>
        <r>
          <rPr>
            <sz val="9"/>
            <color indexed="81"/>
            <rFont val="Tahoma"/>
            <family val="2"/>
          </rPr>
          <t xml:space="preserve">
Seleccionar
</t>
        </r>
      </text>
    </comment>
    <comment ref="F28" authorId="0" shapeId="0" xr:uid="{00000000-0006-0000-1200-00001B000000}">
      <text>
        <r>
          <rPr>
            <sz val="9"/>
            <color indexed="81"/>
            <rFont val="Tahoma"/>
            <family val="2"/>
          </rPr>
          <t xml:space="preserve">
Seleccionar
</t>
        </r>
      </text>
    </comment>
    <comment ref="B29" authorId="0" shapeId="0" xr:uid="{00000000-0006-0000-1200-00001C000000}">
      <text>
        <r>
          <rPr>
            <sz val="9"/>
            <color indexed="81"/>
            <rFont val="Tahoma"/>
            <family val="2"/>
          </rPr>
          <t xml:space="preserve">
Seleccionar
</t>
        </r>
      </text>
    </comment>
    <comment ref="D29" authorId="0" shapeId="0" xr:uid="{00000000-0006-0000-1200-00001D000000}">
      <text>
        <r>
          <rPr>
            <sz val="9"/>
            <color indexed="81"/>
            <rFont val="Tahoma"/>
            <family val="2"/>
          </rPr>
          <t xml:space="preserve">
Seleccionar
</t>
        </r>
      </text>
    </comment>
    <comment ref="F29" authorId="0" shapeId="0" xr:uid="{00000000-0006-0000-1200-00001E000000}">
      <text>
        <r>
          <rPr>
            <sz val="9"/>
            <color indexed="81"/>
            <rFont val="Tahoma"/>
            <family val="2"/>
          </rPr>
          <t xml:space="preserve">
Seleccionar
</t>
        </r>
      </text>
    </comment>
    <comment ref="B30" authorId="0" shapeId="0" xr:uid="{00000000-0006-0000-1200-00001F000000}">
      <text>
        <r>
          <rPr>
            <sz val="9"/>
            <color indexed="81"/>
            <rFont val="Tahoma"/>
            <family val="2"/>
          </rPr>
          <t xml:space="preserve">
Seleccionar
</t>
        </r>
      </text>
    </comment>
    <comment ref="D30" authorId="0" shapeId="0" xr:uid="{00000000-0006-0000-1200-000020000000}">
      <text>
        <r>
          <rPr>
            <sz val="9"/>
            <color indexed="81"/>
            <rFont val="Tahoma"/>
            <family val="2"/>
          </rPr>
          <t xml:space="preserve">
Seleccionar
</t>
        </r>
      </text>
    </comment>
    <comment ref="F30" authorId="0" shapeId="0" xr:uid="{00000000-0006-0000-1200-000021000000}">
      <text>
        <r>
          <rPr>
            <sz val="9"/>
            <color indexed="81"/>
            <rFont val="Tahoma"/>
            <family val="2"/>
          </rPr>
          <t xml:space="preserve">
Seleccionar
</t>
        </r>
      </text>
    </comment>
    <comment ref="B31" authorId="0" shapeId="0" xr:uid="{00000000-0006-0000-1200-000022000000}">
      <text>
        <r>
          <rPr>
            <sz val="9"/>
            <color indexed="81"/>
            <rFont val="Tahoma"/>
            <family val="2"/>
          </rPr>
          <t xml:space="preserve">
Seleccionar
</t>
        </r>
      </text>
    </comment>
    <comment ref="D31" authorId="0" shapeId="0" xr:uid="{00000000-0006-0000-1200-000023000000}">
      <text>
        <r>
          <rPr>
            <sz val="9"/>
            <color indexed="81"/>
            <rFont val="Tahoma"/>
            <family val="2"/>
          </rPr>
          <t xml:space="preserve">
Seleccionar
</t>
        </r>
      </text>
    </comment>
    <comment ref="F31" authorId="0" shapeId="0" xr:uid="{00000000-0006-0000-1200-000024000000}">
      <text>
        <r>
          <rPr>
            <sz val="9"/>
            <color indexed="81"/>
            <rFont val="Tahoma"/>
            <family val="2"/>
          </rPr>
          <t xml:space="preserve">
Seleccionar
</t>
        </r>
      </text>
    </comment>
    <comment ref="B32" authorId="0" shapeId="0" xr:uid="{00000000-0006-0000-1200-000025000000}">
      <text>
        <r>
          <rPr>
            <sz val="9"/>
            <color indexed="81"/>
            <rFont val="Tahoma"/>
            <family val="2"/>
          </rPr>
          <t xml:space="preserve">
Seleccionar
</t>
        </r>
      </text>
    </comment>
    <comment ref="D32" authorId="0" shapeId="0" xr:uid="{00000000-0006-0000-1200-000026000000}">
      <text>
        <r>
          <rPr>
            <sz val="9"/>
            <color indexed="81"/>
            <rFont val="Tahoma"/>
            <family val="2"/>
          </rPr>
          <t xml:space="preserve">
Seleccionar
</t>
        </r>
      </text>
    </comment>
    <comment ref="F32" authorId="0" shapeId="0" xr:uid="{00000000-0006-0000-1200-000027000000}">
      <text>
        <r>
          <rPr>
            <sz val="9"/>
            <color indexed="81"/>
            <rFont val="Tahoma"/>
            <family val="2"/>
          </rPr>
          <t xml:space="preserve">
Seleccionar
</t>
        </r>
      </text>
    </comment>
    <comment ref="B33" authorId="0" shapeId="0" xr:uid="{00000000-0006-0000-1200-000028000000}">
      <text>
        <r>
          <rPr>
            <sz val="9"/>
            <color indexed="81"/>
            <rFont val="Tahoma"/>
            <family val="2"/>
          </rPr>
          <t xml:space="preserve">
Seleccionar
</t>
        </r>
      </text>
    </comment>
    <comment ref="D33" authorId="0" shapeId="0" xr:uid="{00000000-0006-0000-1200-000029000000}">
      <text>
        <r>
          <rPr>
            <sz val="9"/>
            <color indexed="81"/>
            <rFont val="Tahoma"/>
            <family val="2"/>
          </rPr>
          <t xml:space="preserve">
Seleccionar
</t>
        </r>
      </text>
    </comment>
    <comment ref="F33" authorId="0" shapeId="0" xr:uid="{00000000-0006-0000-1200-00002A000000}">
      <text>
        <r>
          <rPr>
            <sz val="9"/>
            <color indexed="81"/>
            <rFont val="Tahoma"/>
            <family val="2"/>
          </rPr>
          <t xml:space="preserve">
Seleccionar
</t>
        </r>
      </text>
    </comment>
    <comment ref="B38" authorId="0" shapeId="0" xr:uid="{00000000-0006-0000-1200-00002B000000}">
      <text>
        <r>
          <rPr>
            <sz val="9"/>
            <color indexed="81"/>
            <rFont val="Tahoma"/>
            <family val="2"/>
          </rPr>
          <t xml:space="preserve">
Seleccionar
</t>
        </r>
      </text>
    </comment>
    <comment ref="D38" authorId="0" shapeId="0" xr:uid="{00000000-0006-0000-1200-00002C000000}">
      <text>
        <r>
          <rPr>
            <sz val="9"/>
            <color indexed="81"/>
            <rFont val="Tahoma"/>
            <family val="2"/>
          </rPr>
          <t xml:space="preserve">
Seleccionar
</t>
        </r>
      </text>
    </comment>
    <comment ref="F38" authorId="0" shapeId="0" xr:uid="{00000000-0006-0000-1200-00002D000000}">
      <text>
        <r>
          <rPr>
            <sz val="9"/>
            <color indexed="81"/>
            <rFont val="Tahoma"/>
            <family val="2"/>
          </rPr>
          <t xml:space="preserve">
Seleccionar
</t>
        </r>
      </text>
    </comment>
    <comment ref="B39" authorId="0" shapeId="0" xr:uid="{00000000-0006-0000-1200-00002E000000}">
      <text>
        <r>
          <rPr>
            <sz val="9"/>
            <color indexed="81"/>
            <rFont val="Tahoma"/>
            <family val="2"/>
          </rPr>
          <t xml:space="preserve">
Seleccionar
</t>
        </r>
      </text>
    </comment>
    <comment ref="D39" authorId="0" shapeId="0" xr:uid="{00000000-0006-0000-1200-00002F000000}">
      <text>
        <r>
          <rPr>
            <sz val="9"/>
            <color indexed="81"/>
            <rFont val="Tahoma"/>
            <family val="2"/>
          </rPr>
          <t xml:space="preserve">
Seleccionar
</t>
        </r>
      </text>
    </comment>
    <comment ref="F39" authorId="0" shapeId="0" xr:uid="{00000000-0006-0000-1200-000030000000}">
      <text>
        <r>
          <rPr>
            <sz val="9"/>
            <color indexed="81"/>
            <rFont val="Tahoma"/>
            <family val="2"/>
          </rPr>
          <t xml:space="preserve">
Seleccionar
</t>
        </r>
      </text>
    </comment>
    <comment ref="B40" authorId="0" shapeId="0" xr:uid="{00000000-0006-0000-1200-000031000000}">
      <text>
        <r>
          <rPr>
            <sz val="9"/>
            <color indexed="81"/>
            <rFont val="Tahoma"/>
            <family val="2"/>
          </rPr>
          <t xml:space="preserve">
Seleccionar
</t>
        </r>
      </text>
    </comment>
    <comment ref="D40" authorId="0" shapeId="0" xr:uid="{00000000-0006-0000-1200-000032000000}">
      <text>
        <r>
          <rPr>
            <sz val="9"/>
            <color indexed="81"/>
            <rFont val="Tahoma"/>
            <family val="2"/>
          </rPr>
          <t xml:space="preserve">
Seleccionar
</t>
        </r>
      </text>
    </comment>
    <comment ref="F40" authorId="0" shapeId="0" xr:uid="{00000000-0006-0000-1200-000033000000}">
      <text>
        <r>
          <rPr>
            <sz val="9"/>
            <color indexed="81"/>
            <rFont val="Tahoma"/>
            <family val="2"/>
          </rPr>
          <t xml:space="preserve">
Seleccionar
</t>
        </r>
      </text>
    </comment>
    <comment ref="B41" authorId="0" shapeId="0" xr:uid="{00000000-0006-0000-1200-000034000000}">
      <text>
        <r>
          <rPr>
            <sz val="9"/>
            <color indexed="81"/>
            <rFont val="Tahoma"/>
            <family val="2"/>
          </rPr>
          <t xml:space="preserve">
Seleccionar
</t>
        </r>
      </text>
    </comment>
    <comment ref="D41" authorId="0" shapeId="0" xr:uid="{00000000-0006-0000-1200-000035000000}">
      <text>
        <r>
          <rPr>
            <sz val="9"/>
            <color indexed="81"/>
            <rFont val="Tahoma"/>
            <family val="2"/>
          </rPr>
          <t xml:space="preserve">
Seleccionar
</t>
        </r>
      </text>
    </comment>
    <comment ref="F41" authorId="0" shapeId="0" xr:uid="{00000000-0006-0000-1200-000036000000}">
      <text>
        <r>
          <rPr>
            <sz val="9"/>
            <color indexed="81"/>
            <rFont val="Tahoma"/>
            <family val="2"/>
          </rPr>
          <t xml:space="preserve">
Seleccionar
</t>
        </r>
      </text>
    </comment>
    <comment ref="B42" authorId="0" shapeId="0" xr:uid="{00000000-0006-0000-1200-000037000000}">
      <text>
        <r>
          <rPr>
            <sz val="9"/>
            <color indexed="81"/>
            <rFont val="Tahoma"/>
            <family val="2"/>
          </rPr>
          <t xml:space="preserve">
Seleccionar
</t>
        </r>
      </text>
    </comment>
    <comment ref="D42" authorId="0" shapeId="0" xr:uid="{00000000-0006-0000-1200-000038000000}">
      <text>
        <r>
          <rPr>
            <sz val="9"/>
            <color indexed="81"/>
            <rFont val="Tahoma"/>
            <family val="2"/>
          </rPr>
          <t xml:space="preserve">
Seleccionar
</t>
        </r>
      </text>
    </comment>
    <comment ref="F42" authorId="0" shapeId="0" xr:uid="{00000000-0006-0000-1200-000039000000}">
      <text>
        <r>
          <rPr>
            <sz val="9"/>
            <color indexed="81"/>
            <rFont val="Tahoma"/>
            <family val="2"/>
          </rPr>
          <t xml:space="preserve">
Seleccionar
</t>
        </r>
      </text>
    </comment>
    <comment ref="B43" authorId="0" shapeId="0" xr:uid="{00000000-0006-0000-1200-00003A000000}">
      <text>
        <r>
          <rPr>
            <sz val="9"/>
            <color indexed="81"/>
            <rFont val="Tahoma"/>
            <family val="2"/>
          </rPr>
          <t xml:space="preserve">
Seleccionar
</t>
        </r>
      </text>
    </comment>
    <comment ref="D43" authorId="0" shapeId="0" xr:uid="{00000000-0006-0000-1200-00003B000000}">
      <text>
        <r>
          <rPr>
            <sz val="9"/>
            <color indexed="81"/>
            <rFont val="Tahoma"/>
            <family val="2"/>
          </rPr>
          <t xml:space="preserve">
Seleccionar
</t>
        </r>
      </text>
    </comment>
    <comment ref="F43" authorId="0" shapeId="0" xr:uid="{00000000-0006-0000-1200-00003C000000}">
      <text>
        <r>
          <rPr>
            <sz val="9"/>
            <color indexed="81"/>
            <rFont val="Tahoma"/>
            <family val="2"/>
          </rPr>
          <t xml:space="preserve">
Seleccionar
</t>
        </r>
      </text>
    </comment>
    <comment ref="B44" authorId="0" shapeId="0" xr:uid="{00000000-0006-0000-1200-00003D000000}">
      <text>
        <r>
          <rPr>
            <sz val="9"/>
            <color indexed="81"/>
            <rFont val="Tahoma"/>
            <family val="2"/>
          </rPr>
          <t xml:space="preserve">
Seleccionar
</t>
        </r>
      </text>
    </comment>
    <comment ref="D44" authorId="0" shapeId="0" xr:uid="{00000000-0006-0000-1200-00003E000000}">
      <text>
        <r>
          <rPr>
            <sz val="9"/>
            <color indexed="81"/>
            <rFont val="Tahoma"/>
            <family val="2"/>
          </rPr>
          <t xml:space="preserve">
Seleccionar
</t>
        </r>
      </text>
    </comment>
    <comment ref="F44" authorId="0" shapeId="0" xr:uid="{00000000-0006-0000-1200-00003F000000}">
      <text>
        <r>
          <rPr>
            <sz val="9"/>
            <color indexed="81"/>
            <rFont val="Tahoma"/>
            <family val="2"/>
          </rPr>
          <t xml:space="preserve">
Seleccionar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RGRACIANO</author>
  </authors>
  <commentList>
    <comment ref="C10" authorId="0" shapeId="0" xr:uid="{00000000-0006-0000-1300-000001000000}">
      <text>
        <r>
          <rPr>
            <sz val="9"/>
            <color indexed="81"/>
            <rFont val="Tahoma"/>
            <family val="2"/>
          </rPr>
          <t xml:space="preserve">
Indicar el numeral dentro del Pliego de Condiciones, donde se encuentra el margen mínimo de mejora de la oferta</t>
        </r>
      </text>
    </comment>
    <comment ref="D13" authorId="1" shapeId="0" xr:uid="{00000000-0006-0000-1300-000002000000}">
      <text>
        <r>
          <rPr>
            <sz val="8"/>
            <color indexed="81"/>
            <rFont val="Tahoma"/>
            <family val="2"/>
          </rPr>
          <t>El precio de arranque inicia con la propuesta económica con el precio más bajo.</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G11" authorId="0" shapeId="0" xr:uid="{00000000-0006-0000-1800-000001000000}">
      <text>
        <r>
          <rPr>
            <sz val="9"/>
            <color indexed="81"/>
            <rFont val="Tahoma"/>
            <family val="2"/>
          </rPr>
          <t xml:space="preserve">
Al auxilio de transporte tiene derecho todo trabajador que tenga un sueldo de hasta dos salarios mínimos mensuales (Ley 15 de 1959).</t>
        </r>
      </text>
    </comment>
    <comment ref="B25" authorId="0" shapeId="0" xr:uid="{00000000-0006-0000-1800-000002000000}">
      <text>
        <r>
          <rPr>
            <b/>
            <sz val="9"/>
            <color indexed="81"/>
            <rFont val="Tahoma"/>
            <family val="2"/>
          </rPr>
          <t>Marcela Buitrago Monsalve:</t>
        </r>
        <r>
          <rPr>
            <sz val="9"/>
            <color indexed="81"/>
            <rFont val="Tahoma"/>
            <family val="2"/>
          </rPr>
          <t xml:space="preserve">
 Sobre cesantías</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900-000001000000}">
      <text>
        <r>
          <rPr>
            <b/>
            <sz val="9"/>
            <color indexed="81"/>
            <rFont val="Tahoma"/>
            <family val="2"/>
          </rPr>
          <t>Marcela Buitrago Monsalve:</t>
        </r>
        <r>
          <rPr>
            <sz val="9"/>
            <color indexed="81"/>
            <rFont val="Tahoma"/>
            <family val="2"/>
          </rPr>
          <t xml:space="preserve">
Departamento administrativo de la función pública</t>
        </r>
      </text>
    </comment>
    <comment ref="C11" authorId="0" shapeId="0" xr:uid="{00000000-0006-0000-1900-000002000000}">
      <text>
        <r>
          <rPr>
            <sz val="9"/>
            <color indexed="81"/>
            <rFont val="Tahoma"/>
            <family val="2"/>
          </rPr>
          <t xml:space="preserve">
Salario 2021 con aumento del 7,26% 
(acuerdo colectivo inflación + 1,64 puntos
 = 5,62% + 1,64% = 7,26%)  </t>
        </r>
      </text>
    </comment>
    <comment ref="D11" authorId="0" shapeId="0" xr:uid="{00000000-0006-0000-1900-000003000000}">
      <text>
        <r>
          <rPr>
            <sz val="9"/>
            <color indexed="81"/>
            <rFont val="Tahoma"/>
            <family val="2"/>
          </rPr>
          <t xml:space="preserve">
Factor prestacional del 67%</t>
        </r>
      </text>
    </comment>
    <comment ref="E11" authorId="0" shapeId="0" xr:uid="{00000000-0006-0000-1900-000004000000}">
      <text>
        <r>
          <rPr>
            <sz val="9"/>
            <color indexed="81"/>
            <rFont val="Tahoma"/>
            <family val="2"/>
          </rPr>
          <t xml:space="preserve">
Promedio 21 día laborables al mes</t>
        </r>
      </text>
    </comment>
    <comment ref="F11" authorId="0" shapeId="0" xr:uid="{00000000-0006-0000-1900-000005000000}">
      <text>
        <r>
          <rPr>
            <sz val="9"/>
            <color indexed="81"/>
            <rFont val="Tahoma"/>
            <family val="2"/>
          </rPr>
          <t xml:space="preserve">
Promedio 8,8 horas laborables al día</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A00-000001000000}">
      <text>
        <r>
          <rPr>
            <sz val="9"/>
            <color indexed="81"/>
            <rFont val="Tahoma"/>
            <family val="2"/>
          </rPr>
          <t xml:space="preserve">
Subdirección Participación y Cultura</t>
        </r>
      </text>
    </comment>
    <comment ref="A50" authorId="0" shapeId="0" xr:uid="{00000000-0006-0000-1A00-000002000000}">
      <text>
        <r>
          <rPr>
            <sz val="9"/>
            <color indexed="81"/>
            <rFont val="Tahoma"/>
            <family val="2"/>
          </rPr>
          <t xml:space="preserve">
Inflación anual vigencia anterior certificada por el DANE</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C00-000001000000}">
      <text>
        <r>
          <rPr>
            <sz val="9"/>
            <color indexed="81"/>
            <rFont val="Tahoma"/>
            <family val="2"/>
          </rPr>
          <t>Dirección general</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C10" authorId="0" shapeId="0" xr:uid="{00000000-0006-0000-1F00-000001000000}">
      <text>
        <r>
          <rPr>
            <sz val="9"/>
            <color indexed="81"/>
            <rFont val="Tahoma"/>
            <family val="2"/>
          </rPr>
          <t xml:space="preserve">
32% - 2020
31% - 2021
30% - 2020</t>
        </r>
      </text>
    </comment>
    <comment ref="C14" authorId="0" shapeId="0" xr:uid="{00000000-0006-0000-1F00-000002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17" authorId="0" shapeId="0" xr:uid="{00000000-0006-0000-1F00-000003000000}">
      <text>
        <r>
          <rPr>
            <sz val="9"/>
            <color indexed="81"/>
            <rFont val="Tahoma"/>
            <family val="2"/>
          </rPr>
          <t xml:space="preserve">
32% - 2020
31% - 2021
30% - 2020</t>
        </r>
      </text>
    </comment>
    <comment ref="C21" authorId="0" shapeId="0" xr:uid="{00000000-0006-0000-1F00-000004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25" authorId="0" shapeId="0" xr:uid="{00000000-0006-0000-1F00-000005000000}">
      <text>
        <r>
          <rPr>
            <sz val="9"/>
            <color indexed="81"/>
            <rFont val="Tahoma"/>
            <family val="2"/>
          </rPr>
          <t xml:space="preserve">
32% - 2020
31% - 2021
30% - 2020</t>
        </r>
      </text>
    </comment>
    <comment ref="C34" authorId="0" shapeId="0" xr:uid="{00000000-0006-0000-1F00-000006000000}">
      <text>
        <r>
          <rPr>
            <sz val="9"/>
            <color indexed="81"/>
            <rFont val="Tahoma"/>
            <family val="2"/>
          </rPr>
          <t xml:space="preserve">
Aún no se ha adoptado a nivel departamental</t>
        </r>
      </text>
    </comment>
    <comment ref="C37" authorId="0" shapeId="0" xr:uid="{00000000-0006-0000-1F00-000007000000}">
      <text>
        <r>
          <rPr>
            <sz val="9"/>
            <color indexed="81"/>
            <rFont val="Tahoma"/>
            <family val="2"/>
          </rPr>
          <t xml:space="preserve">
32% - 2020
31% - 2021
30% - 2020</t>
        </r>
      </text>
    </comment>
    <comment ref="C41" authorId="0" shapeId="0" xr:uid="{00000000-0006-0000-1F00-000008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2" authorId="0" shapeId="0" xr:uid="{00000000-0006-0000-1F00-000009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3" authorId="0" shapeId="0" xr:uid="{00000000-0006-0000-1F00-00000A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4" authorId="0" shapeId="0" xr:uid="{00000000-0006-0000-1F00-00000B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5" authorId="0" shapeId="0" xr:uid="{00000000-0006-0000-1F00-00000C000000}">
      <text>
        <r>
          <rPr>
            <sz val="9"/>
            <color indexed="81"/>
            <rFont val="Tahoma"/>
            <family val="2"/>
          </rPr>
          <t xml:space="preserve">
Diligenciar, con la tarifa estipulada por la entidad territorial en el acto administrativo (acuerdo) mediante el cual se adoptó la Estampilla en su jurisdicción</t>
        </r>
      </text>
    </comment>
  </commentList>
</comments>
</file>

<file path=xl/sharedStrings.xml><?xml version="1.0" encoding="utf-8"?>
<sst xmlns="http://schemas.openxmlformats.org/spreadsheetml/2006/main" count="3263" uniqueCount="1415">
  <si>
    <t>SISTEMA DE GESTIÓN INTEGRAL - SGI</t>
  </si>
  <si>
    <t>INSTRUCTIVO - COMPONENTE FINANCIERO EP</t>
  </si>
  <si>
    <t>CÓDIGO: F-PGC-21</t>
  </si>
  <si>
    <t>VERSIÓN: 02</t>
  </si>
  <si>
    <t>Color</t>
  </si>
  <si>
    <t>Hoja</t>
  </si>
  <si>
    <t>Celda</t>
  </si>
  <si>
    <t>Gris</t>
  </si>
  <si>
    <t>Informativa</t>
  </si>
  <si>
    <t>Azul</t>
  </si>
  <si>
    <t>Protegida</t>
  </si>
  <si>
    <t>Vinotinto</t>
  </si>
  <si>
    <t>Formatos</t>
  </si>
  <si>
    <t>Morado</t>
  </si>
  <si>
    <t>Variables</t>
  </si>
  <si>
    <t>Para un mejor diligenciamiento de los formatos y uso de las variables y hojas informativas que se encuentran en este libro, se recomienda, antes de empezar a diligenciar, leer el instructivo, que se encuentra consignado en la presente hoja, igualmente, cada hoja contiene un número significativo de comentarios, los cuales, pretenden ayudar al diligenciamiento, se recomienda leerlos y aplicarlos de manera atenta. 
En caso de requerir apoyo, favor comunicarse con el asesor(a) financiero(a) asignado para el proceso.</t>
  </si>
  <si>
    <t>HOJAS INFORMATIVAS</t>
  </si>
  <si>
    <t>Nombre</t>
  </si>
  <si>
    <t>Descripción</t>
  </si>
  <si>
    <t>Cuantías de contratación (por pluralidad de oferentes)</t>
  </si>
  <si>
    <t>En la hoja se encuentran los valores establecidos anualmente, para identificar dentro de la contratación por pluralidad de oferentes, de acuerdo al valor del presupuesto, si se clasifica dentro de una mínima cuantía, menor cuantía o licitación pública, en los casos que aplique.</t>
  </si>
  <si>
    <t>Documentos de apoyo</t>
  </si>
  <si>
    <t>En la hoja se encuentran listas enunciativas de documentos de apoyo, que pueden presentar interés, al igual, que guíar el accionar en el ámbito general de la contratación pública y específico de la asesoría financiera a la misma.
Se deberá considerar que las listas no son exhaustivas, es decir, no contemplan todos los documentos de cada categoría, al igual, que depende de la actualización constante de la Subdirección Administrativa y Financiera.</t>
  </si>
  <si>
    <t>Impuestos y garantías</t>
  </si>
  <si>
    <t>En la hoja se encuentra una lista enunciativa de los impuestos y las garantías en los que puede incurrir el ejecutor, las cuales dependen de la especificidad del proceso. 
La lista es de carácter informativa en caso que se emitan consultas al respecto.</t>
  </si>
  <si>
    <t>Información anticipos y pagos anticipados</t>
  </si>
  <si>
    <t>En la hoja se encuentra una corta explicación sobre la consideración normativa de los anticipos y pagos anticipados, que tiene como objeto orientar respecto a este tema de frecuente consulta e inquietud; tema sobre el cual, se requiere tener claridad para la estipulación de la ejecución física y financiera de los procesos.</t>
  </si>
  <si>
    <t>Información procesos de obra pública y capacidad residual (K)</t>
  </si>
  <si>
    <t>En la hoja se encuentra una corta explicación sobre los procesos de obra, y el cálculo de la capacidad residual (K) en los casos que se requiera, que tiene como objeto suministrar información de interés general respecto a este tema de frecuente consulta e inquietud; tener en cuenta que este tema es de competencia tanto jurídica como técnica y financiera.</t>
  </si>
  <si>
    <t>Información IVA</t>
  </si>
  <si>
    <t>En la hoja se encuentra una corta explicación sobre las consideraciones respecto al IVA, que tiene como objeto orientar respecto a este tema de frecuente consulta e inquietud.</t>
  </si>
  <si>
    <t>Notas propuesta económica</t>
  </si>
  <si>
    <t>En la hoja se encuentra una lista enunciativa de notas, las cuales deberán ser elegidas de acuerdo a la especificidad del proceso contractual, con el fin de incluirlas en el formato de propuesta económica. 
Las notas tienen como objeto orientar a los oferentes en el diligenciamiento de dicho formato.</t>
  </si>
  <si>
    <t>Requisitos habilitantes capacidad financiera y organizacional</t>
  </si>
  <si>
    <t>En la hoja se encuentran los requisitos de capacidad financiera y organizacional vigentes</t>
  </si>
  <si>
    <t>FORMATOS (PARA DILIGENCIAR)</t>
  </si>
  <si>
    <t>DILIGENCIAR EN CASO DE:</t>
  </si>
  <si>
    <t>Contratos por contratación directa</t>
  </si>
  <si>
    <t>Contratos por pluralidad de oferentes</t>
  </si>
  <si>
    <t>Convenios</t>
  </si>
  <si>
    <t>DILIGENCIAR PARA EVALUACIÓN POR PARTE DEL COMITÉ DE CONTRATACIÓN (Asesor técnico)</t>
  </si>
  <si>
    <r>
      <t xml:space="preserve">Se recomienda que el asesor técnico para la planeación financiera del proceso contractual, empiece con el diligenciamiento paralelo de la memoria de cálculo con su debido estudio de mercado, para seguir con la estipulación de los gastos de administración, si aplican. En un segundo momento, se recomienda diligenciar, el presupuesto de acuerdo a la modalidad del proceso, y el plan de ejecución física y de inversiones. El técnico podrá anexar al presente libro las hojas que considere necesarias con el fin de suportar la estimación de los valores.
</t>
    </r>
    <r>
      <rPr>
        <b/>
        <sz val="10"/>
        <rFont val="Arial"/>
        <family val="2"/>
      </rPr>
      <t>NOTA:</t>
    </r>
    <r>
      <rPr>
        <sz val="10"/>
        <rFont val="Arial"/>
        <family val="2"/>
      </rPr>
      <t xml:space="preserve"> Se recomienda iniciar escribiendo en el formato del Plan de ejecución los datos básicos de modalidad de contratación y objeto a contratar, ya que está información alimenta a las demás hojas.</t>
    </r>
  </si>
  <si>
    <t>Plan de ejecución física y de inversiones</t>
  </si>
  <si>
    <t>Diligenciar la programación física y financiera del proceso, tanto en la étapa inicial, como en el caso de solicitud de Otrosí de adición de recursos o prórroga, o cuando el Otrosí de modificación implique cambios en el presupuesto.</t>
  </si>
  <si>
    <t>X</t>
  </si>
  <si>
    <t>Plan de ejecución física y de inversiones - Prestación de Servicios Personales</t>
  </si>
  <si>
    <t>Diligenciar exclusivamente para los contratos de Prestación de Servicios Personales que suscribe la Corporación con una persona natural. Este formato simplificado permite la programación física y financiera del proceso, tanto en la étapa inicial, como en el caso de solicitud de Otrosí de adición de recursos o prórroga, o cuando el Otrosí de modificación implique cambios en el presupuesto.</t>
  </si>
  <si>
    <t>Presupuesto - Modalidad contrato</t>
  </si>
  <si>
    <t>Diligenciar en caso que el proceso se tipifique dentro de las modalidades de contratos. El presupuesto es un documento donde se plasman los recursos económicos requeridos para llevar a cabo de manera exitosa el proceso contractual.</t>
  </si>
  <si>
    <t>Presupuesto - Modalidad contrato - Prestación de Servicios Personales</t>
  </si>
  <si>
    <t>Diligenciar exclusivamente para los contratos de Prestación de Servicios Personales que suscribe la Corporación con una persona natural. En este formato simplificado se plasma el presupuesto, donde se relacionan los recursos económicos requeridos para llevar a cabo de manera exitosa el proceso contractual.</t>
  </si>
  <si>
    <t>Presupuesto - Modalidad convenio</t>
  </si>
  <si>
    <t>Diligenciar en caso que el proceso se tipifique dentro de las modalidades de convenios. El presupuesto es un documento donde se plasman los recursos económicos requeridos para llevar a cabo de manera exitosa el proceso contractual.</t>
  </si>
  <si>
    <t>Memoria de cálculo - Opción 1</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</si>
  <si>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la compra de productos terminados, bienes con características homogéneas, o bienes y servicios que se valoren a todo costo, entre otras opciones, por ejemplo: compra de equipos o insumos.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</si>
  <si>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Se seleccionará el formato de memoria de cálculo que mejor se adapte a las características del proceso, alcance y/o actividad a valorar.</t>
  </si>
  <si>
    <t>Memoria de cálculo - Opción 2</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</si>
  <si>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los procesos de obra.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</si>
  <si>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Memoria de cálculo - Opción 3</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</si>
  <si>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procesos que requieran detallar todos los elementos del costo, por ejemplo, realización de talleres, donde se debe considerar los materiales, los refrigerios, alquiler de equipos, entre otros.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</si>
  <si>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Estudio de mercado</t>
  </si>
  <si>
    <t>Un estudio de mercado es el proceso mediante el cual, se recoge y análiza información que sirve para identificar las características, valores y condiciones del bien o servicio a adquirir, con el fin de obtenerlos acuerdo a las estipulaciones del mercado, bajo el principio de plena competencia. 
En la corporación el estudio de mercado se realiza mediante la identificación de valores por medio de cotizaciones debidamente radicadas, valores históricos de los bienes y servicios de interés, recolección de información de sitios de internet soportados con los debidos pantallazos, y demás información de diferentes fuentes con sus correspondientes medios de verificación. El estudio de mercado no se puede confundir con el estudio de sector, este último, requerido solo para algunos procesos contractuales.
En el estudio de mercado, pueden hacer parte, debidamente soportados o en todo caso que permita realizar la trazabilidad, los valores establecidos en otros procesos contractuales para los mismos bienes y servicios, de la misma vigencia o de anteriores vigencias, en caso de utilizar valores de vigencias anteriores se deberá realizar la respectiva actualización con la inflación anual de la o las vigencias pasadas.</t>
  </si>
  <si>
    <t>Determinación de gastos de administración</t>
  </si>
  <si>
    <t>Diligenciar para determinar el porcentaje de los gastos de administración o administración del proceso, de acuerdo a las características del mismo, considerando no tener duplicidad en ítems ya contemplados en el presupuesto general del proceso.</t>
  </si>
  <si>
    <t>Identificación de bienes nacionales relevantes</t>
  </si>
  <si>
    <t xml:space="preserve">Diligenciar para identificar los bienes nacionales relevantes en los procesos que apliquen. </t>
  </si>
  <si>
    <t>DILIGENCIAR COMO PARTE DE LOS DOCUMENTOS A SUBIR A LA PLATAFORMA SECOP (Asesor financiero)</t>
  </si>
  <si>
    <t>Propuesta económica - Opción 1</t>
  </si>
  <si>
    <t>Diligenciar con el objeto de suministrarle a los oferentes la estructura y condiciones de la presentación de las respectivas propuestas económicas, se recomienda su uso para procesos que se hayan planeado en el formato memoria de cálculo - opción 1.</t>
  </si>
  <si>
    <t>Propuesta económica - Opción 2</t>
  </si>
  <si>
    <t>Diligenciar con el objeto de suministrarle a los oferentes la estructura y condiciones de la presentación de las respectivas propuestas económicas, se recomienda su uso para procesos que se hayan planeado en el formato memoria de cálculo - opción 2.</t>
  </si>
  <si>
    <t>Propuesta económica - Opción 3</t>
  </si>
  <si>
    <t>Diligenciar con el objeto de suministrarle a los oferentes la estructura y condiciones de la presentación de las respectivas propuestas económicas, se recomienda su uso para procesos que se hayan planeado en el formato memoria de cálculo - opción 3.</t>
  </si>
  <si>
    <t>Estimación PAB comparación absoluta</t>
  </si>
  <si>
    <t>Diligenciar con el objeto realizar el acta del Precio Artificialmente Bajo (PAB). La cual, se elabora paralelamente con el formato de propuesta económica para el proceso.</t>
  </si>
  <si>
    <t>DILIGENCIAR PARA EVALUACIÓN FINANCIERA DE OFERENTES (Asesor financiero)</t>
  </si>
  <si>
    <t>Verificación de requisitos habilitantes de los proponentes sobre capacidad financiera y organizacional</t>
  </si>
  <si>
    <t>Diligenciar con el fin de consignar la verificación de los requisitos habilitantes de los proponentes, sobre capacidad financiera y organizacional, en los casos que apliquen.</t>
  </si>
  <si>
    <t>Estimación PAB comparación relativa</t>
  </si>
  <si>
    <t>Diligenciar solamente en el caso que sea necesario aplicar la metodología de comparación relativa, es decir, cuando se hayan presentado más de 5 ofertas, con el fin de evaluar los PAB de los oferentes.</t>
  </si>
  <si>
    <t>DILIGENCIAR EN CASO DE PROCESOS DE SELECCIÓN ABREVIADA POR SUBASTA INVERSA (Asesor financiero)</t>
  </si>
  <si>
    <t>Subasta inversa - Análisis de habilitados</t>
  </si>
  <si>
    <t>Diligenciar (de manera física o virtual) en caso de realizarse una subasta inversa</t>
  </si>
  <si>
    <t>Subasta inversa presencial - Análisis de lances</t>
  </si>
  <si>
    <t>Diligenciar (de manera física o virtual) en caso de realizarse una subasta inversa presencial</t>
  </si>
  <si>
    <t>Subasta inversa presencial - Lances de precios</t>
  </si>
  <si>
    <t>Imprimir para diligenciar de manera física por parte de los oferentes, en caso de realizarse una subasta inversa presencial</t>
  </si>
  <si>
    <t>Subasta inversa presencial - Declinación de lances</t>
  </si>
  <si>
    <t>VARIABLES (ESTIPULACIÓN DE VALORES DE CARÁCTER CORPORATIVO)</t>
  </si>
  <si>
    <t>Valores de gastos de desplazamiento y manutención</t>
  </si>
  <si>
    <t>Determinación de los valores de los gastos de desplazamiento (transporte) y manutención (alimentación y/o alojamiento) a reconocer en las comisiones que se requieran realizar en la ejecución del proceso contractual.</t>
  </si>
  <si>
    <t>Valores de honorarios (prestadores de servicios)</t>
  </si>
  <si>
    <t>Determinación de los valores para el reconocimiento de los honorarios a pagar en el caso de vinculación por contrato de prestación de servicios personales (contrato civil).</t>
  </si>
  <si>
    <t>Valores de jornales</t>
  </si>
  <si>
    <t>Determinación de los valores para el reconocimiento del pago, cuando el mismo se realiza de manera diaria al trabajador.</t>
  </si>
  <si>
    <t>Valores de salarios</t>
  </si>
  <si>
    <t>Determinación de los valores de los salarios percibidos por el personal con vinculación laboral a la corporación, estos valores se utilizan únicamente para cuantificar el aporte en especie corporativo de su personal, en los casos que aplique.</t>
  </si>
  <si>
    <t>Valores de alimentación</t>
  </si>
  <si>
    <t>Determinación de los valores a reconocer por el suministro de alimentación, tales como refrigerios y almuerzos, entre otros.</t>
  </si>
  <si>
    <t>Valores de distintivos corporativos</t>
  </si>
  <si>
    <t xml:space="preserve">Determinación de los valores a reconocer por el suministro de distintivos corporativos, tales como gorras, pavas, camisetas, chalecos, entre otros. </t>
  </si>
  <si>
    <r>
      <rPr>
        <b/>
        <u/>
        <sz val="10"/>
        <rFont val="Arial"/>
        <family val="2"/>
      </rPr>
      <t>Nota 1</t>
    </r>
    <r>
      <rPr>
        <sz val="10"/>
        <rFont val="Arial"/>
        <family val="2"/>
      </rPr>
      <t>: El presente libro en excel contiene los formatos y variables de frecuente y general uso para la planeación financiera de los procesos contractuales de la entidad, los mismos se diligenciarán y utilizarán de acuerdo a la especificidad del proceso, el diligenciamiento es de responsabilidad del técnico del proceso (a excepción de los formatos donde expresamente se señale que el diligenciamiento es por el asesor financiero), el cual, tendrá acompañamiento por parte del respectivo asesor financiero del proceso. 
En caso de no requerir una o varias hojas del presente libro, favor ocultarlas (no eliminarlas).</t>
    </r>
  </si>
  <si>
    <r>
      <rPr>
        <b/>
        <u/>
        <sz val="10"/>
        <rFont val="Arial"/>
        <family val="2"/>
      </rPr>
      <t>Nota 2</t>
    </r>
    <r>
      <rPr>
        <sz val="10"/>
        <rFont val="Arial"/>
        <family val="2"/>
      </rPr>
      <t xml:space="preserve">: En los contratos por pluralidad de oferentes al momento de subir el presente libro a la plataforma SECOP, el asesor jurídico y el asesor técnico deberán coordinar con el asesor financiero las hojas del presente libro a publicar y su debida protección, considerando que se recomienda dejar visibles las hojas que hayan sido diligenciadas o se hayan utilizado para el diligenciamiento del presupuesto y el soporte de las estimaciones del mismo, en los casos que se puedan, lo que implica que las demás hojas se deben ocultar, y el libro proteger, con el fin de evitar confusiones innecesarias a los posibles oferentes. 
Así mismo, con el fin de proporcionarles claridades a las oferentes, se publicará la hoja de propuesta económica que estos deben diligenciar aparte del libro con las hojas de la planeación del proceso, y se debe ocultar la hoja de la estimación del PAB por comparación absoluta.
</t>
    </r>
    <r>
      <rPr>
        <b/>
        <u/>
        <sz val="10"/>
        <rFont val="Arial"/>
        <family val="2"/>
      </rPr>
      <t>En todo caso, para la publicación de la información, se debe considerar lo dispuesto en el Decreto 1510 de 2013 artículos 19 y 20.</t>
    </r>
  </si>
  <si>
    <r>
      <rPr>
        <b/>
        <u/>
        <sz val="10"/>
        <rFont val="Arial"/>
        <family val="2"/>
      </rPr>
      <t>Nota 3</t>
    </r>
    <r>
      <rPr>
        <sz val="10"/>
        <rFont val="Arial"/>
        <family val="2"/>
      </rPr>
      <t xml:space="preserve">: La actualización del presente libro es responsabilidad de la Subdirección Administrativa y Financiera, quien actualizará los formatos en caso de alguna novedad, y actualizará las variables a inicio de cada año con la expedición del respectivo memorando, en caso de las variables que se actualicen por parte de otras dependencias, por ejemplo, costos de alimentación por parte de la Subdirección de Cultura y Participación, o Distintivos por parte de la Subdirección de Comunicaciones, la Subdirección Administrativa y Financiera actualizará la variable posterior a que la subdirección encargada emita el memorando, para estos casos, si hay cambio de vigencia (de un año a otro), se utilizará el valor que actualmente esté establecido por memorando, actualizado con la inflación anual de la o las vigencias pasadas, cifra a expresar redondeada a la centena más cercana. </t>
    </r>
  </si>
  <si>
    <t>Instructivo</t>
  </si>
  <si>
    <t>COMPONENTE FINANCIERO  EP - PLAN DE EJECUCIÓN FÍSICA Y DE INVERSIONES</t>
  </si>
  <si>
    <t>VERSIÓN: 03</t>
  </si>
  <si>
    <t>MODALIDAD DE CONTRATACIÓN:</t>
  </si>
  <si>
    <t>CONTRATACIÓN DIRECTA</t>
  </si>
  <si>
    <t>OBJETO A CONTRATAR:</t>
  </si>
  <si>
    <t xml:space="preserve"> "“SOPORTE, MANTENIMIENTO Y ACTUALIZACIÓN DEL VISOR GEOGRÁFICO – AÑO 2025"</t>
  </si>
  <si>
    <t>CONTRATISTA/CONVENIANTE:</t>
  </si>
  <si>
    <t>H Y G CONSULTORES SAS</t>
  </si>
  <si>
    <t>NOMBRE DEL TÉCNICO (A):</t>
  </si>
  <si>
    <t>Isabel Cristina Buritica Mira</t>
  </si>
  <si>
    <t xml:space="preserve">DURACIÓN Y/O PLAZO DEL CONTRATO (MESES):  </t>
  </si>
  <si>
    <t>Doce  (12) meses</t>
  </si>
  <si>
    <t xml:space="preserve">PERIODO DE PROGRAMACIÓN Y SEGUIMIENTO:  </t>
  </si>
  <si>
    <t>Trimestral</t>
  </si>
  <si>
    <t>PROGRAMACIÓN FÍSICA</t>
  </si>
  <si>
    <t>% de importancia</t>
  </si>
  <si>
    <t>% de importancia subactividades</t>
  </si>
  <si>
    <t>Unidad de medida</t>
  </si>
  <si>
    <t xml:space="preserve">Cantidad Programada  </t>
  </si>
  <si>
    <t xml:space="preserve">Distribución física </t>
  </si>
  <si>
    <t>Período 1</t>
  </si>
  <si>
    <t>Período 2</t>
  </si>
  <si>
    <t>Período 3</t>
  </si>
  <si>
    <t>Período 4</t>
  </si>
  <si>
    <t>Período 5</t>
  </si>
  <si>
    <t>Período 6</t>
  </si>
  <si>
    <t>Período 7</t>
  </si>
  <si>
    <t>Período 8</t>
  </si>
  <si>
    <t>Período 9</t>
  </si>
  <si>
    <t>Período 10</t>
  </si>
  <si>
    <t>Período 11</t>
  </si>
  <si>
    <t>Período 12</t>
  </si>
  <si>
    <t>Período 13</t>
  </si>
  <si>
    <t>Período 14</t>
  </si>
  <si>
    <t>Período 15</t>
  </si>
  <si>
    <t>Período 16</t>
  </si>
  <si>
    <t>Período 17</t>
  </si>
  <si>
    <t>Período 18</t>
  </si>
  <si>
    <t>Período 19</t>
  </si>
  <si>
    <t>Período 20</t>
  </si>
  <si>
    <t>Período 21</t>
  </si>
  <si>
    <t>Período 22</t>
  </si>
  <si>
    <t>Período 23</t>
  </si>
  <si>
    <t>Período 24</t>
  </si>
  <si>
    <t>META/
PRODUCTO A OBTENER:</t>
  </si>
  <si>
    <t xml:space="preserve"> "SOPORTE, MANTENIMIENTO Y ACTUALIZACIÓN 
DEL VISOR GEOGRÁFICO – AÑO 2025"</t>
  </si>
  <si>
    <t>Informe Consolidado</t>
  </si>
  <si>
    <t>Alcance 1</t>
  </si>
  <si>
    <t>Licenciamiento y actualización del Geoportal.</t>
  </si>
  <si>
    <t>Licencia</t>
  </si>
  <si>
    <t>Actividad 1.1</t>
  </si>
  <si>
    <t>Subactividad 1.1.1</t>
  </si>
  <si>
    <t>Subactividad 1.1.2</t>
  </si>
  <si>
    <t>Subactividad 1.1.3</t>
  </si>
  <si>
    <t>Subactividad 1.1.4</t>
  </si>
  <si>
    <t>Subactividad 1.1.5</t>
  </si>
  <si>
    <t>Actividad 1.2</t>
  </si>
  <si>
    <t>Subactividad 1.2.1</t>
  </si>
  <si>
    <t>Subactividad 1.2.2</t>
  </si>
  <si>
    <t>Subactividad 1.2.3</t>
  </si>
  <si>
    <t>Subactividad 1.2.4</t>
  </si>
  <si>
    <t>Subactividad 1.2.5</t>
  </si>
  <si>
    <t>Actividad 1.3</t>
  </si>
  <si>
    <t>Subactividad 1.3.1</t>
  </si>
  <si>
    <t>Subactividad 1.3.2</t>
  </si>
  <si>
    <t>Subactividad 1.3.3</t>
  </si>
  <si>
    <t>Subactividad 1.3.4</t>
  </si>
  <si>
    <t>Subactividad 1.3.5</t>
  </si>
  <si>
    <t>Actividad 1.4</t>
  </si>
  <si>
    <t>Subactividad 1.4.1</t>
  </si>
  <si>
    <t>Subactividad 1.4.2</t>
  </si>
  <si>
    <t>Subactividad 1.4.3</t>
  </si>
  <si>
    <t>Subactividad 1.4.4</t>
  </si>
  <si>
    <t>Subactividad 1.4.5</t>
  </si>
  <si>
    <t>Actividad 1.5</t>
  </si>
  <si>
    <t>Subactividad 1.5.1</t>
  </si>
  <si>
    <t>Subactividad 1.5.2</t>
  </si>
  <si>
    <t>Subactividad 1.5.3</t>
  </si>
  <si>
    <t>Subactividad 1.5.4</t>
  </si>
  <si>
    <t>Subactividad 1.5.5</t>
  </si>
  <si>
    <t>Alcance 2</t>
  </si>
  <si>
    <t>Soporte y mantenimiento del sistema con mesa de ayuda (lun-vie 6: am - 5:00 pm)</t>
  </si>
  <si>
    <t>Meses</t>
  </si>
  <si>
    <t>Actividad 2.1</t>
  </si>
  <si>
    <t>Subactividad 2.1.1</t>
  </si>
  <si>
    <t>Subactividad 2.1.2</t>
  </si>
  <si>
    <t>Subactividad 2.1.3</t>
  </si>
  <si>
    <t>Subactividad 2.1.4</t>
  </si>
  <si>
    <t>Subactividad 2.1.5</t>
  </si>
  <si>
    <t>Actividad 2.2</t>
  </si>
  <si>
    <t>Subactividad 2.2.1</t>
  </si>
  <si>
    <t>Subactividad 2.2.2</t>
  </si>
  <si>
    <t>Subactividad 2.2.3</t>
  </si>
  <si>
    <t>Subactividad 2.2.4</t>
  </si>
  <si>
    <t>Subactividad 2.2.5</t>
  </si>
  <si>
    <t>Actividad 2.3</t>
  </si>
  <si>
    <t>Subactividad 2.3.1</t>
  </si>
  <si>
    <t>Subactividad 2.3.2</t>
  </si>
  <si>
    <t>Subactividad 2.3.3</t>
  </si>
  <si>
    <t>Subactividad 2.3.4</t>
  </si>
  <si>
    <t>Subactividad 2.3.5</t>
  </si>
  <si>
    <t>Actividad 2.4</t>
  </si>
  <si>
    <t>Subactividad 2.4.1</t>
  </si>
  <si>
    <t>Subactividad 2.4.2</t>
  </si>
  <si>
    <t>Subactividad 2.4.3</t>
  </si>
  <si>
    <t>Subactividad 2.4.4</t>
  </si>
  <si>
    <t>Subactividad 2.4.5</t>
  </si>
  <si>
    <t>Actividad 2.5</t>
  </si>
  <si>
    <t>Subactividad 2.5.1</t>
  </si>
  <si>
    <t>Subactividad 2.5.2</t>
  </si>
  <si>
    <t>Subactividad 2.5.3</t>
  </si>
  <si>
    <t>Subactividad 2.5.4</t>
  </si>
  <si>
    <t>Subactividad 2.5.5</t>
  </si>
  <si>
    <t>Alcance 3</t>
  </si>
  <si>
    <t>Trasferencia de conocimiento</t>
  </si>
  <si>
    <t>Horas</t>
  </si>
  <si>
    <t>Actividad 3.1</t>
  </si>
  <si>
    <t>Subactividad 3.1.1</t>
  </si>
  <si>
    <t>Subactividad 3.1.2</t>
  </si>
  <si>
    <t>Subactividad 3.1.3</t>
  </si>
  <si>
    <t>Subactividad 3.1.4</t>
  </si>
  <si>
    <t>Subactividad 3.1.5</t>
  </si>
  <si>
    <t>Actividad 3.2</t>
  </si>
  <si>
    <t>Subactividad 3.2.1</t>
  </si>
  <si>
    <t>Subactividad 3.2.2</t>
  </si>
  <si>
    <t>Subactividad 3.2.3</t>
  </si>
  <si>
    <t>Subactividad 3.2.4</t>
  </si>
  <si>
    <t>Subactividad 3.2.5</t>
  </si>
  <si>
    <t>Actividad 3.3</t>
  </si>
  <si>
    <t>Subactividad 3.3.1</t>
  </si>
  <si>
    <t>Subactividad 3.3.2</t>
  </si>
  <si>
    <t>Subactividad 3.3.3</t>
  </si>
  <si>
    <t>Subactividad 3.3.4</t>
  </si>
  <si>
    <t>Subactividad 3.3.5</t>
  </si>
  <si>
    <t>Actividad 3.4</t>
  </si>
  <si>
    <t>Subactividad 3.4.1</t>
  </si>
  <si>
    <t>Subactividad 3.4.2</t>
  </si>
  <si>
    <t>Subactividad 3.4.3</t>
  </si>
  <si>
    <t>Subactividad 3.4.4</t>
  </si>
  <si>
    <t>Subactividad 3.4.5</t>
  </si>
  <si>
    <t>Actividad 3.5</t>
  </si>
  <si>
    <t>Subactividad 3.5.1</t>
  </si>
  <si>
    <t>Subactividad 3.5.2</t>
  </si>
  <si>
    <t>Subactividad 3.5.3</t>
  </si>
  <si>
    <t>Subactividad 3.5.4</t>
  </si>
  <si>
    <t>Subactividad 3.5.5</t>
  </si>
  <si>
    <t>Alcance 4</t>
  </si>
  <si>
    <t>Actividad 4.1</t>
  </si>
  <si>
    <t>Subactividad 4.1.1</t>
  </si>
  <si>
    <t>Subactividad 4.1.2</t>
  </si>
  <si>
    <t>Subactividad 4.1.3</t>
  </si>
  <si>
    <t>Subactividad 4.1.4</t>
  </si>
  <si>
    <t>Subactividad 4.1.5</t>
  </si>
  <si>
    <t>Actividad 4.2</t>
  </si>
  <si>
    <t>Subactividad 4.2.1</t>
  </si>
  <si>
    <t>Subactividad 4.2.2</t>
  </si>
  <si>
    <t>Subactividad 4.2.3</t>
  </si>
  <si>
    <t>Subactividad 4.2.4</t>
  </si>
  <si>
    <t>Subactividad 4.2.5</t>
  </si>
  <si>
    <t>Actividad 4.3</t>
  </si>
  <si>
    <t>Subactividad 4.3.1</t>
  </si>
  <si>
    <t>Subactividad 4.3.2</t>
  </si>
  <si>
    <t>Subactividad 4.3.3</t>
  </si>
  <si>
    <t>Subactividad 4.3.4</t>
  </si>
  <si>
    <t>Subactividad 4.3.5</t>
  </si>
  <si>
    <t>Actividad 4.4</t>
  </si>
  <si>
    <t>Subactividad 4.4.1</t>
  </si>
  <si>
    <t>Subactividad 4.4.2</t>
  </si>
  <si>
    <t>Subactividad 4.4.3</t>
  </si>
  <si>
    <t>Subactividad 4.4.4</t>
  </si>
  <si>
    <t>Subactividad 4.4.5</t>
  </si>
  <si>
    <t>Actividad 4.5</t>
  </si>
  <si>
    <t>Subactividad 4.5.1</t>
  </si>
  <si>
    <t>Subactividad 4.5.2</t>
  </si>
  <si>
    <t>Subactividad 4.5.3</t>
  </si>
  <si>
    <t>Subactividad 4.5.4</t>
  </si>
  <si>
    <t>Subactividad 4.5.5</t>
  </si>
  <si>
    <t>Alcance 5</t>
  </si>
  <si>
    <t>Actividad 5.1</t>
  </si>
  <si>
    <t>Subactividad 5.1.1</t>
  </si>
  <si>
    <t>Subactividad 5.1.2</t>
  </si>
  <si>
    <t>Subactividad 5.1.3</t>
  </si>
  <si>
    <t>Subactividad 5.1.4</t>
  </si>
  <si>
    <t>Subactividad 5.1.5</t>
  </si>
  <si>
    <t>Actividad 5.2</t>
  </si>
  <si>
    <t>Subactividad 5.2.1</t>
  </si>
  <si>
    <t>Subactividad 5.2.2</t>
  </si>
  <si>
    <t>Subactividad 5.2.3</t>
  </si>
  <si>
    <t>Subactividad 5.2.4</t>
  </si>
  <si>
    <t>Subactividad 5.2.5</t>
  </si>
  <si>
    <t>Actividad 5.3</t>
  </si>
  <si>
    <t>Subactividad 5.3.1</t>
  </si>
  <si>
    <t>Subactividad 5.3.2</t>
  </si>
  <si>
    <t>Subactividad 5.3.3</t>
  </si>
  <si>
    <t>Subactividad 5.3.4</t>
  </si>
  <si>
    <t>Subactividad 5.3.5</t>
  </si>
  <si>
    <t>Actividad 5.4</t>
  </si>
  <si>
    <t>Subactividad 5.4.1</t>
  </si>
  <si>
    <t>Subactividad 5.4.2</t>
  </si>
  <si>
    <t>Subactividad 5.4.3</t>
  </si>
  <si>
    <t>Subactividad 5.4.4</t>
  </si>
  <si>
    <t>Subactividad 5.4.5</t>
  </si>
  <si>
    <t>Actividad 5.5</t>
  </si>
  <si>
    <t>Subactividad 5.5.1</t>
  </si>
  <si>
    <t>Subactividad 5.5.2</t>
  </si>
  <si>
    <t>Subactividad 5.5.3</t>
  </si>
  <si>
    <t>Subactividad 5.5.4</t>
  </si>
  <si>
    <t>Subactividad 5.5.5</t>
  </si>
  <si>
    <t>Alcance 6</t>
  </si>
  <si>
    <t>Actividad 6.1</t>
  </si>
  <si>
    <t>Subactividad 6.1.1</t>
  </si>
  <si>
    <t>Subactividad 6.1.2</t>
  </si>
  <si>
    <t>Subactividad 6.1.3</t>
  </si>
  <si>
    <t>Subactividad 6.1.4</t>
  </si>
  <si>
    <t>Subactividad 6.1.5</t>
  </si>
  <si>
    <t>Actividad 6.2</t>
  </si>
  <si>
    <t>Subactividad 6.2.1</t>
  </si>
  <si>
    <t>Subactividad 6.2.2</t>
  </si>
  <si>
    <t>Subactividad 6.2.3</t>
  </si>
  <si>
    <t>Subactividad 6.2.4</t>
  </si>
  <si>
    <t>Subactividad 6.2.5</t>
  </si>
  <si>
    <t>Actividad 6.3</t>
  </si>
  <si>
    <t>Subactividad 6.3.1</t>
  </si>
  <si>
    <t>Subactividad 6.3.2</t>
  </si>
  <si>
    <t>Subactividad 6.3.3</t>
  </si>
  <si>
    <t>Subactividad 6.3.4</t>
  </si>
  <si>
    <t>Subactividad 6.3.5</t>
  </si>
  <si>
    <t>Actividad 6.4</t>
  </si>
  <si>
    <t>Subactividad 6.4.1</t>
  </si>
  <si>
    <t>Subactividad 6.4.2</t>
  </si>
  <si>
    <t>Subactividad 6.4.3</t>
  </si>
  <si>
    <t>Subactividad 6.4.4</t>
  </si>
  <si>
    <t>Subactividad 6.4.5</t>
  </si>
  <si>
    <t>Actividad 6.5</t>
  </si>
  <si>
    <t>Subactividad 6.5.1</t>
  </si>
  <si>
    <t>Subactividad 6.5.2</t>
  </si>
  <si>
    <t>Subactividad 6.5.3</t>
  </si>
  <si>
    <t>Subactividad 6.5.4</t>
  </si>
  <si>
    <t>Subactividad 6.5.5</t>
  </si>
  <si>
    <t xml:space="preserve">TOTAL </t>
  </si>
  <si>
    <t>ACUMULADO</t>
  </si>
  <si>
    <t xml:space="preserve">La programación financiera debe ser coherente con la programación física, todo pago que no sea soportado en la ejecución física efectiva y certificada es un anticipo o pago anticipado, de acuerdo al caso; para tener más información sobre anticipos y pagos anticipados remitirse a la hoja </t>
  </si>
  <si>
    <t>Información anticipos</t>
  </si>
  <si>
    <t>PROGRAMACIÓN FINANCIERA INICIAL</t>
  </si>
  <si>
    <t>Valor del contrato o convenio</t>
  </si>
  <si>
    <t>Valor aportado por Corantioquia</t>
  </si>
  <si>
    <t>Distribución de recursos del valor aportado por Corantioquia</t>
  </si>
  <si>
    <t>Porcentaje (%)</t>
  </si>
  <si>
    <t>Porcentaje Acumulado (%)</t>
  </si>
  <si>
    <t>Diligenciar esta información solo en caso de solicitud de Otrosí de adición de recursos o prórroga, o cuando el Otrosí de modificación implique cambios en el presupuesto.</t>
  </si>
  <si>
    <t>Valores ya ejecutados</t>
  </si>
  <si>
    <t>Porcentaje (%) PGAR</t>
  </si>
  <si>
    <t>Porcentaje Acumulado (%) PGAR</t>
  </si>
  <si>
    <t xml:space="preserve">PROGRAMACIÓN FINANCIERA EN CASO DE ADICIÓN DE RECURSOS O PRÓRROGA </t>
  </si>
  <si>
    <t>Valor total del contrato o convenio (incluida la adición)</t>
  </si>
  <si>
    <t>Valor de la adición aportado por Corantioquia</t>
  </si>
  <si>
    <t>Valor total aportado por Corantioquia  (incluida la adición)</t>
  </si>
  <si>
    <t>Total Valores</t>
  </si>
  <si>
    <t>Valores por ejecutar</t>
  </si>
  <si>
    <t>PORCENTAJE ACUMULADO (%) TOTAL</t>
  </si>
  <si>
    <t>Edgar Alexander Osorio Londoño</t>
  </si>
  <si>
    <t>Ambrosio Caicedo C</t>
  </si>
  <si>
    <t>GERENTE PROGRAMA</t>
  </si>
  <si>
    <t>COORDINADOR GIT TIC</t>
  </si>
  <si>
    <t>COMPONENTE FINANCIERO EP - PRESTACIÓN DE SERVICIOS PERSONALES</t>
  </si>
  <si>
    <t>Presupuesto - modalidad contrato - prestación de servicios personales</t>
  </si>
  <si>
    <t>CONTRATISTA:</t>
  </si>
  <si>
    <t>NOMBRE SUPERVISOR O INTERVENTOR:</t>
  </si>
  <si>
    <t xml:space="preserve">Valor del contrato </t>
  </si>
  <si>
    <t xml:space="preserve">Valor de la adición </t>
  </si>
  <si>
    <t>Valor total del contrato (incluida la adición)</t>
  </si>
  <si>
    <t>COORDINADOR GIT</t>
  </si>
  <si>
    <t xml:space="preserve"> "PRESTAR EL SERVICIO DE SOPORTE, MANTENIMIENTO Y ACTUALIZACIÓN  DEL PORTAL GEOGRÁFICO"</t>
  </si>
  <si>
    <t>H Y G CONSULTORES S.A</t>
  </si>
  <si>
    <t>Once y medio  (11.5) meses</t>
  </si>
  <si>
    <t>PRESTAR EL SERVICIO DE SOPORTE, MANTENIMIENTO Y ACTUALIZACIÓN DEL PORTAL GEOGRÁFICO</t>
  </si>
  <si>
    <t>Actualización del licenciamiento y mejoras de portal geográfico</t>
  </si>
  <si>
    <t>Soporte y Mantenimiento del sistema inlcuye Transferencia de conocimiento y mesa de ayuda.</t>
  </si>
  <si>
    <t>Modulo</t>
  </si>
  <si>
    <t>Módulo de Certificación Ambiental Ventanilla Minera</t>
  </si>
  <si>
    <t>Carlos Alberto Velásquez López</t>
  </si>
  <si>
    <t xml:space="preserve">PLAN </t>
  </si>
  <si>
    <t>mensual</t>
  </si>
  <si>
    <t>PRESUPUESTO - MODALIDAD CONTRATO</t>
  </si>
  <si>
    <t>COSTOS DE PERSONAL</t>
  </si>
  <si>
    <t>Recursos por alcance, actividad o subactividad</t>
  </si>
  <si>
    <t>Ítem</t>
  </si>
  <si>
    <t>Cantidad personal</t>
  </si>
  <si>
    <t>(%) Dedicación</t>
  </si>
  <si>
    <t>Cantidad</t>
  </si>
  <si>
    <t>Valor unitario base</t>
  </si>
  <si>
    <t>Factor prestacional</t>
  </si>
  <si>
    <t>Valor total</t>
  </si>
  <si>
    <t>(%) PP</t>
  </si>
  <si>
    <t>Mano de Obra Calificada</t>
  </si>
  <si>
    <t>Subtotal Mano de Obra calificada</t>
  </si>
  <si>
    <t>Mano de Obra No Calificada</t>
  </si>
  <si>
    <t>Subtotal Mano de Obra no Calificada</t>
  </si>
  <si>
    <t>SUBTOTAL PERSONAL (Mano de Obra Calificada + Mano de Obra no Calificada)</t>
  </si>
  <si>
    <t>COSTOS (Diferentes a los costos del personal)</t>
  </si>
  <si>
    <t>Valor unitario</t>
  </si>
  <si>
    <t>. Soporte y mantenimiento del sistema con mesa de ayuda.</t>
  </si>
  <si>
    <t>SUBTOTAL COSTOS (Diferentes a los costos del personal)</t>
  </si>
  <si>
    <t>SUBTOTAL (antes de AU e IVA)</t>
  </si>
  <si>
    <t>Administración</t>
  </si>
  <si>
    <t>Gastos de administración</t>
  </si>
  <si>
    <t>Utilidad</t>
  </si>
  <si>
    <t>IVA</t>
  </si>
  <si>
    <t>Info IVA</t>
  </si>
  <si>
    <t>TOTAL (incluido AU e IVA)</t>
  </si>
  <si>
    <t>RESUMEN POR CONCEPTO</t>
  </si>
  <si>
    <t>(%) PP (SUBTOTAL)</t>
  </si>
  <si>
    <t>(%) PP (TOTAL)</t>
  </si>
  <si>
    <t>NA</t>
  </si>
  <si>
    <t>RESUMEN POR ALCANCES, ACTIVIDADES O SUBACTIVIDADES</t>
  </si>
  <si>
    <t>Alcance, actividad o subactividad</t>
  </si>
  <si>
    <t>Subtotal (Costos de personal y diferentes de personal)</t>
  </si>
  <si>
    <t>Costos de administración Y/O utilidad si aplican</t>
  </si>
  <si>
    <t>IVA (Si aplica)</t>
  </si>
  <si>
    <t>TOTAL</t>
  </si>
  <si>
    <t>¿Es alcance de obra? (Si, No)</t>
  </si>
  <si>
    <t>PRESUPUESTO - MODALIDAD CONTRATO - PRESTACIÓN DE SERVICIOS PERSONALES</t>
  </si>
  <si>
    <t>Plan de ejecución física y de inversiones - prestación de servicios personales</t>
  </si>
  <si>
    <t>Mes</t>
  </si>
  <si>
    <t>Tabla de honorarios</t>
  </si>
  <si>
    <t>SUBTOTAL</t>
  </si>
  <si>
    <t>Solo aplica en caso que la persona natural sea responsable de IVA</t>
  </si>
  <si>
    <t>PRESUPUESTO - MODALIDAD CONVENIO</t>
  </si>
  <si>
    <t>FUENTES DE COFINANCIACIÓN</t>
  </si>
  <si>
    <t>Recursos en dinero de CORANTIOQUIA por alcance, actividad o subactividad</t>
  </si>
  <si>
    <t>CORANTIOQUIA</t>
  </si>
  <si>
    <t xml:space="preserve">Entidad 1: </t>
  </si>
  <si>
    <t>DINERO</t>
  </si>
  <si>
    <t>ESPECIE</t>
  </si>
  <si>
    <t>Entidad 1:</t>
  </si>
  <si>
    <t>SUBTOTAL (antes de administración)</t>
  </si>
  <si>
    <t>TOTAL APORTES EN DINERO (antes de administración)</t>
  </si>
  <si>
    <t>Gastos de administración u operativos</t>
  </si>
  <si>
    <t>TOTAL (incluido administración)</t>
  </si>
  <si>
    <t>Total</t>
  </si>
  <si>
    <t>%</t>
  </si>
  <si>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</si>
  <si>
    <t>Ir a estimar gastos de administración</t>
  </si>
  <si>
    <t>RESUMEN POR ALCANCES, ACTIVIDADES O SUBACTIVIDADES - RECURSOS EN DINERO CORANTIOQUIA</t>
  </si>
  <si>
    <t>Subtotal en dinero (Costos de personal y diferentes de personal)</t>
  </si>
  <si>
    <t>Costos de administración u operativos, si aplica</t>
  </si>
  <si>
    <t>Licenciamiento y actualización del Geoportal de Corantioquia</t>
  </si>
  <si>
    <t xml:space="preserve">Soporte y mantenimiento del sistema con mesa de ayuda inlcuye Transferencia de conocimiento y mesa de ayuda  </t>
  </si>
  <si>
    <t xml:space="preserve">Módulo de Certificación Ambiental Ventanilla Minera
</t>
  </si>
  <si>
    <t xml:space="preserve">MODULO </t>
  </si>
  <si>
    <t>MEMORIA DE CÁLCULO - OPCIÓN 1</t>
  </si>
  <si>
    <t>PROCESO/ ALCANCE / ACTIVIDAD:</t>
  </si>
  <si>
    <t>UNIDAD DE MEDIDA PARA EL PRECIO UNITARIO:</t>
  </si>
  <si>
    <t>licencia y meses</t>
  </si>
  <si>
    <t>ESPECIFICACIÓN TÉCNICA PARA EL PRECIO UNITARIO:</t>
  </si>
  <si>
    <t xml:space="preserve">Valor unitario </t>
  </si>
  <si>
    <t xml:space="preserve">Valor total </t>
  </si>
  <si>
    <t>Licenciamiento y actualización del Geoportal Corantioquia</t>
  </si>
  <si>
    <t>SUBTOTAL (antes de IVA)</t>
  </si>
  <si>
    <t>TOTAL (incluido IVA)</t>
  </si>
  <si>
    <t>MEMORIA DE CÁLCULO - OPCIÓN 2</t>
  </si>
  <si>
    <t>DISCRIMINACIÓN DE COSTOS</t>
  </si>
  <si>
    <t>SUBTOTAL COSTOS DE PERSONAL</t>
  </si>
  <si>
    <t xml:space="preserve">Valor total oferente </t>
  </si>
  <si>
    <t>COSTOS DE MATERIALES Y SUMINISTROS</t>
  </si>
  <si>
    <t>SUBTOTAL COSTOS DE MATERIALES Y SUMINISTROS</t>
  </si>
  <si>
    <t>COSTOS DE MAQUINARIA Y EQUIPO</t>
  </si>
  <si>
    <t>SUBTOTAL COSTOS DE MAQUINARIA Y EQUIPO</t>
  </si>
  <si>
    <t>OTROS COSTOS</t>
  </si>
  <si>
    <t>SUBTOTAL OTROS COSTOS</t>
  </si>
  <si>
    <t>¿ES UN CONTRATO O REQUIERE CONTRATO DERIVADO?</t>
  </si>
  <si>
    <t>No</t>
  </si>
  <si>
    <t>Unidades</t>
  </si>
  <si>
    <t>Observaciones:</t>
  </si>
  <si>
    <t>MEMORIA DE CÁLCULO - OPCIÓN 3</t>
  </si>
  <si>
    <t>ACTIVIDAD 1</t>
  </si>
  <si>
    <t>OTROS COSTOS (Diferentes a los costos de personal)</t>
  </si>
  <si>
    <t>SUBTOTAL ACTIVIDAD</t>
  </si>
  <si>
    <t>Si</t>
  </si>
  <si>
    <t>Costo unitario (antes de administración, utilidad e IVA si aplican)</t>
  </si>
  <si>
    <r>
      <rPr>
        <b/>
        <sz val="10"/>
        <rFont val="Arial"/>
        <family val="2"/>
      </rPr>
      <t>Descripción</t>
    </r>
    <r>
      <rPr>
        <sz val="10"/>
        <rFont val="Arial"/>
        <family val="2"/>
      </rPr>
      <t>:</t>
    </r>
  </si>
  <si>
    <t>Costo unitario sin MO (antes de administración, utilidad e IVA si aplican)</t>
  </si>
  <si>
    <t>ACTIVIDAD 2</t>
  </si>
  <si>
    <t>ACTIVIDAD 3</t>
  </si>
  <si>
    <t>Costo unitario sin MO  (antes de administración, utilidad e IVA si aplican)</t>
  </si>
  <si>
    <t>ACTIVIDAD 4</t>
  </si>
  <si>
    <t>ACTIVIDAD 5</t>
  </si>
  <si>
    <t>ACTIVIDAD 6</t>
  </si>
  <si>
    <t>ESTUDIO DE MERCADO</t>
  </si>
  <si>
    <t>NÚMERO DE RADICADO:</t>
  </si>
  <si>
    <t>090-COE2501-197</t>
  </si>
  <si>
    <t>PROVEEDOR:</t>
  </si>
  <si>
    <t>Valor unitario antes de IVA</t>
  </si>
  <si>
    <t>PROMEDIO
Valor unitario antes de IVA</t>
  </si>
  <si>
    <t>MEDIANA 
Valor unitario antes de IVA</t>
  </si>
  <si>
    <t xml:space="preserve">Licencia </t>
  </si>
  <si>
    <t>NOTA: A la hora de solicitar la cotización se deberá considerar que la misma esté expresada en los términos y unidades del presupuesto, igualmente, que en la medida de lo posible se encuentre en pesos colombianos, en caso de usar otra moneda explicitar la tasa de cambio utilizada, y la fecha y fuente de consulta de la misma.</t>
  </si>
  <si>
    <t>DETERMINACIÓN DE GASTOS DE ADMINISTRACIÓN</t>
  </si>
  <si>
    <t>COSTOS DIRECTOS EN DINERO NO EJECUTOR</t>
  </si>
  <si>
    <t>MESES</t>
  </si>
  <si>
    <t>GASTOS DE ADMINISTRACIÓN</t>
  </si>
  <si>
    <t>TOTAL GASTOS DE ADMINISTRACIÓN</t>
  </si>
  <si>
    <t>En caso de convenios, si el conveniante ejecutor va a realizar un contrato derivado, considerar para el análisis:</t>
  </si>
  <si>
    <t>TOTAL APORTES EN DINERO NO EJECUTOR (antes de AU e IVA)</t>
  </si>
  <si>
    <t>TOTAL Porcentaje de gastos de administración a reconocer por análisis de contrato derivado (Sobre los costos directos en dinero del no ejecutor)</t>
  </si>
  <si>
    <t>IDENTIFICACIÓN DE BIENES NACIONALES RELEVANTES</t>
  </si>
  <si>
    <r>
      <t xml:space="preserve">El artículo 2 del Decreto 680 de 2021 adicionó el artículo 2.2.1.2.4.2.9 al Decreto 1082 de 2015, en cuanto a que, en la contratación de servicios, la entidad deberá otorgar el puntaje establecido en el artículo 2 de la Ley 816 de 2003 al proponente que oferte servicios nacionales o servicios extranjeros con trato nacional de acuerdo a la regla de origen aplicable y menciona que: 
“En los contratos que deban cumplirse en Colombia, la Entidad Estatal definirá de manera razonable y proporcionada los bienes colombianos relevantes teniendo en cuenta:
1. El análisis del sector económico y de los oferentes, y, toda aquella información adicional con la que cuente la Entidad Estatal en la etapa de planeación del Proceso de Contratación;
2. El porcentaje de participación de los bienes en el presupuesto del Proceso de Contratación; y
3. La existencia de los bienes en el Registro de Productores de Bienes Nacionales, en los términos del Decreto 2680 de 2009 o las normas que lo modifiquen, aclaren, adicionen o sustituyan.
</t>
    </r>
    <r>
      <rPr>
        <b/>
        <sz val="10"/>
        <color theme="1"/>
        <rFont val="Arial"/>
        <family val="2"/>
      </rPr>
      <t>En aquellos casos en que, de acuerdo con el objeto contractual, no existan bienes colombianos relevantes o no exista oferta nacional de los mismos en el Registro de Productores de Bienes Nacionales, la Entidad Estatal otorgará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t>
    </r>
    <r>
      <rPr>
        <sz val="10"/>
        <color theme="1"/>
        <rFont val="Arial"/>
        <family val="2"/>
      </rPr>
      <t xml:space="preserve">
La Entidad Estatal documentará este análisis y dejará constancia en los Documentos del Proceso”</t>
    </r>
  </si>
  <si>
    <t xml:space="preserve">Teniendo en cuenta lo anterior, la Corporación determina la siguiente metodología, considerando la información y herramientas dispuestas para ello por Colombia Compra Eficiente (https://bienesrelevantes.colombiacompra.gov.co/), para identificar los “Bienes Colombianos Relevantes” para cada proceso de selección, que le aplique, aclarando que hay 2 opciones para otorgar puntaje por Estímulo A La Industria Nacional Colombiana, los cuales son, por Bienes Nacionales Relevantes, o por porcentaje de personal colombiano vinculado, y esto dependerá del resultado del siguiente análisis. </t>
  </si>
  <si>
    <r>
      <rPr>
        <b/>
        <sz val="10"/>
        <color theme="1"/>
        <rFont val="Arial"/>
        <family val="2"/>
      </rPr>
      <t>1. El análisis del sector económico y de los oferentes, y, toda aquella información adicional con la que cuente la Entidad Estatal en la etapa de planeación del Proceso de Contratación.</t>
    </r>
    <r>
      <rPr>
        <sz val="10"/>
        <color theme="1"/>
        <rFont val="Arial"/>
        <family val="2"/>
      </rPr>
      <t xml:space="preserve">
Se parte de la identificación de los bienes dentro del presupuesto oficial (o sus memorias de cálculos), para ello el técnico debe diligenciar, el cuadro 1. Lista de bienes. Entendiendo por bien cualquier elemento tangible o material que para el presente proceso se compre o adquiera de manera definitiva, considerar que en todo caso el valor unitario debe de ser antes de IVA, si hay un ítem igual en varias actividades consolidar las cantidades requeridas del mismo para todo el proceso.
</t>
    </r>
  </si>
  <si>
    <t>CUADRO 1. LISTA DE BIENES</t>
  </si>
  <si>
    <t>PP</t>
  </si>
  <si>
    <t>N.</t>
  </si>
  <si>
    <t>VALOR TOTAL DE LOS BIENES</t>
  </si>
  <si>
    <r>
      <rPr>
        <b/>
        <sz val="10"/>
        <color theme="1"/>
        <rFont val="Arial"/>
        <family val="2"/>
      </rPr>
      <t>2. El porcentaje de participación de los bienes en el presupuesto del Proceso de Contratación</t>
    </r>
    <r>
      <rPr>
        <sz val="10"/>
        <color theme="1"/>
        <rFont val="Arial"/>
        <family val="2"/>
      </rPr>
      <t xml:space="preserve">
En un segundo momento, se determina el porcentaje de participación de los bienes en el presupuesto según la metología dispuesta por Colombia Compra Eficiente (https://bienesrelevantes.colombiacompra.gov.co/), para elllo el cuadro 2. Porcentaje de participación de los bienes, se rellena automáticamente de acuerdo con la información diligenciada en el cuadro 1. Lista de bienes. De acuerdo al porcentaje de participación se identifica si es una un bien relevante.
</t>
    </r>
  </si>
  <si>
    <t>CUADRO 2. PORCENTAJE DE PARTICIPACIÓN DE LOS BIENES</t>
  </si>
  <si>
    <t>Bien relevante</t>
  </si>
  <si>
    <t>Ubicación</t>
  </si>
  <si>
    <t>Porcentaje de participación</t>
  </si>
  <si>
    <t>Porcentaje de participación acumulado</t>
  </si>
  <si>
    <t>¿Está dentro del 80% del porcentaje acumulado?</t>
  </si>
  <si>
    <t>¿Es un bien relevante?</t>
  </si>
  <si>
    <t>PROMEDIO (PORCENTAJE DE PARTICIPACIÓN) DE LOS BIENES QUE REPRESENTAN EL 80 % DE MAYOR PARTICIPACIÓN</t>
  </si>
  <si>
    <r>
      <rPr>
        <b/>
        <sz val="10"/>
        <color theme="1"/>
        <rFont val="Arial"/>
        <family val="2"/>
      </rPr>
      <t>3. La existencia de los bienes en el Registro de Productores de Bienes Nacionales, en los términos del Decreto 2680 de 2009 o las normas que lo modifiquen, aclaren, adicionen o sustituyan.</t>
    </r>
    <r>
      <rPr>
        <sz val="10"/>
        <color theme="1"/>
        <rFont val="Arial"/>
        <family val="2"/>
      </rPr>
      <t xml:space="preserve">
Por último, para los bienes que en el cuadro 2. Porcentaje de participación de los bienes, hayan sido identificados como bienes relevantes, se debe consultar (http://pbn.vuce.gov.co/consultas/index.php) si están incluidos en el Registro de Productores de Bienes Nacionales (RPBN) – Decreto 2680 de 2009, y consignar la información en el cuadro 3. Bienes relevantes en el RPBN
</t>
    </r>
    <r>
      <rPr>
        <b/>
        <sz val="10"/>
        <color theme="1"/>
        <rFont val="Arial"/>
        <family val="2"/>
      </rPr>
      <t xml:space="preserve">
Si los bienes están incluidos en el RPBN, se aplica la metodología explicada en la Resolución 304 de 202</t>
    </r>
    <r>
      <rPr>
        <sz val="10"/>
        <color theme="1"/>
        <rFont val="Arial"/>
        <family val="2"/>
      </rPr>
      <t xml:space="preserve">1.
</t>
    </r>
    <r>
      <rPr>
        <b/>
        <sz val="10"/>
        <color theme="1"/>
        <rFont val="Arial"/>
        <family val="2"/>
      </rPr>
      <t xml:space="preserve">
Si los bienes no están incluidos en el RPBN, la Entidad otorgará el puntaje a los proponentes que se comprometan a vincular al desarrollo del objeto contractual un porcentaje de empleados o contratistas por prestación de servicios colombianos de al menos el cuarenta por ciento (40 %) del personal requerido para el cumplimiento del contrato.</t>
    </r>
  </si>
  <si>
    <t>CUADRO 3. BIENES RELEVANTES EN EL RPBN</t>
  </si>
  <si>
    <t xml:space="preserve">Para buscar en el RPBN: </t>
  </si>
  <si>
    <t>http://pbn.vuce.gov.co/consultas/index.php</t>
  </si>
  <si>
    <t>¿Está en el RPBN?</t>
  </si>
  <si>
    <t>Observaciones</t>
  </si>
  <si>
    <t>PROPUESTA ECONÓMICA - OPCIÓN 1</t>
  </si>
  <si>
    <t>NÚMERO DE PROCESO:</t>
  </si>
  <si>
    <t>PROPUESTA ECONÓMICA</t>
  </si>
  <si>
    <t>Valor unitario referencia corporación antes de IVA</t>
  </si>
  <si>
    <t>Valor unitario oferente antes de IVA</t>
  </si>
  <si>
    <t xml:space="preserve">VALOR TOTAL OFERENTE ANTES DE IVA </t>
  </si>
  <si>
    <t>IVA (19%)</t>
  </si>
  <si>
    <t xml:space="preserve">VALOR TOTAL OFERENTE DESPUÉS DE IVA </t>
  </si>
  <si>
    <t>_____________________________
Firma del oferente: 
Nombre del representante legal:
Número de documento:</t>
  </si>
  <si>
    <t>NOTAS</t>
  </si>
  <si>
    <t>PROPUESTA ECONÓMICA - OPCIÓN 2</t>
  </si>
  <si>
    <t>CÓDIGO:F-PGC-21</t>
  </si>
  <si>
    <t xml:space="preserve">Valor unitario referencia corporación antes de IVA
</t>
  </si>
  <si>
    <t>PROPUESTA ECONÓMICA - OPCIÓN 3</t>
  </si>
  <si>
    <t>SUBTOTAL ACTIVIDAD 1</t>
  </si>
  <si>
    <t>SUBTOTAL ACTIVIDAD 2</t>
  </si>
  <si>
    <t>SUBTOTAL ACTIVIDAD 3</t>
  </si>
  <si>
    <t>ESTIMACIÓN PAB COMPARACIÓN ABSOLUTA</t>
  </si>
  <si>
    <t>En la comparación absoluta la Entidad Estatal contrasta el valor de cada oferta con el costo estimado de la provisión del bien o servicio de acuerdo con en el Estudio del Sector elaborado por la Entidad Estatal. Cuando la Entidad Estatal recibe menos de 5 ofertas debe solicitar aclaración a los proponentes cuyas ofertas sean menores en un 20%, o un mayor porcentaje, al costo total estimado por la Entidad Estatal. (Guía Colombia Compra Eficiente Ofertas Artificialmente Bajas, pág.5). 
Como la Guía de Colombia Compra Eficiente tiene un vacío para el uso de metodologías en el caso de presentarse 5 ofertas, Corantioquia en dicho caso utilizará la comparación absoluta, y solo utilizará la comparación relativa si se presentan más de 5 ofertas.</t>
  </si>
  <si>
    <t>En los contratos por pluralidad de oferentes al momento de subir el presente libro a la plataforma secop, el asesor jurídico y el asesor técnico, deberán ocultar la presente hoja, solo colocando a disposición de los oferentes el acta de PAB debidamente radicada, en el momento adecuado para ello.</t>
  </si>
  <si>
    <t>ESTIMACIÓN PAB COMPARACIÓN ABSOLUTA POR EL PRESUPUESTO TOTAL</t>
  </si>
  <si>
    <t>Valor presupuesto total antes de IVA</t>
  </si>
  <si>
    <t>Porcentaje base</t>
  </si>
  <si>
    <t>Valor base para determinar PAB</t>
  </si>
  <si>
    <t>PAB Comparación absoluta</t>
  </si>
  <si>
    <t>ESTIMACIÓN PAB COMPARACIÓN ABSOLUTA POR LOTE</t>
  </si>
  <si>
    <t>Lote</t>
  </si>
  <si>
    <t>Valor total lote antes de IVA</t>
  </si>
  <si>
    <t xml:space="preserve">Valor total lote base para determinar PAB </t>
  </si>
  <si>
    <t>PAB unitario Comparación absoluta</t>
  </si>
  <si>
    <t>ESTIMACIÓN PAB COMPARACIÓN ABSOLUTA POR UNIDAD</t>
  </si>
  <si>
    <t>Valor unitario presupuesto antes de IVA</t>
  </si>
  <si>
    <t xml:space="preserve">Valor unitario base para determinar PAB </t>
  </si>
  <si>
    <t>ESTIMACIÓN PAB COMPARACIÓN ABSOLUTA POR LOTE - UNIDAD</t>
  </si>
  <si>
    <t>Lote 1:</t>
  </si>
  <si>
    <t>Adquisición de equipos informáticos</t>
  </si>
  <si>
    <t>Lote 2 :</t>
  </si>
  <si>
    <t>Adquisición de insumos informáticos</t>
  </si>
  <si>
    <t>VERIFICACIÓN DE REQUISITOS HABILITANTES DE LOS PROPONENTES SOBRE CAPACIDAD FINANCIERA Y ORGANIZACIONAL</t>
  </si>
  <si>
    <t xml:space="preserve">VERIFICACIÓN DE REQUISITOS HABILITANTES DE LOS PROPONENTES SOBRE CAPACIDAD FINANCIERA Y ORGANIZACIONAL - GENERALES- </t>
  </si>
  <si>
    <t xml:space="preserve">CALIFICACIÓN </t>
  </si>
  <si>
    <t>INDICADOR FINANCIERO</t>
  </si>
  <si>
    <t>REGISTRO ÚNICO DE PROPONENTES</t>
  </si>
  <si>
    <t>FECHA DE CORTE DE LA INFORMACIÓN FINANCIERA</t>
  </si>
  <si>
    <t>LIQUIDEZ</t>
  </si>
  <si>
    <t>NIVEL DE ENDEUDAMIENTO</t>
  </si>
  <si>
    <t>RAZÓN DE COBERTURA DE INTERESES</t>
  </si>
  <si>
    <t>RENTABILIDAD DEL PATRIMONIO</t>
  </si>
  <si>
    <t>RENTABILIDAD DEL ACTIVO</t>
  </si>
  <si>
    <t>CUMPLE</t>
  </si>
  <si>
    <t>NO CUMPLE</t>
  </si>
  <si>
    <t xml:space="preserve">CRITERIOS
PROPONENTES
                                                                                                                                                                                           </t>
  </si>
  <si>
    <t>RUP EN FIRME</t>
  </si>
  <si>
    <t>MAYOR A UNO (1)</t>
  </si>
  <si>
    <t>MENOR O IGUAL AL  SETENTA POR CIENTO (70%).</t>
  </si>
  <si>
    <t>POSITIVA MAYOR O IGUAL A DOS (2) / Indeterminada</t>
  </si>
  <si>
    <t>MAYOR  AL UNO POR CIENTO (1%).</t>
  </si>
  <si>
    <t>VERIFICACIÓN DE REQUISITOS HABILITANTES DE LOS PROPONENTES SOBRE CAPACIDAD FINANCIERA Y ORGANIZACIONAL - DIFERENCIALES-</t>
  </si>
  <si>
    <t>MENOR O IGUAL AL OCHENTA POR CIENTO (80%).</t>
  </si>
  <si>
    <t>POSITIVA MAYOR O IGUAL A UNO PUNTO CINCO (1,5) / Indeterminada</t>
  </si>
  <si>
    <t>MAYOR O IGUAL AL CERO PUNTO CINCO POR CIENTO (0,5%).</t>
  </si>
  <si>
    <t>CALIFICACIÓN DE INDICADORES:</t>
  </si>
  <si>
    <r>
      <rPr>
        <b/>
        <sz val="10"/>
        <color indexed="8"/>
        <rFont val="Arial"/>
        <family val="2"/>
      </rPr>
      <t xml:space="preserve">CUMPLE: </t>
    </r>
    <r>
      <rPr>
        <sz val="10"/>
        <color indexed="8"/>
        <rFont val="Arial"/>
        <family val="2"/>
      </rPr>
      <t>Si la totalidad de los indicadores presentados por el proponente en el RUP guardan correspondencia con los mínimos exigidos por la CORPORACION.</t>
    </r>
  </si>
  <si>
    <r>
      <rPr>
        <b/>
        <sz val="10"/>
        <color indexed="8"/>
        <rFont val="Arial"/>
        <family val="2"/>
      </rPr>
      <t>NO CUMPLE:</t>
    </r>
    <r>
      <rPr>
        <sz val="10"/>
        <color indexed="8"/>
        <rFont val="Arial"/>
        <family val="2"/>
      </rPr>
      <t xml:space="preserve"> Cuando al menos uno de los indicadores presentados por el proponente en el RUP no guarda correspondencia con los mínimos exigidos por la CORPORACION .</t>
    </r>
  </si>
  <si>
    <t>_____________________________________________________</t>
  </si>
  <si>
    <t xml:space="preserve">Asesor(a) Financier(a) - Comité Asesor y Evaluador </t>
  </si>
  <si>
    <t>Subdirección Administrativa y Financiera</t>
  </si>
  <si>
    <t>ESTIMACIÓN PAB COMPARACIÓN RELATIVA</t>
  </si>
  <si>
    <r>
      <t xml:space="preserve">Colombia Compra Eficiente presenta la siguiente metodología (comparación relativa) como sugerencia para que las Entidades Estatales identifiquen la posibilidad de precios artificialmente bajos cuando </t>
    </r>
    <r>
      <rPr>
        <b/>
        <sz val="10"/>
        <rFont val="Arial"/>
        <family val="2"/>
      </rPr>
      <t>hay más de 5 ofertas</t>
    </r>
    <r>
      <rPr>
        <sz val="10"/>
        <rFont val="Arial"/>
        <family val="2"/>
      </rPr>
      <t xml:space="preserve"> en un Proceso de Contratación (Guía Colombia Compra Eficiente Ofertas Artificialmente Bajas, pág.5). </t>
    </r>
  </si>
  <si>
    <t>ESTIMACIÓN PAB COMPARACIÓN RELATIVA POR EL PRESUPUESTO TOTAL</t>
  </si>
  <si>
    <t>Oferente</t>
  </si>
  <si>
    <t>NIT</t>
  </si>
  <si>
    <t>Valor total antes de IVA</t>
  </si>
  <si>
    <t>MEDIANA</t>
  </si>
  <si>
    <t>DESVIACIÓN ESTÁNDAR</t>
  </si>
  <si>
    <t>VALOR MÍNIMO ACEPTABLE</t>
  </si>
  <si>
    <t>ESTIMACIÓN PAB COMPARACIÓN RELATIVA POR LOTE</t>
  </si>
  <si>
    <t>LOTE 1. XXXXXX</t>
  </si>
  <si>
    <t>LOTE 2. XXXXXX</t>
  </si>
  <si>
    <t>Valor total antes de IVA lote</t>
  </si>
  <si>
    <t>ESTIMACIÓN PAB COMPARACIÓN RELATIVA POR UNIDAD</t>
  </si>
  <si>
    <t>ÍTEM / Oferente (Valor unitario antes de IVA)</t>
  </si>
  <si>
    <t>ESTIMACIÓN PAB COMPARACIÓN RELATIVA POR LOTE - UNIDAD</t>
  </si>
  <si>
    <t>Lote 2:</t>
  </si>
  <si>
    <t>SUBASTA INVERSA - ANÁLISIS DE HABILITADOS</t>
  </si>
  <si>
    <t>F-PGC-21</t>
  </si>
  <si>
    <t>Subrayar:</t>
  </si>
  <si>
    <r>
      <t>Amarillo:</t>
    </r>
    <r>
      <rPr>
        <sz val="10"/>
        <color indexed="8"/>
        <rFont val="Arial"/>
        <family val="2"/>
      </rPr>
      <t xml:space="preserve"> Están pendientes de Póliza la cual será validada en la subasta.</t>
    </r>
  </si>
  <si>
    <r>
      <t>Rojo:</t>
    </r>
    <r>
      <rPr>
        <sz val="10"/>
        <color indexed="8"/>
        <rFont val="Arial"/>
        <family val="2"/>
      </rPr>
      <t xml:space="preserve"> No cumplen.</t>
    </r>
  </si>
  <si>
    <t>LOTE 1</t>
  </si>
  <si>
    <t xml:space="preserve">OFERENTE </t>
  </si>
  <si>
    <t>ORDEN TÉCNICO</t>
  </si>
  <si>
    <t>ORDEN JURÍDICO</t>
  </si>
  <si>
    <t>ORDEN FINANCIERO</t>
  </si>
  <si>
    <t>HABILITADO/ NO HABILITADO</t>
  </si>
  <si>
    <t xml:space="preserve">CUMPLE / NO CUMPLE </t>
  </si>
  <si>
    <t>LOTE 2</t>
  </si>
  <si>
    <t>LOTE 3</t>
  </si>
  <si>
    <t>SUBASTA INVERSA PRESENCIAL - ANÁLISIS DE LANCES</t>
  </si>
  <si>
    <t>SUBASTA INVERSA PRESENCIAL:</t>
  </si>
  <si>
    <t xml:space="preserve">Número:                              Año: </t>
  </si>
  <si>
    <t>NÚMERO DE LOTE:</t>
  </si>
  <si>
    <t>MARGEN MÍNIMO DE MEJORA DE OFERTA:</t>
  </si>
  <si>
    <t>Numeral P.C.</t>
  </si>
  <si>
    <t>EL VALOR DEL LANCE DEBERA CORRESPONDER AL VALOR ANTES DE IVA</t>
  </si>
  <si>
    <t>PRECIO DE ARRANQUE</t>
  </si>
  <si>
    <t>MARGEN MÍNIMO DE MEJORA DE OFERTA</t>
  </si>
  <si>
    <t>PRECIO MÁXIMO PARA EL LANCE No. 1</t>
  </si>
  <si>
    <t>PRECIO OFERTADO EN EL LANCE No.1</t>
  </si>
  <si>
    <t>PRECIO MÁXIMO PARA EL LANCE No. 2</t>
  </si>
  <si>
    <t>PRECIO OFERTADO EN EL LANCE No.2</t>
  </si>
  <si>
    <t>PRECIO MÁXIMO PARA EL LANCE No. 3</t>
  </si>
  <si>
    <t>PRECIO OFERTADO EN EL LANCE No.3</t>
  </si>
  <si>
    <t>PRECIO MÁXIMO PARA EL LANCE No. 4</t>
  </si>
  <si>
    <t>PRECIO OFERTADO EN EL LANCE No.4</t>
  </si>
  <si>
    <t>PRECIO MÁXIMO PARA EL LANCE No. 5</t>
  </si>
  <si>
    <t>PRECIO OFERTADO EN EL LANCE No.5</t>
  </si>
  <si>
    <t>PRECIO MÁXIMO PARA EL LANCE No. 6</t>
  </si>
  <si>
    <t>PRECIO OFERTADO EN EL LANCE No.6</t>
  </si>
  <si>
    <t>PRECIO MÁXIMO PARA EL LANCE No. 7</t>
  </si>
  <si>
    <t>PRECIO OFERTADO EN EL LANCE No.7</t>
  </si>
  <si>
    <t>PRECIO MÁXIMO PARA EL LANCE No. 8</t>
  </si>
  <si>
    <t>PRECIO OFERTADO EN EL LANCE No.8</t>
  </si>
  <si>
    <t>PRECIO MÁXIMO PARA EL LANCE No. 9</t>
  </si>
  <si>
    <t>PRECIO OFERTADO EN EL LANCE No.9</t>
  </si>
  <si>
    <t>PRECIO MÁXIMO PARA EL LANCE No. 10</t>
  </si>
  <si>
    <t>PRECIO OFERTADO EN EL LANCE No.10</t>
  </si>
  <si>
    <t>PRECIO MÁXIMO PARA EL LANCE No. 11</t>
  </si>
  <si>
    <t>PRECIO OFERTADO EN EL LANCE No.11</t>
  </si>
  <si>
    <t>PRECIO MÁXIMO PARA EL LANCE No. 12</t>
  </si>
  <si>
    <t>PRECIO OFERTADO EN EL LANCE No.12</t>
  </si>
  <si>
    <t>PRECIO MÁXIMO PARA EL LANCE No. 13</t>
  </si>
  <si>
    <t>PRECIO OFERTADO EN EL LANCE No.13</t>
  </si>
  <si>
    <t>PRECIO MÁXIMO PARA EL LANCE No. 14</t>
  </si>
  <si>
    <t>PRECIO OFERTADO EN EL LANCE No.14</t>
  </si>
  <si>
    <t>PRECIO MÁXIMO PARA EL LANCE No. 15</t>
  </si>
  <si>
    <t>PRECIO OFERTADO EN EL LANCE No.15</t>
  </si>
  <si>
    <t>PRECIO MÁXIMO PARA EL LANCE No. 16</t>
  </si>
  <si>
    <t>PRECIO OFERTADO EN EL LANCE No.16</t>
  </si>
  <si>
    <t>PRECIO MÁXIMO PARA EL LANCE No. 17</t>
  </si>
  <si>
    <t>PRECIO OFERTADO EN EL LANCE No.17</t>
  </si>
  <si>
    <t>PRECIO MÁXIMO PARA EL LANCE No. 18</t>
  </si>
  <si>
    <t>PRECIO OFERTADO EN EL LANCE No.18</t>
  </si>
  <si>
    <t>PRECIO MÁXIMO PARA EL LANCE No. 19</t>
  </si>
  <si>
    <t>PRECIO OFERTADO EN EL LANCE No.19</t>
  </si>
  <si>
    <t>PRECIO MÁXIMO PARA EL LANCE No. 20</t>
  </si>
  <si>
    <t>PRECIO OFERTADO EN EL LANCE No. 20</t>
  </si>
  <si>
    <t>PRECIO MÁXIMO PARA EL LANCE No. 21</t>
  </si>
  <si>
    <t>SUBASTA INVERSA PRESENCIAL - LANCES DE PRECIOS</t>
  </si>
  <si>
    <t>FORMULARIO NRO. 1 
PARA LANCES DE PRECIOS</t>
  </si>
  <si>
    <t>PROCESO:</t>
  </si>
  <si>
    <t>Selección Abreviada Subasta Inversa N° ______  de _________</t>
  </si>
  <si>
    <t>LOTE:</t>
  </si>
  <si>
    <t>OBJETO:</t>
  </si>
  <si>
    <t>CLAVE DEL OFERENTE:</t>
  </si>
  <si>
    <t>NRO DE LANCE:</t>
  </si>
  <si>
    <t>VALOR DEL LANCE:</t>
  </si>
  <si>
    <t>$</t>
  </si>
  <si>
    <t>NOMBRE:</t>
  </si>
  <si>
    <t>FIRMA:</t>
  </si>
  <si>
    <t>SUBASTA INVERSA PRESENCIAL - DECLINACIÓN DE LANCES</t>
  </si>
  <si>
    <t>FORMULARIO NRO. 2 
MANIFESTACIÓN EN FORMA CLARA Y EXPRESA DE QUE NO SE PRESENTARÁ NI EFECTUARÁ MÁS LANCES</t>
  </si>
  <si>
    <t>DESISTE DEL LANCE:</t>
  </si>
  <si>
    <t>VALORES DE GASTOS DE DESPLAZAMIENTO Y MANUTENCIÓN</t>
  </si>
  <si>
    <t>AÑO VIGENTE:</t>
  </si>
  <si>
    <t>MEMORANDO:</t>
  </si>
  <si>
    <t>190-MEM2201-77</t>
  </si>
  <si>
    <t>Cuatro N.1 Gastos de desplazamiento y manutención por municipio</t>
  </si>
  <si>
    <t>Municipio</t>
  </si>
  <si>
    <t xml:space="preserve">Valor total desplazamiento </t>
  </si>
  <si>
    <t>Valor total desplazamiento y manutención más de 4 horas sin pernocta</t>
  </si>
  <si>
    <t>Valor total desplazamiento y manutención con (1) una pernocta*</t>
  </si>
  <si>
    <t>Amagá</t>
  </si>
  <si>
    <t>Amalfí</t>
  </si>
  <si>
    <t>Andes</t>
  </si>
  <si>
    <t>Angelópolis</t>
  </si>
  <si>
    <t>Angostura</t>
  </si>
  <si>
    <t>Anorí</t>
  </si>
  <si>
    <t>Anzá</t>
  </si>
  <si>
    <t>Armenia mantequilla</t>
  </si>
  <si>
    <t>Barbosa</t>
  </si>
  <si>
    <t>Bello</t>
  </si>
  <si>
    <t>Belmira</t>
  </si>
  <si>
    <t>Betania</t>
  </si>
  <si>
    <t>Betulia</t>
  </si>
  <si>
    <t>Briceño</t>
  </si>
  <si>
    <t>Buriticá</t>
  </si>
  <si>
    <t>Cáceres</t>
  </si>
  <si>
    <t>Caicedo</t>
  </si>
  <si>
    <t>Caldas</t>
  </si>
  <si>
    <t>Campamento</t>
  </si>
  <si>
    <t>Caracolí</t>
  </si>
  <si>
    <t>Caramanta</t>
  </si>
  <si>
    <t>Carolina del Príncipe</t>
  </si>
  <si>
    <t>Caucasia</t>
  </si>
  <si>
    <t>Cisneros</t>
  </si>
  <si>
    <t>Ciudad Bolívar</t>
  </si>
  <si>
    <t>Concordia</t>
  </si>
  <si>
    <t>Copacabana</t>
  </si>
  <si>
    <t>Don Matías</t>
  </si>
  <si>
    <t>Ebéjico</t>
  </si>
  <si>
    <t>El Bagre</t>
  </si>
  <si>
    <t>Entrerríos</t>
  </si>
  <si>
    <t>Envigado</t>
  </si>
  <si>
    <t>Fredonia</t>
  </si>
  <si>
    <t>Girardota</t>
  </si>
  <si>
    <t>Gómez Plata</t>
  </si>
  <si>
    <t>Guadalupe</t>
  </si>
  <si>
    <t>Heliconia</t>
  </si>
  <si>
    <t>Hispania</t>
  </si>
  <si>
    <t>Itagüí</t>
  </si>
  <si>
    <t>Ituango</t>
  </si>
  <si>
    <t>Jardín</t>
  </si>
  <si>
    <t>Jericó</t>
  </si>
  <si>
    <t>La Estrella</t>
  </si>
  <si>
    <t>La Pintada</t>
  </si>
  <si>
    <t>Liborina</t>
  </si>
  <si>
    <t>Maceo</t>
  </si>
  <si>
    <t>Medellín</t>
  </si>
  <si>
    <t>Montebello</t>
  </si>
  <si>
    <t>Nechí</t>
  </si>
  <si>
    <t>Olaya</t>
  </si>
  <si>
    <t>Pueblo Rico</t>
  </si>
  <si>
    <t>Puerto Berrío</t>
  </si>
  <si>
    <t>Puerto Nare</t>
  </si>
  <si>
    <t>Remedios</t>
  </si>
  <si>
    <t>Sabanalarga</t>
  </si>
  <si>
    <t>Sabaneta</t>
  </si>
  <si>
    <t>Salgar</t>
  </si>
  <si>
    <t>San Andrés de Cuerquia</t>
  </si>
  <si>
    <t>San Jerónimo</t>
  </si>
  <si>
    <t>San José de la Montaña</t>
  </si>
  <si>
    <t>San Pedro de los Milagros</t>
  </si>
  <si>
    <t>Santa Bárbara</t>
  </si>
  <si>
    <t>Santa Fe de Antioquia</t>
  </si>
  <si>
    <t>Santa Rosa de Osos</t>
  </si>
  <si>
    <t>Segovia</t>
  </si>
  <si>
    <t>Sopetrán</t>
  </si>
  <si>
    <t>Támesis</t>
  </si>
  <si>
    <t>Tarazá</t>
  </si>
  <si>
    <t>Tarso</t>
  </si>
  <si>
    <t>Titiribí</t>
  </si>
  <si>
    <t>Toledo</t>
  </si>
  <si>
    <t>Valdivia</t>
  </si>
  <si>
    <t>Valparaíso</t>
  </si>
  <si>
    <t>Vegachí</t>
  </si>
  <si>
    <t>Venecia</t>
  </si>
  <si>
    <t>Yalí</t>
  </si>
  <si>
    <t>Yarumal</t>
  </si>
  <si>
    <t>Yolombó</t>
  </si>
  <si>
    <t>Yondó</t>
  </si>
  <si>
    <t>Zaragoza</t>
  </si>
  <si>
    <t>* Por cada día de pernocta adicional se reconocerán $97.000.</t>
  </si>
  <si>
    <t>** En caso de reconocer solo gastos de manutención, se contemplará $49.000 por más de 4 horas sin pernocta y $97.000 por cada pernocta. En los casos de los municipios de Medellín, Bello, Itagüí, Sabaneta y Envigado, se reconocerá el 50% del valor de la manutención correspondiente a $24.000.</t>
  </si>
  <si>
    <t>*** En los municipios que se encuentren ubicados en el Área Metropolitana del Valle de Aburrá, no se autoriza a pernoctar.</t>
  </si>
  <si>
    <t>Cuatro N.2 Gastos de desplazamiento y manutención por territorial</t>
  </si>
  <si>
    <t>Territorial</t>
  </si>
  <si>
    <t>Valor total desplazamiento y manutención con (1) pernocta*</t>
  </si>
  <si>
    <t>Aburrá  Norte</t>
  </si>
  <si>
    <t>Aburrá Sur</t>
  </si>
  <si>
    <t>Cartama</t>
  </si>
  <si>
    <t>Citará</t>
  </si>
  <si>
    <t>Hevéxicos</t>
  </si>
  <si>
    <t>Panzenú</t>
  </si>
  <si>
    <t>Tahamíes</t>
  </si>
  <si>
    <t>Zenufaná</t>
  </si>
  <si>
    <t>Cuatro N.3 Gastos de desplazamiento y manutención general</t>
  </si>
  <si>
    <t>VALORES DE HONORARIOS (PRESTADORES DE SERVICIOS)</t>
  </si>
  <si>
    <t>190-MEM2112-8612</t>
  </si>
  <si>
    <t xml:space="preserve">Nivel Académico Requerido </t>
  </si>
  <si>
    <t xml:space="preserve">Valor mes Honorarios </t>
  </si>
  <si>
    <t xml:space="preserve">Bachiller </t>
  </si>
  <si>
    <t xml:space="preserve">Técnico </t>
  </si>
  <si>
    <t xml:space="preserve">Tecnólogo sin experiencia </t>
  </si>
  <si>
    <t xml:space="preserve">Tecnólogo con experiencia </t>
  </si>
  <si>
    <t xml:space="preserve">Profesional sin experiencia </t>
  </si>
  <si>
    <t xml:space="preserve">Profesional con experiencia </t>
  </si>
  <si>
    <t>Coordinador de proyecto</t>
  </si>
  <si>
    <t>Nota: El factor prestacional solo se establece con fines metodológicos para establecer un valor comparativo en caso que el ejecutor del proceso contractual no realice una contratación civil, sino una contratación laboral.</t>
  </si>
  <si>
    <t>DISCRIMINACIÓN DEL FACTOR PRESTACIONAL</t>
  </si>
  <si>
    <t>AÑO VIGENTE</t>
  </si>
  <si>
    <t>SMMLVC</t>
  </si>
  <si>
    <t>AUX TRANSPORTE MENSUAL</t>
  </si>
  <si>
    <t>ÍTEM</t>
  </si>
  <si>
    <t>ANÁLISIS  MÁS DE 2 SMMLV (%)</t>
  </si>
  <si>
    <t>FUNDAMENTOS LEGALES</t>
  </si>
  <si>
    <t>Seguridad Social</t>
  </si>
  <si>
    <t>Salud (EPS) - Empleador</t>
  </si>
  <si>
    <t>Pensión - Empleador</t>
  </si>
  <si>
    <t>ARL - Riesgo V</t>
  </si>
  <si>
    <t>Parafiscales</t>
  </si>
  <si>
    <t>Caja de compensación</t>
  </si>
  <si>
    <t>Ley 21 de 1982</t>
  </si>
  <si>
    <t xml:space="preserve">ICBF </t>
  </si>
  <si>
    <t>Ley 89 de 1988</t>
  </si>
  <si>
    <t>Sena</t>
  </si>
  <si>
    <t>Ley 119 de 1994</t>
  </si>
  <si>
    <t>Prestaciones sociales</t>
  </si>
  <si>
    <t>Cesantías</t>
  </si>
  <si>
    <t>Artículo 249 y ss del CST</t>
  </si>
  <si>
    <t>Intereses de cesantías</t>
  </si>
  <si>
    <t>Prima de servicios</t>
  </si>
  <si>
    <t>Artículo 307 del CST</t>
  </si>
  <si>
    <t>Vacaciones</t>
  </si>
  <si>
    <t>Artículo 86 del CST</t>
  </si>
  <si>
    <t>Total Factor Prestacional</t>
  </si>
  <si>
    <t>Base SMMMLV</t>
  </si>
  <si>
    <t>Auxilio de transporte % Valor</t>
  </si>
  <si>
    <t>El auxilio de transporte y sus debidas prestaciones solo se reconocen a los trabajadores que devenguen hasta 2 SMMLVC</t>
  </si>
  <si>
    <t>VALORES DE JORNALES</t>
  </si>
  <si>
    <t>190-MEM2112-8667</t>
  </si>
  <si>
    <t>SMMLVC:</t>
  </si>
  <si>
    <t>AUX TRANSPORTE MENSUAL:</t>
  </si>
  <si>
    <t>DETERMINACIÓN DEL VALOR DEL JORNAL POR BASE</t>
  </si>
  <si>
    <t>Salario base en SMMLV</t>
  </si>
  <si>
    <t>Salario base expresión monetaria</t>
  </si>
  <si>
    <t>Total jornal diario a reconocer</t>
  </si>
  <si>
    <t>Porcentaje</t>
  </si>
  <si>
    <t>Valor</t>
  </si>
  <si>
    <t>Valor mensual prestaciones</t>
  </si>
  <si>
    <t>Total valor mensual</t>
  </si>
  <si>
    <t>CÁLCULO DEL FACTOR PRESTACIONAL (Para efectos de planeación)</t>
  </si>
  <si>
    <t>% factor prestacional</t>
  </si>
  <si>
    <t>Jornal sin FP</t>
  </si>
  <si>
    <t>Jornal con FP</t>
  </si>
  <si>
    <t>Notas:</t>
  </si>
  <si>
    <t>Código Sustantivo del Trabajo Artículo 133. Jornal y sueldo: “Se denomina jornal el salario estipulado por días, y sueldo el estipulado por períodos mayores.”</t>
  </si>
  <si>
    <t>Independientemente la forma de pago pactada con el trabajador, en ningún caso el trabajador puede devengar un salario inferior al salario mínimo legal establecido, teniendo en cuenta también que los aportes a seguridad social y las acreencias laborales se siguen causando ya que las formas de pago no infieren en el desconocimiento de los derechos ciertos e indiscutibles de los trabajadores.</t>
  </si>
  <si>
    <t>Pago SS por cada jornal a cargo del trabajador</t>
  </si>
  <si>
    <t>Salud</t>
  </si>
  <si>
    <t>Pensión</t>
  </si>
  <si>
    <t>ARL</t>
  </si>
  <si>
    <t>Pago a entidades SS</t>
  </si>
  <si>
    <t>VALORES DE SALARIOS</t>
  </si>
  <si>
    <t>DECRETO NACIONAL:</t>
  </si>
  <si>
    <t xml:space="preserve">961 del 22/08/2021. </t>
  </si>
  <si>
    <t>Salarios percibidos por el personal con vinculación laboral en la corporación, estos valores se utilizan únicamente para cuantificar el aporte en especie corporativo de su personal, en los casos que aplique.</t>
  </si>
  <si>
    <t xml:space="preserve">SALARIOS PERSONAL VINCULADO LABORALMENTE A LA CORPORACIÓN </t>
  </si>
  <si>
    <t xml:space="preserve">Cargo </t>
  </si>
  <si>
    <t>Salario mensual 2021</t>
  </si>
  <si>
    <t>Proyección Salario mensual 2022</t>
  </si>
  <si>
    <t>Salario mensual con factor prestacional</t>
  </si>
  <si>
    <t>Salario diario con factor prestacional</t>
  </si>
  <si>
    <t>Salario por hora con factor prestacional</t>
  </si>
  <si>
    <t>Asistencial 5</t>
  </si>
  <si>
    <t>Asistencial 6</t>
  </si>
  <si>
    <t>Asistencial 7</t>
  </si>
  <si>
    <t>Asistencial 8</t>
  </si>
  <si>
    <t>Asistencial 9</t>
  </si>
  <si>
    <t>Asistencial 10</t>
  </si>
  <si>
    <t>Asistencial 11</t>
  </si>
  <si>
    <t>Asistencial 12</t>
  </si>
  <si>
    <t>Asistencial 13</t>
  </si>
  <si>
    <t>Asistencial 14</t>
  </si>
  <si>
    <t>Asistencial 15</t>
  </si>
  <si>
    <t>Asistencial 16</t>
  </si>
  <si>
    <t>Asistencial 17</t>
  </si>
  <si>
    <t>Asistencial 18</t>
  </si>
  <si>
    <t>Asistencial 19</t>
  </si>
  <si>
    <t>Asistencial 20</t>
  </si>
  <si>
    <t>Asistencial 21</t>
  </si>
  <si>
    <t>Asistencial 22</t>
  </si>
  <si>
    <t>Asistencial 23</t>
  </si>
  <si>
    <t>Asistencial 24</t>
  </si>
  <si>
    <t>Asistencial 25</t>
  </si>
  <si>
    <t>Asistencial 26</t>
  </si>
  <si>
    <t>Técnico 1</t>
  </si>
  <si>
    <t>Técnico 2</t>
  </si>
  <si>
    <t>Técnico 3</t>
  </si>
  <si>
    <t>Técnico 4</t>
  </si>
  <si>
    <t>Técnico 5</t>
  </si>
  <si>
    <t>Técnico 6</t>
  </si>
  <si>
    <t>Técnico 7</t>
  </si>
  <si>
    <t>Técnico 8</t>
  </si>
  <si>
    <t>Técnico 9</t>
  </si>
  <si>
    <t>Técnico 10</t>
  </si>
  <si>
    <t>Técnico 11</t>
  </si>
  <si>
    <t>Técnico 12</t>
  </si>
  <si>
    <t>Técnico 13</t>
  </si>
  <si>
    <t>Técnico 14</t>
  </si>
  <si>
    <t>Técnico 15</t>
  </si>
  <si>
    <t>Técnico 16</t>
  </si>
  <si>
    <t>Técnico 17</t>
  </si>
  <si>
    <t>Técnico 18</t>
  </si>
  <si>
    <t>Profesional 1</t>
  </si>
  <si>
    <t>Profesional 2</t>
  </si>
  <si>
    <t>Profesional 3</t>
  </si>
  <si>
    <t>Profesional 4</t>
  </si>
  <si>
    <t>Profesional 5</t>
  </si>
  <si>
    <t>Profesional 6</t>
  </si>
  <si>
    <t>Profesional 7</t>
  </si>
  <si>
    <t>Profesional 8</t>
  </si>
  <si>
    <t>Profesional 9</t>
  </si>
  <si>
    <t>Profesional 10</t>
  </si>
  <si>
    <t>Profesional 11</t>
  </si>
  <si>
    <t>Profesional 12</t>
  </si>
  <si>
    <t>Profesional 13</t>
  </si>
  <si>
    <t>Profesional 14</t>
  </si>
  <si>
    <t>Profesional 15</t>
  </si>
  <si>
    <t>Profesional 16</t>
  </si>
  <si>
    <t>Profesional 17</t>
  </si>
  <si>
    <t>Profesional 18</t>
  </si>
  <si>
    <t>Profesional 19</t>
  </si>
  <si>
    <t>Profesional 20</t>
  </si>
  <si>
    <t>Profesional 21</t>
  </si>
  <si>
    <t>Profesional 22</t>
  </si>
  <si>
    <t>Profesional 23</t>
  </si>
  <si>
    <t>Profesional 24</t>
  </si>
  <si>
    <t>Asesor 1</t>
  </si>
  <si>
    <t>Asesor 2</t>
  </si>
  <si>
    <t>Asesor 3</t>
  </si>
  <si>
    <t>Asesor 4</t>
  </si>
  <si>
    <t>Asesor 5</t>
  </si>
  <si>
    <t>Asesor 6</t>
  </si>
  <si>
    <t>Asesor 7</t>
  </si>
  <si>
    <t>Asesor 8</t>
  </si>
  <si>
    <t>Asesor 9</t>
  </si>
  <si>
    <t>Asesor 10</t>
  </si>
  <si>
    <t>Asesor 11</t>
  </si>
  <si>
    <t>Asesor 12</t>
  </si>
  <si>
    <t>Asesor 13</t>
  </si>
  <si>
    <t>Asesor 14</t>
  </si>
  <si>
    <t>Asesor 15</t>
  </si>
  <si>
    <t>Asesor 16</t>
  </si>
  <si>
    <t>Asesor 17</t>
  </si>
  <si>
    <t>Asesor 18</t>
  </si>
  <si>
    <t>Directivo 1</t>
  </si>
  <si>
    <t>Directivo 2</t>
  </si>
  <si>
    <t>Directivo 3</t>
  </si>
  <si>
    <t>Directivo 4</t>
  </si>
  <si>
    <t>Directivo 5</t>
  </si>
  <si>
    <t>Directivo 6</t>
  </si>
  <si>
    <t>Directivo 7</t>
  </si>
  <si>
    <t>Directivo 8</t>
  </si>
  <si>
    <t>Directivo 9</t>
  </si>
  <si>
    <t>Directivo 10</t>
  </si>
  <si>
    <t>Directivo 11</t>
  </si>
  <si>
    <t>Directivo 12</t>
  </si>
  <si>
    <t>Directivo 13</t>
  </si>
  <si>
    <t>Directivo 14</t>
  </si>
  <si>
    <t>Directivo 15</t>
  </si>
  <si>
    <t>Directivo 16</t>
  </si>
  <si>
    <t>Directivo 17</t>
  </si>
  <si>
    <t>Directivo 18</t>
  </si>
  <si>
    <t>Directivo 19</t>
  </si>
  <si>
    <t>Directivo 20</t>
  </si>
  <si>
    <t>Directivo 21</t>
  </si>
  <si>
    <t>Directivo 22</t>
  </si>
  <si>
    <t>Directivo 23</t>
  </si>
  <si>
    <t>Directivo 24</t>
  </si>
  <si>
    <t>Directivo 25</t>
  </si>
  <si>
    <t>Directivo 26</t>
  </si>
  <si>
    <t>Directivo 27</t>
  </si>
  <si>
    <t>Directivo 28</t>
  </si>
  <si>
    <t>VALORES DE ALIMENTACIÓN</t>
  </si>
  <si>
    <t>140-MEM2010-6732</t>
  </si>
  <si>
    <t>Relación de costos a considerar en actividades comunitarias de convenios, contratos o actividades propias  y acogernos al: GU-FAF-03-Lineamientos Suministro Alimentacion Logistica Eventos</t>
  </si>
  <si>
    <t>DESAYUNO SERVIDO EN VAJILLA CUANDO SON EVENTOS QUE LA LAS PERSONAS LLEGAN DESDE TEMPRANO A UN EVENTO DE MAS DE SEIS HORAS</t>
  </si>
  <si>
    <t>COSTO</t>
  </si>
  <si>
    <t xml:space="preserve">OBSERVACIONES </t>
  </si>
  <si>
    <t>Arroz</t>
  </si>
  <si>
    <t>$ 10.000 a $12.000</t>
  </si>
  <si>
    <t>El valor depende de la zona, el Bajo Cauca, Magadalena Medio y Nordeste minero son mas costosos que otras zonas</t>
  </si>
  <si>
    <t xml:space="preserve">Huevo revuelto o Chorizo o Salchichas </t>
  </si>
  <si>
    <t>Queso en bajo Cauca y Magdalena Medio  o quesito en otras zonas</t>
  </si>
  <si>
    <t xml:space="preserve">Platano o Yuca en Bajo Cauca, Nordeste minero y Magdalena Medios o Tajadas en otras zonas </t>
  </si>
  <si>
    <t>Arepa</t>
  </si>
  <si>
    <t>Mantequilla o Suero en Bajo Cauca</t>
  </si>
  <si>
    <t>ALMUERZO O COMIDA SERVIDO EN VAJILLA RETORNABLE</t>
  </si>
  <si>
    <t>Sopa o crema: Un plato sopero</t>
  </si>
  <si>
    <t>$ 15.000 a $18.000</t>
  </si>
  <si>
    <t>Arroz: 150 gramos</t>
  </si>
  <si>
    <t>Acompañante: 80 gramos</t>
  </si>
  <si>
    <t>Proteico o carne en cocido: 100 gramos, en el caso de atender comunidades indigenas o afrocolombianas si se ofrece pescado debe ser entero frito o sudado nunca filete y si es pollo o gallina una presa nunca filete de pechuga.</t>
  </si>
  <si>
    <t>Verdura o ensalada: 80 gramos</t>
  </si>
  <si>
    <t>Arepa: 30 gramos</t>
  </si>
  <si>
    <t>Jugo de Fruta Natural: un Vaso de 12 onzas</t>
  </si>
  <si>
    <t>Postre: 30  gramos</t>
  </si>
  <si>
    <t xml:space="preserve">ALMUERZO TIPO FIAMBRE  ENVUELTO EN HOJA Y AMARRADO CON CABUYA NATURAL  cuando hay recorridos </t>
  </si>
  <si>
    <t>Cereal: Arroz Blanco</t>
  </si>
  <si>
    <t>Acompañante: Maduro, yuca y papa cocido o frito</t>
  </si>
  <si>
    <t>Proteico: Carne sofrita y Huevo cocido ó Chorizo, huevo y Chicharron</t>
  </si>
  <si>
    <t>Jugo de Fruta Natural: Jugo de mango, mora o tomate de árbol o guayaba o guandolo.</t>
  </si>
  <si>
    <t>Fruta de Mano: Banano criollo,  Banano Bocadillo o Murrapo, Mandarina, Pera o Manzana</t>
  </si>
  <si>
    <t>Postre: Pastel de guayaba o arequipe</t>
  </si>
  <si>
    <t xml:space="preserve">REFRIGERIO CUANDO LA ACTIVIDAD DURA HASTA CUATRO HORAS  Y NO SE DA ALMUERZO </t>
  </si>
  <si>
    <t>Bebida: Jugo de fruta natural (mango, guayaba, mora o tomate de árbol)</t>
  </si>
  <si>
    <t>$ 8.000</t>
  </si>
  <si>
    <t>Acompañante: Emparedado de Pan, Jamón, carnes frias, queso , lechuga y tomate</t>
  </si>
  <si>
    <t>Fruta Manzana o Pera</t>
  </si>
  <si>
    <t>Postre o chocolatina mediana</t>
  </si>
  <si>
    <t>REFRIGERIO EN LA MAÑANA CUANDO HAY DESAYUNO se recomienda fruta</t>
  </si>
  <si>
    <t xml:space="preserve">Fruta: mango, piña, papaya o melón en porción </t>
  </si>
  <si>
    <t>REFRIGERIO EN LA TARDE</t>
  </si>
  <si>
    <t xml:space="preserve">Torta con Helado, Salpicón sin sandia y con helado, Yogur con cereal, Porción de Helado </t>
  </si>
  <si>
    <t>REFRIGERIO  DE LA MAÑANA  O CUANDO LA ACTIVIDAD ES DE TODO EL DIA Y SE INCLUYEN DOS REFRIGERIOS</t>
  </si>
  <si>
    <t>Bebida: café con leche o chocolate UNA PORCION GRANDE = Taza</t>
  </si>
  <si>
    <t>$5.000 a $8.000</t>
  </si>
  <si>
    <t xml:space="preserve">Acompañanate: en la mañana o en la tarde segun los climas: Arepa GRANDE  con quesito de 60 gramos, Empanadas grandes, Pastel de Pollo grande, Arepa de Huevo,  Buñuelo dos unidades, Pandequeso dos unidades, en la tarde se puede ofrecer arroz con leche y quesito o mazamorra con bocadillo en taza grande, PORCIONES GRANDES </t>
  </si>
  <si>
    <t xml:space="preserve">Para el caso de atencion de eventos con Niñas y Niños se puede ofrecer </t>
  </si>
  <si>
    <t xml:space="preserve">PREPARACIONES PROPUESTAS </t>
  </si>
  <si>
    <t xml:space="preserve">• Bebida: jugo de fruta natural, bebida con leche o bebida achocolatada.
• Acompañante: Emparedado de jamón y queso.
• Arroz con leche, quesito
• Colada de avena y galletas con Mantequilla.
• Ensalada de frutas con leche condensada
• Salpicón con helado
• Yogurt, banano y cereal 
• Chocolate con leche y pandequeso, buñuelos o empanadas
• Malteada con torta
• Pastel de Guayaba o arequipe con un vaso con leche. 
• Jugo de fruta natural con un perro pequeño o un pan salchicha
• Palito de queso con bebida achocolatada.
• Natilla con buñuelos.
</t>
  </si>
  <si>
    <t>con este dinero alcanza para preparar refrigerios para 15 niños, tal como se describe en el listado</t>
  </si>
  <si>
    <t>ACTUALIZACIÓN DE VALORES</t>
  </si>
  <si>
    <t>Inflación</t>
  </si>
  <si>
    <t>Año</t>
  </si>
  <si>
    <t xml:space="preserve">Valor </t>
  </si>
  <si>
    <t>DESAYUNO SERVIDO EN VAJILLA - Límite inferior</t>
  </si>
  <si>
    <t>DESAYUNO SERVIDO EN VAJILLA - Límite superior</t>
  </si>
  <si>
    <t>ALMUERZO O COMIDA SERVIDO EN VAJILLA RETORNABLE - Límite inferior</t>
  </si>
  <si>
    <t>ALMUERZO O COMIDA SERVIDO EN VAJILLA RETORNABLE - Límite superior</t>
  </si>
  <si>
    <t>ALMUERZO TIPO FIAMBRE  - Límite inferior</t>
  </si>
  <si>
    <t>ALMUERZO TIPO FIAMBRE  - Límite superior</t>
  </si>
  <si>
    <t>REFRIGERIO  DE LA MAÑANA  O CUANDO LA ACTIVIDAD ES DE TODO EL DIA Y SE INCLUYEN DOS REFRIGERIOS - Límite inferior</t>
  </si>
  <si>
    <t>REFRIGERIO  DE LA MAÑANA  O CUANDO LA ACTIVIDAD ES DE TODO EL DIA Y SE INCLUYEN DOS REFRIGERIOS - Límite superior</t>
  </si>
  <si>
    <t>PREPARACIONES PROPUESTAS  (15 niños)</t>
  </si>
  <si>
    <r>
      <rPr>
        <b/>
        <u/>
        <sz val="10"/>
        <rFont val="Arial"/>
        <family val="2"/>
      </rPr>
      <t>Nota</t>
    </r>
    <r>
      <rPr>
        <sz val="10"/>
        <rFont val="Arial"/>
        <family val="2"/>
      </rPr>
      <t xml:space="preserve">: En caso de las variables que se actualicen por parte de otras dependencias, la Subdirección Administrativa y Financiera actualizará la variable posterior a que la subdirección encargada emita el memorando, para estos casos, si hay cambio de vigencia (de un año a otro), se utilizará el valor que actualmente este establecido por memorando, actualizado con la inflación anual de la vigencia pasada, y redondeado a la centena más cercana. </t>
    </r>
  </si>
  <si>
    <t>VALORES DE DISTINTIVOS CORPORATIVOS</t>
  </si>
  <si>
    <t>MEMORANDO  SUBDIRECCIÓN DE COMUNICACIONES:</t>
  </si>
  <si>
    <t>040OC-MEM2204-3298</t>
  </si>
  <si>
    <t>VALOR 
(IVA incluido)</t>
  </si>
  <si>
    <t>Camisa tipo polo, color agua marina, con dos logos</t>
  </si>
  <si>
    <t>Gorra color beige con dos logos</t>
  </si>
  <si>
    <t>Pava con protector de cuello y ojales plásticos color beige, con dos logos</t>
  </si>
  <si>
    <t>Camibuso color gris o azul oscuro en tela fresca liviana con dos logos</t>
  </si>
  <si>
    <t>Camisa blanca manga larga con dos logos</t>
  </si>
  <si>
    <t>Chaleco color beige con 4 bolsillos y cinta reflectiva</t>
  </si>
  <si>
    <r>
      <rPr>
        <b/>
        <u/>
        <sz val="10"/>
        <color theme="1"/>
        <rFont val="Arial"/>
        <family val="2"/>
      </rPr>
      <t>Nota:</t>
    </r>
    <r>
      <rPr>
        <sz val="10"/>
        <color theme="1"/>
        <rFont val="Arial"/>
        <family val="2"/>
      </rPr>
      <t xml:space="preserve"> Es importante tener en cuenta que estos valores pueden variar por diferentes razones: número de logos, si éstos son estampados o impresos, tipos de tela, cantidad de prendas, por lo anterior se debe tomar el precio antes mencionado, como una referencia de valores aproximados. </t>
    </r>
  </si>
  <si>
    <t>CUANTÍAS PARA CONTRATAR</t>
  </si>
  <si>
    <t>CIRCULAR:</t>
  </si>
  <si>
    <t>040-CIR2205-12</t>
  </si>
  <si>
    <t>Presupuesto corporativo</t>
  </si>
  <si>
    <t>De conformidad con el literal b, artículo 2 de la Ley 1150 de 2007 adicionado por el artículo 274 de la Ley 1450 de 2011, en consonancia con lo dispuesto en el artículo 2.2.1.2.1.5.2 del Decreto 1082 de 2015; las cuantías para los diferentes procesos de selección que debe adelantar la Corporación quedarán de la siguiente manera:</t>
  </si>
  <si>
    <t>Modalidad</t>
  </si>
  <si>
    <t>Límite inferior</t>
  </si>
  <si>
    <t>Mínima cuantía</t>
  </si>
  <si>
    <t>Menor cuantía</t>
  </si>
  <si>
    <t>Licitación pública</t>
  </si>
  <si>
    <t>En adelante</t>
  </si>
  <si>
    <t>DOCUMENTOS DE APOYO</t>
  </si>
  <si>
    <t>CÓDIGO: F-PGC-21                                                                                         VERSIÓN: 02</t>
  </si>
  <si>
    <t>NORMATIVIDAD</t>
  </si>
  <si>
    <t>Norma</t>
  </si>
  <si>
    <t>Fecha</t>
  </si>
  <si>
    <t>Título</t>
  </si>
  <si>
    <t>Ley 80 de 1993</t>
  </si>
  <si>
    <t>Por la cual se expide el Estatuto General de Contratación de la Administración Pública</t>
  </si>
  <si>
    <t>Ley 816 de 2003</t>
  </si>
  <si>
    <t>Por medio de la cual se apoya a la industria nacional a través de la contratación pública</t>
  </si>
  <si>
    <t>Ley 905 de 2004</t>
  </si>
  <si>
    <t>Por medio de la cual se modifica la Ley 590 de 2000 sobre promoción del desarrollo de la micro, pequeña y mediana empresa colombiana y se dictan otras disposiciones</t>
  </si>
  <si>
    <t>Ley 1106 de 2006</t>
  </si>
  <si>
    <t>Por medio de la cual se prorroga la vigencia de la Ley 418 de 1997 prorrogada y modificada por las Leyes 548 de 1999 y 782 de 2002 y se modifican algunas de sus disposiciones.</t>
  </si>
  <si>
    <t>Ley 1150 de 2007</t>
  </si>
  <si>
    <t>Por medio de la cual se introducen medidas para la eficiencia y la transparencia en la Ley 80 de 1993 y se dictan otras disposiciones generales sobre la contratación con Recursos Públicos</t>
  </si>
  <si>
    <t>Ley 1697 de 2013</t>
  </si>
  <si>
    <t>Por la cual se crea la estampilla Pro Universidad Nacional de Colombia y demás universidades estatales de Colombia.</t>
  </si>
  <si>
    <t>Ley 2022 de 2020</t>
  </si>
  <si>
    <t>Por la cual modifica el artículo 4 de la ley 1882 de 2018 y se dictan otras disposiciones</t>
  </si>
  <si>
    <t>Decreto 4170 de 2011</t>
  </si>
  <si>
    <t>Por el cual se crea la Agencia Nacional de Contratación Pública –Colombia Compra Eficiente–, se determinan sus objetivos y estructura.</t>
  </si>
  <si>
    <t>Decreto 1510 de 2013</t>
  </si>
  <si>
    <t>Por el cual se reglamenta el sistema de compras y contratación pública.</t>
  </si>
  <si>
    <t>Decreto1082 de 2015</t>
  </si>
  <si>
    <t>Por medio del cual se expide el decreto único reglamentario del sector administrativo de planeación nacional</t>
  </si>
  <si>
    <t>Decreto 310 de 2021</t>
  </si>
  <si>
    <t>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t>
  </si>
  <si>
    <t>Decreto 399 de 2021</t>
  </si>
  <si>
    <t>Por el cual se modifican los artículos 2.2.1.1.2.1.1., 2.2.1.2.1.3.2. Y 2.2.1.2.3.1.14., Y se adicionan unos parágrafos transitorios a los artículos 2.2.1.1.1.5.2., 2.2.1.1.1.5.6. Y 2.2.1.1.1.6.2. del Decreto 1082 de 2015, Único Reglamentario del Sector Administrativo de Planeación Nacional</t>
  </si>
  <si>
    <t>Decreto 579 de 2021</t>
  </si>
  <si>
    <t>Por el cual se sustituyen los parágrafos transitorios del artículo 2.2.1.1.1.5.2., el parágrafo transitorio 1 del artículo 2.2.1.1.1.5.6., así como el parágrafo transitorio del artículo 2.2.1.1.1.6.2. del Decreto 1082 de 2015, Único Reglamentario del Sector Administrativo de Planeación Nacional, para que los proponentes acrediten el mejor indicador financiero y organizacional de los últimos 3 años, con el fin de contribuir a la reactivación económica</t>
  </si>
  <si>
    <t>Decreto 680 de 2021</t>
  </si>
  <si>
    <t>Por el cual se modifica parcialmente el artículo 2.2.1.1.1.3.1. y se adiciona el artículo 2.2.1.2.4.2.9. al Decreto 1082 de 2015, Único Reglamentario del Sector Administrativo de Planeación Nacional, en relación con la regla de origen de servicios en el Sistema de Compra Pública</t>
  </si>
  <si>
    <t>Decreto 1279 de 2021</t>
  </si>
  <si>
    <t xml:space="preserve">Por el cual se reglamenta el artículo 6 de la Ley 1920 de 2018 y se adicionan unos artículos a la Subsección 2 de la Sección 4 del Capítulo 2 del Título 1 de la Parte 2 del Libro 2 del Decreto 1082 de 2015, Único Reglamentario del Sector Administrativo de Planeación Nacional </t>
  </si>
  <si>
    <t>Decreto 1860 de 2021</t>
  </si>
  <si>
    <t>Por el cual se modifica y adiciona el Decreto 1082 de 2015, Único Reglamentario del Sector Administrativo de Planeación Nacional, con el fin reglamentar los artículos 30,31,32,34 y 35 de la Ley 2069 de 2020, en lo relativo al sistema de compras públicas y se dictan otras disposiciones</t>
  </si>
  <si>
    <t>Decreto 442 de 2022</t>
  </si>
  <si>
    <t>Por el cual se modifica el Decreto 1082 de 2015, Único Reglamentario del Sector Administrativo de Planeación Nacional, con el fin de reglamentar el artículo 36 de la Ley 2069 de 2020 en lo relativo a la promoción de las compras públicas de tecnología e innovación</t>
  </si>
  <si>
    <t>GUÍAS Y MANUALES  (Colombia Compra Eficiente)</t>
  </si>
  <si>
    <t>Ruta</t>
  </si>
  <si>
    <t xml:space="preserve">Guía para Determinar y Verificar la Capacidad Residual del Proponente en los Procesos de Contratación de Obra Pública </t>
  </si>
  <si>
    <t>https://colombiacompra.gov.co/manuales-guias-y-pliegos-tipo/manuales-y-guias/guia-para-determinar-y-verificar-la-capacidad</t>
  </si>
  <si>
    <t>Guía para el manejo de ofertas artificialmente bajas en Procesos de Contratación</t>
  </si>
  <si>
    <t>https://colombiacompra.gov.co/manuales-guias-y-pliegos-tipo/manuales-y-guias/guia-para-el-manejo-de-ofertas-artificialmente-bajas</t>
  </si>
  <si>
    <t>Guía para la contratación con entidades privadas sin ánimo de lucro y de reconocida idoneidad</t>
  </si>
  <si>
    <t>https://colombiacompra.gov.co/sites/cce_public/files/cce_documents/cce_guia_esal.pdf</t>
  </si>
  <si>
    <t>Guía para la Elaboración de Estudios de Sector</t>
  </si>
  <si>
    <t>https://colombiacompra.gov.co/sites/cce_public/files/cce_documents/cce_guia_elaboracion_estudios.pdf</t>
  </si>
  <si>
    <t>Manual para determinar y verificar los requisitos habilitantes en los Procesos de Contratación</t>
  </si>
  <si>
    <t>https://colombiacompra.gov.co/manuales-guias-y-pliegos-tipo/manuales-y-guias/manual-para-determinar-y-verificar-los-requisitos</t>
  </si>
  <si>
    <t>Para acceder a todos los manuales, guías y documentos tipo de Colombia Compra Eficiente, acceder a la ruta: https://colombiacompra.gov.co/manuales-guias-y-pliegos-tipo/manuales-y-guias</t>
  </si>
  <si>
    <t>CONCEPTOS</t>
  </si>
  <si>
    <t>Entidad</t>
  </si>
  <si>
    <t>Tema</t>
  </si>
  <si>
    <t>Colombia Compra Eficiente</t>
  </si>
  <si>
    <t>Trabajos materiales sobre bienes inmuebles (inmuebles por adhesión) como obra pública</t>
  </si>
  <si>
    <t>Consejo de Estado</t>
  </si>
  <si>
    <t>Los contratos de prestación de servicios de mantenimiento por arreglos locativos sobre bienes inmuebles son contratos de obra</t>
  </si>
  <si>
    <t>Contraloría general de Medellín</t>
  </si>
  <si>
    <t>Posición respecto el reconocimiento y pago de los recursos establecidos como imprevistos (I) y Administración (A)</t>
  </si>
  <si>
    <t>DIAN</t>
  </si>
  <si>
    <t>Obligación de expedir factura de venta en convenios</t>
  </si>
  <si>
    <t>DIRECTRICES INTERNAS</t>
  </si>
  <si>
    <t>Radicado</t>
  </si>
  <si>
    <t>Resolución 1202 - 16601</t>
  </si>
  <si>
    <t>Procedimiento interno para la conformación de los comités asesores y evaluadores</t>
  </si>
  <si>
    <t>MN-FAF-01</t>
  </si>
  <si>
    <t>V 17  - 09/2018</t>
  </si>
  <si>
    <t>Manual de contratación</t>
  </si>
  <si>
    <t>180-MEM1902-1392</t>
  </si>
  <si>
    <t>Lineamientos en materia de supervisión e interventoría de contratos tipo bolsa</t>
  </si>
  <si>
    <t>180-MEM1905-4400</t>
  </si>
  <si>
    <t>Obligaciones a tener en cuenta en los convenios suscritos por la corporación (apertura de cuenta de ahorros y reintegro de rendimientos financieros)</t>
  </si>
  <si>
    <t>180-MEM2102-888</t>
  </si>
  <si>
    <t>Conocimiento y aplicación de normas que modifican actuaciones en materia de contratación estatal</t>
  </si>
  <si>
    <t>180-MEM2104-2897</t>
  </si>
  <si>
    <t>Socialización concepto C-150 de 2021 - Contratación directa</t>
  </si>
  <si>
    <t>180-MEM2110-7038</t>
  </si>
  <si>
    <t>Reconocimiento de viáticos en los contratos de prestación de servicios con personas naturales</t>
  </si>
  <si>
    <t>INFORMACIÓN PROCESOS DE OBRA PÚBLICA Y CAPACIDAD RESIDUAL (K)</t>
  </si>
  <si>
    <t>¿Qué son los contratos de obra?</t>
  </si>
  <si>
    <r>
      <t xml:space="preserve">El artículo 32 de la Ley 80 de 1993, establece, "Son contratos estatales todos los actos jurídicos generadores de obligaciones que celebren las entidades a que se refiere el presente estatuto, previstos en el derecho privado o en disposiciones especiales, o derivados del ejercicio de la autonomía de la voluntad, así como los que, a título enunciativo, se definen a continuación:
</t>
    </r>
    <r>
      <rPr>
        <b/>
        <sz val="10"/>
        <color theme="1"/>
        <rFont val="Arial"/>
        <family val="2"/>
      </rPr>
      <t>1°. Contrato de Obra</t>
    </r>
    <r>
      <rPr>
        <sz val="10"/>
        <color theme="1"/>
        <rFont val="Arial"/>
        <family val="2"/>
      </rPr>
      <t>. Son contratos de obra los que celebren las entidades estatales para la construcción, mantenimiento, instalación y, en general, para la realización de cualquier otro trabajo material sobre bienes inmuebles, cualquiera que sea la modalidad de ejecución y apoyo. 
En los contratos de obra que hayan sido celebrados como resultado de un proceso de licitación o públicos, la interventoría deberá ser contratada con una persona independiente de la entidad contratante y del contratista, quien responderá por los hechos y omisiones que le fueren imputables en los términos previstos en el artículo 53 del presente estatuto".</t>
    </r>
  </si>
  <si>
    <t>Fuente: Ley 80 de 1993</t>
  </si>
  <si>
    <t>¿Sobre qué tipos de bienes inmuebles aplican los contratos de obra pública?</t>
  </si>
  <si>
    <t>Los contratos de obra pública aplican sobre los siguientes tipos de bienes inmuebles,</t>
  </si>
  <si>
    <r>
      <rPr>
        <b/>
        <sz val="10"/>
        <color theme="1"/>
        <rFont val="Arial"/>
        <family val="2"/>
      </rPr>
      <t>Inmuebles por naturaleza</t>
    </r>
    <r>
      <rPr>
        <sz val="10"/>
        <color theme="1"/>
        <rFont val="Arial"/>
        <family val="2"/>
      </rPr>
      <t xml:space="preserve">. Inmuebles o fincas o bienes raíces son las cosas que no pueden transportarse de un lugar a otro; como las tierras y minas, y las que adhieren permanentemente a ellas, como los edificios, los árboles, las casas y veredas se llaman predios o fundos.(Art. 656 Código civil)
</t>
    </r>
  </si>
  <si>
    <r>
      <rPr>
        <b/>
        <sz val="10"/>
        <color theme="1"/>
        <rFont val="Arial"/>
        <family val="2"/>
      </rPr>
      <t>Inmuebles por adhesión</t>
    </r>
    <r>
      <rPr>
        <sz val="10"/>
        <color theme="1"/>
        <rFont val="Arial"/>
        <family val="2"/>
      </rPr>
      <t xml:space="preserve">. Las plantas son inmuebles, mientras adhieren al suelo por sus raíces, a menos que estén en macetas o cajones que puedan transportarse de un lugar a otro. (Art. 657 Código civil)
</t>
    </r>
  </si>
  <si>
    <r>
      <rPr>
        <b/>
        <sz val="10"/>
        <color theme="1"/>
        <rFont val="Arial"/>
        <family val="2"/>
      </rPr>
      <t>Inmuebles por destinación</t>
    </r>
    <r>
      <rPr>
        <sz val="10"/>
        <color theme="1"/>
        <rFont val="Arial"/>
        <family val="2"/>
      </rPr>
      <t xml:space="preserve">. Se reputan inmuebles, aunque por su naturaleza no lo sean, las cosas que están permanentemente destinadas al uso, cultivo y beneficio de un inmueble, sin embargo, de que puedan separarse sin detrimento. Tales son, por ejemplo: Las losas de un pavimento, Los tubos de las cañerías, Los utensilios de labranza o minería, y los animales actualmente destinados al cultivo o beneficio de una finca, con tal que hayan sido puestos en ella por el dueño de la finca, Los abonos existentes en ella y destinados por el dueño de la finca a mejorarla, Las prensas, calderas, cubas, alambiques, toneles y máquinas que forman parte de un establecimiento industrial adherente al suelo y pertenecen al dueño de éste, Los animales que se guardan en conejeras, pajareras, estanques, colmenas y cualesquiera otros vivares, con tal que estos adhieran al suelo, o sean parte del suelo mismo o de un edificio. (Art. 658 Código civil)
</t>
    </r>
  </si>
  <si>
    <t>¿La reforestación y el mantenimiento de plantaciones se consideran obra pública?</t>
  </si>
  <si>
    <t xml:space="preserve">El concepto de Colombia Compra Eficiente C-225 de 2020 con Radicado No: 2202013000002653, aclara en su parte motiva que la reforestación y el mantenimiento de plantaciones se consideran de obra pública por lo que una vez se siembran plantaciones, esto constituye un trabajo material sobre bien inmueble y una vez se tenga la siembra, adquiere la categoria de inmuebles por adhesion, esto según el artículo 656 y 657 del código civil. </t>
  </si>
  <si>
    <t xml:space="preserve">Fuente: 180-MEM2106-3887 </t>
  </si>
  <si>
    <t>¿Qué contribuciones especiales se dan en los contratos de obra pública?</t>
  </si>
  <si>
    <t>La contribución de los contratos de obra pública o concesión de obra pública y otras concesiones, regulada por el artículo 6° de la Ley 1106 de 2006.</t>
  </si>
  <si>
    <t>La estampilla Pro Universidad Nacional de Colombia y demás universidades estatales de Colombia, establecida en la Ley 1697 de 2013.</t>
  </si>
  <si>
    <t>¿En qué consiste la contribución de los contratos de obra pública o concesión de obra pública y otras concesiones?</t>
  </si>
  <si>
    <t>La Ley 1106 de 2006 en su artículo 6° postula, "Todas las personas naturales o jurídicas que suscriban contratos de obra pública, con entidades de derecho público o celebren contratos de adición al valor de los existentes deberán pagar a favor de la Nación, Departamento o Municipio, según el nivel al cual pertenezca la entidad pública contratante una contribución equivalente al cinco por ciento (5%) del valor total del correspondiente contrato o de la respectiva adición".</t>
  </si>
  <si>
    <t>¿En qué consiste la estampilla Pro Universidad Nacional de Colombia y demás universidades estatales de Colombia?</t>
  </si>
  <si>
    <r>
      <t xml:space="preserve">La Ley 1697 de 2013 postula,
</t>
    </r>
    <r>
      <rPr>
        <b/>
        <sz val="10"/>
        <color theme="1"/>
        <rFont val="Arial"/>
        <family val="2"/>
      </rPr>
      <t>Artículo  5°. Hecho generador</t>
    </r>
    <r>
      <rPr>
        <sz val="10"/>
        <color theme="1"/>
        <rFont val="Arial"/>
        <family val="2"/>
      </rPr>
      <t>. Está constituido por todo contrato de obra que suscriban las entidades del orden nacional, definidas por el artículo 2° de la Ley 80 de 1993, en cualquier lugar del territorio en donde se ejecute la obra, sus adiciones en dinero y en cualquiera que sea la modalidad de pago del precio del contrato. En tal caso, el hecho generador se extiende a los contratos conexos al de obra, esto es: diseño, operación, mantenimiento o interventoría y demás definidos en la Ley 80 de 1993, artículo 32 numeral 2.</t>
    </r>
  </si>
  <si>
    <r>
      <rPr>
        <b/>
        <sz val="10"/>
        <color theme="1"/>
        <rFont val="Arial"/>
        <family val="2"/>
      </rPr>
      <t>Artículo 6°. Sujeto pasivo</t>
    </r>
    <r>
      <rPr>
        <sz val="10"/>
        <color theme="1"/>
        <rFont val="Arial"/>
        <family val="2"/>
      </rPr>
      <t>. El tributo estará a cargo de la persona natural, jurídica, consorcio o unión temporal que funja como contratista en los negocios jurídicos a que se refiere el artículo anterior.</t>
    </r>
  </si>
  <si>
    <r>
      <rPr>
        <b/>
        <sz val="10"/>
        <color theme="1"/>
        <rFont val="Arial"/>
        <family val="2"/>
      </rPr>
      <t>Artículo 8°. Base gravable y tarifa.</t>
    </r>
    <r>
      <rPr>
        <sz val="10"/>
        <color theme="1"/>
        <rFont val="Arial"/>
        <family val="2"/>
      </rPr>
      <t xml:space="preserve"> El sujeto pasivo definido en el artículo 6° de la presente ley pagará por las suscripciones de los contratos de obra pública y sus conexos en función de las siguientes bases y tarifas: por los contratos cuyo valor esté entre 1 y 2.000 smmlv pagarán el 0.5%. Los contratos entre 2.001 y 6.000 smmlv pagarán el 1% y los contratos mayores a 6.001 smmlv pagarán el 2%.
Parágrafo. En cuanto no sea posible determinar el valor del hecho generador, definido en el artículo 5° de la presente ley, al momento de su respectiva suscripción, la base gravable se determinará como el valor correspondiente al momento del pago, por el término de duración del contrato respectivo.
</t>
    </r>
    <r>
      <rPr>
        <b/>
        <sz val="10"/>
        <color theme="1"/>
        <rFont val="Arial"/>
        <family val="2"/>
      </rPr>
      <t>Artículo 9°. Causación</t>
    </r>
    <r>
      <rPr>
        <sz val="10"/>
        <color theme="1"/>
        <rFont val="Arial"/>
        <family val="2"/>
      </rPr>
      <t>. Es obligación de las entidades contratantes retener de manera proporcional al pago o pagos realizados al contratista, el porcentaje correspondiente a la contribución de estampilla definido según el Artículo 8° de la presente ley.</t>
    </r>
  </si>
  <si>
    <t>¿Qué es la capacidad residual (K) de contratación?</t>
  </si>
  <si>
    <t>La Capacidad Residual es la aptitud de un contratista para cumplir oportuna y cabalmente con el objeto de un contrato de obra, sin que sus otros compromisos contractuales afecten su habilidad de responder con el contrato objeto del Proceso de Contratación. En los Documentos del Proceso de un contrato de obra pública, la Entidad Estatal debe establecer un requisito adicional a los requisitos habilitantes que es la Capacidad Residual o K de Contratación el cual deben cumplir los interesados en participar en un Proceso de Contratación para la ejecución de una obra pública.</t>
  </si>
  <si>
    <t>Fuente: Guía para Determinar y Verificar la Capacidad Residual del Proponente en los Procesos de Contratación de Obra Pública. Colombia Compra eficiente</t>
  </si>
  <si>
    <t>¿Cómo se determina la capacidad residual (K) de contratación?</t>
  </si>
  <si>
    <t>El artículo 72 de la Ley 1682 de 2013 por la cual se adoptan medidas y disposiciones para los proyectos de infraestructura de transporte y se conceden facultades extraordinarias, estableció: “Artículo 72. Capacidad residual de contratación para contratos de obra pública. La capacidad residual de contratación cuando se realicen contratos de obra pública se obtendrá de sustraer de la capacidad de contratación, el saldo del valor de los contratos en ejecución.
La capacidad de contratación se deberá calcular mediante la evaluación de los siguientes factores: Experiencia (E), Capacidad Financiera (CF), Capacidad Técnica (CT), y Capacidad de Organización (CO).
Para los efectos de la evaluación de los factores mencionados en el inciso anterior, por ningún motivo, ni bajo ninguna circunstancia se podrán tener en cuenta la rentabilidad y las utilidades (...)”
Por tanto, Colombia Compra Eficiente debe definir la metodología para calcular la Capacidad Residual del proponente teniendo en cuenta los factores previstos en la Ley 1682 de 2013, sin que estos se consideren iguales o similares a los requisitos habilitantes establecidos en el artículo 10 del Decreto 1510 de 2013.</t>
  </si>
  <si>
    <t>Para determinar la capacidad residual (K) de contratación, para un proceso en especifíco, se recomienda:
1. Estudiar la guía de Colombia Compra Eficiente, dispuesta para ello, por medio de la ruta: https://colombiacompra.gov.co/manuales-guias-y-pliegos-tipo/manuales-y-guias/guia-para-determinar-y-verificar-la-capacidad
2. Utilizar el aplicativo para cálcular la  capacidad residual (K) de contratación de Colombia Compra Eficiente, dispuesto para ello, el cual, se obtiene en la ruta: https://colombiacompra.gov.co/manuales-guias-y-pliegos-tipo/manuales-y-guias/aplicacion-para-establecer-la-capacidad-residual</t>
  </si>
  <si>
    <t>IMPUESTOS Y GARANTÍAS</t>
  </si>
  <si>
    <t xml:space="preserve"> IMPUESTOS</t>
  </si>
  <si>
    <t>A continuación, se encontrará una lista enunciativa de los impuestos en los que puede incurrir el ejecutor, los cuales dependen de la especificidad del proceso. Lista de carácter informativa en caso que se emitan consultas al respecto.</t>
  </si>
  <si>
    <t>Base para la aplicación de los impuestos</t>
  </si>
  <si>
    <t>Aplica (Si/No)</t>
  </si>
  <si>
    <t>IMPUESTOS EN CONTRATOS</t>
  </si>
  <si>
    <t>Impuesto sobre la Renta</t>
  </si>
  <si>
    <t>Aplica para contratos celebrados con contribuyentes del impuesto sobre la renta</t>
  </si>
  <si>
    <t>Impuesto de ICA y complementarios</t>
  </si>
  <si>
    <t>Aplica para contratos celebrados donde se materialice la realización de actividades industriales, de comercio y de servicio sometidos del impuesto de industria y comercio</t>
  </si>
  <si>
    <t>GMF 4x1000</t>
  </si>
  <si>
    <t>Aplica para contratos donde el GMF no se asuma con cargos a rendimientos financieros generados que pertenezcan a la entidad</t>
  </si>
  <si>
    <t>Contribución Especial de obra pública</t>
  </si>
  <si>
    <t>Aplica para contratos de obra pública celebrados directamente por la corporación y convenios con entidades públicas que deriven en un contrato de obra pública</t>
  </si>
  <si>
    <t>Estampilla Pro UNAL</t>
  </si>
  <si>
    <t>Aplica para contratos de obra pública y conexos celebrados directamente por la corporación y convenios con entidades públicas de orden nacional que deriven en un contrato de obra pública</t>
  </si>
  <si>
    <t>IMPUESTOS EN CONVENIOS CON ENTIDADES DE ORDEN NACIONAL</t>
  </si>
  <si>
    <t>GMF 4x1000 (contratista)</t>
  </si>
  <si>
    <t>Aplica para convenios con entidades de orden departamental cuya ejecución requiera la contratación de operador externo adelantada directamente por el conveniante</t>
  </si>
  <si>
    <t>Estampilla Politécnico JIC</t>
  </si>
  <si>
    <t>Aplica para contratos celebrados por la corporación con personas diferentes a las entidades oficiales, Juntas de Acción Comunal, etc</t>
  </si>
  <si>
    <t>IMPUESTOS EN CONVENIOS CON ENTIDADES DE ORDEN DEPARTAMENTAL</t>
  </si>
  <si>
    <t>Estampilla Bienestar del Adulto Mayor</t>
  </si>
  <si>
    <t>Aplica para convenios con entidades de orden departamental cuya ejecución requiera la contratación de operador externo adelantada directamente por la entidad territorial respectiva</t>
  </si>
  <si>
    <t>Estampilla Pro-Desarrollo</t>
  </si>
  <si>
    <t>Estampilla Pro-Hospitales Públicos</t>
  </si>
  <si>
    <t>Estampilla Pro-Institución UE</t>
  </si>
  <si>
    <t>Estampilla Pro-Deporte y Recreación</t>
  </si>
  <si>
    <t>IMPUESTOS EN CONVENIOS CON ENTIDADES DE ORDEN MUNICIPAL</t>
  </si>
  <si>
    <t>Estampilla Procultura</t>
  </si>
  <si>
    <t>Estampilla Pro-Universidad de Antioquia</t>
  </si>
  <si>
    <t xml:space="preserve">Estampilla Pro-hospital </t>
  </si>
  <si>
    <t>PÓLIZAS DE GARANTÍAS</t>
  </si>
  <si>
    <t>A continuación, se encontrará una lista enunciativa de las pólizas de garantías en las que puede incurrir el ejecutor, las cuales dependen de la especificidad del proceso. Lista de carácter informativa en caso que se emitan consultas al respecto.</t>
  </si>
  <si>
    <t>Seriedad de la oferta</t>
  </si>
  <si>
    <t>Desde la presentación de la oferta y hasta la aprobación de la garantía de cumplimiento.</t>
  </si>
  <si>
    <t>Cumplimiento</t>
  </si>
  <si>
    <t>Debe estar vigente como mínimo hasta la liquidación del contrato.</t>
  </si>
  <si>
    <t>Buen manejo y correcta inversión del anticipo</t>
  </si>
  <si>
    <t>Hasta la liquidación del contrato o hasta la amortización del anticipo, de acuerdo con lo que determine la Entidad Estatal.</t>
  </si>
  <si>
    <t>Pago anticipado</t>
  </si>
  <si>
    <t>Hasta la liquidación del contrato o hasta que la Entidad Estatal verifique el cumplimiento de todas las actividades o la entrega de todos los bienes o servicios asociados al pago anticipado.</t>
  </si>
  <si>
    <t>Pagos de salarios, prestaciones sociales legales e indemnizaciones laborales</t>
  </si>
  <si>
    <t>Debe estar vigente por el plazo del contrato y tres años más.</t>
  </si>
  <si>
    <t>Estabilidad y calidad de la obra</t>
  </si>
  <si>
    <t>Debe estar vigente por un término no inferior a cinco años contados a partir de la fecha en la cual la Entidad Estatal recibe a satisfacción la obra.</t>
  </si>
  <si>
    <t>Calidad del servicio</t>
  </si>
  <si>
    <t>La vigencia del amparo debe ser determinada por la Entidad Estatal de acuerdo con el objeto, el valor, la naturaleza y las obligaciones contenidas en el contrato.</t>
  </si>
  <si>
    <t>Calidad del servicio en contratos de interventoría</t>
  </si>
  <si>
    <t>La vigencia debe ser igual al plazo de la garantía de estabilidad y calidad de la obra del contrato principal.</t>
  </si>
  <si>
    <t>Calidad de bienes</t>
  </si>
  <si>
    <t>La vigencia del amparo debe ser determinada por la Entidad Estatal de acuerdo con el objeto, el valor, la naturaleza y las obligaciones contenidas en el contrato, la garantía mínima y los vicios ocultos.</t>
  </si>
  <si>
    <t>Responsabilidad civil extracontractual</t>
  </si>
  <si>
    <t>La vigencia de esta garantía deberá ser igual al período de ejecución del contrato.</t>
  </si>
  <si>
    <t>INFORMACIÓN ANTICIPOS Y PAGOS ANTICIPADOS</t>
  </si>
  <si>
    <r>
      <rPr>
        <b/>
        <sz val="10"/>
        <color theme="1"/>
        <rFont val="Arial"/>
        <family val="2"/>
      </rPr>
      <t>Consideración incial</t>
    </r>
    <r>
      <rPr>
        <sz val="10"/>
        <color theme="1"/>
        <rFont val="Arial"/>
        <family val="2"/>
      </rPr>
      <t>: La programación financiera debe ser coherente con la programación física, todo pago que no sea soportado en la ejecución física efectiva y certificada es un anticipo o pago anticipado.</t>
    </r>
  </si>
  <si>
    <t xml:space="preserve">¿Cuál es la diferencia entre el anticipo y el pago anticipado? </t>
  </si>
  <si>
    <t>El anticipo es un adelanto o avance del precio del contrato destinado a apalancar el cumplimiento de su objeto, de modo que los recursos girados por dicho concepto solo se integran al patrimonio del contratista en la medida que se cause su amortización mediante la ejecución de actividades programadas del contrato. El pago anticipado es un pago efectivo del precio de forma que los recursos se integran al patrimonio del contratista desde su desembolso.</t>
  </si>
  <si>
    <t>Fuente: https://colombiacompra.gov.co/ciudadanos/preguntas-frecuentes/ejecucion</t>
  </si>
  <si>
    <t>¿Cuál es el manejo que se deben dar a los pagos anticipados y anticipos en la contratación estatal?</t>
  </si>
  <si>
    <t xml:space="preserve">Salvo casos excepcionales plenamente justificados y motivados, las entidades no pactarán pagos anticipados. Esta restricción no se aplicará al Sector de la Defensa Nacional. 
Para el caso de los anticipos se establece como criterio que la entrega de recursos se realice utilizando instrumentos financieros que aseguren el manejo transparente de los recursos y su destinación exclusiva al contrato. 
Deberá estipularse en los contratos estatales que la entidad pública contratante es la propietaria de los recursos entregados en calidad de anticipo y en consecuencia los rendimientos financieros que los mismos generen pertenecen al Tesoro. </t>
  </si>
  <si>
    <t>Fuente: Directiva presidencial 04 de 2003.</t>
  </si>
  <si>
    <t>¿Cuál es el monto máximo en que se puede pactar el pago anticipado y la entrega del anticipo?</t>
  </si>
  <si>
    <t>En los contratos que celebren las entidades estatales se podrá pactar el pago anticipado y la entrega de anticipos, pero su monto no podrá exceder del cincuenta por ciento (50%) del valor del respectivo contrato.
Los contratos no podrán adicionarse en más del cincuenta por ciento (50%) de su valor inicial, expresado este en salarios mínimos legales mensuales.</t>
  </si>
  <si>
    <t>Fuente: Parágrafo. Artículo 40°, Ley 80 de 1993.</t>
  </si>
  <si>
    <t>¿Hay estipulaciones especiales para la entrega de anticipos?</t>
  </si>
  <si>
    <t>En los contratos de obra, concesión, salud, o los que se realicen por licitación pública, el contratista deberá constituir una fiducia o un patrimonio autónomo irrevocable para el manejo de los recursos que reciba a título de anticipo, con el fin de garantizar que dichos recursos se apliquen exclusivamente a la ejecución del contrato correspondiente, salvo que el contrato sea de menor o mínima cuantía.
El costo de la comisión fiduciaria será cubierto directamente por el contratista.
PARÁGRAFO . La información financiera y contable de la fiducia podrá ser consultada por los Organismos de Vigilancia y Control Fiscal.</t>
  </si>
  <si>
    <t>Fuente: Artículo 91°, Ley 1474 de 2011.</t>
  </si>
  <si>
    <t>¿Qué manejo debe dar la Entidad Estatal al anticipo cuando no es obligatorio constituir un patrimonio autónomo?</t>
  </si>
  <si>
    <t>Para los contratos en que se pacta el anticipo pero no es obligatorio constituir un patrimonio autónomo para su manejo, la Entidad Estatal debe adoptar medidas necesarias y razonables de mitigación del Riesgo para asegurar el buen manejo y la correcta inversión del anticipo, entre las cuales puede solicitar la constitución de una garantía. En este caso, también es necesario contar con un plan de inversión o utilización de los recursos del anticipo, que permita a la Entidad Estatal identificar las actividades necesarias para la amortización del anticipo y las demás actividades que se remuneran con recursos adicionales.
En los casos previstos en el artículo 91 de la Ley 1474 de 2011, es decir los contratos que requieren patrimonio autónomo para el manejo del anticipo, debe existir un plan de utilización o de inversión del anticipo y los pagos deben corresponder a los rubros allí previstos.</t>
  </si>
  <si>
    <t>Memoria de cálculo opc 1</t>
  </si>
  <si>
    <t>Gastos de adm</t>
  </si>
  <si>
    <t>INFORMACIÓN IVA</t>
  </si>
  <si>
    <t>Presupuesto contrato</t>
  </si>
  <si>
    <t>Memoria de cálculo opc 2</t>
  </si>
  <si>
    <t>Presupuesto convenio</t>
  </si>
  <si>
    <t>Memoria de cálculo opc 3</t>
  </si>
  <si>
    <t>¿Qué es el IVA?</t>
  </si>
  <si>
    <t>El impuesto sobre las ventas o Impuesto al Valor Agregado (IVA), es un impuesto de orden nacional, indirecto, de causación instantánea y de régimen general. Es un impuesto de orden nacional bajo el entendido que las reglas aplicables al impuesto se dan de forma similar en todo el territorio nacional. Es un impuesto indirecto, ya que no tiene en cuenta la capacidad económica de las personas, es decir, que no está relacionado con el poder adquisitivo de estas. El impuesto sobre las ventas es un impuesto de causación instantánea toda vez que este se genera en el momento en el que se cumple con el hecho generador; es decir, que la causación se da en el momento en que el que se realiza la operación. De manera general, grava la venta de bienes y la prestación de servicios.</t>
  </si>
  <si>
    <t>Fuente: Curso Fiscalización tributaria, aduanera, cambiaria e internacional - TACI, Universidad Sergio Arboleda - DIAN, 2021</t>
  </si>
  <si>
    <t>¿Quiénes son responsables del IVA?</t>
  </si>
  <si>
    <t>Por regla general toda persona natural o jurídica que venda productos gravados con el Iva o preste servicios gravados con el Iva, es responsable del impuesto a las ventas. Si el contribuyente, persona natural o jurídica, vende productos o presta servicios que no están gravados con Iva, no son responsables del Iva.
No obstante, hay excepciones estipuladas en el Art. 437 del Estatuto Tributario, el cual se cita en extenso,</t>
  </si>
  <si>
    <t>Art. 437. Los comerciantes y quienes realicen actos similares a los de ellos y los importadores son sujetos pasivos.
Son responsables del impuesto:
a. En las ventas, los comerciantes, cualquiera que sea la fase de los ciclos de producción y distribución en la que actúen y quienes sin poseer tal carácter, ejecuten habitualmente actos similares a los de aquellos.
b. En las ventas de aerodinos, tanto los comerciantes como los vendedores ocasionales de éstos.
c. Quienes presten servicios.
d. Los importadores.
e. Los contribuyentes pertenecientes al régimen común del impuesto sobre las ventas, cuando realicen compras o adquieran servicios gravados con personas pertenecientes al régimen simplificado, por el valor del impuesto retenido, sobre dichas transacciones.</t>
  </si>
  <si>
    <t>f. ** -Adicionado- Los contribuyentes pertenecientes al régimen común del Impuesto sobre las Ventas, por el impuesto causado en la compra o adquisición de los bienes y servicios gravados relacionados en el artículo 468-1, cuando estos sean enajenados o prestados por personas naturales no comerciantes que no se hayan inscrito en el régimen común del impuesto sobre las ventas.
El impuesto causado en estas operaciones será asumido por el comprador o adquirente del régimen común, y deberá ser declarado y consignado en el mes correspondiente a la fecha del pago o abono en cuenta. El impuesto retenido podrá ser tratado como descontable en la forma prevista por los artículos 485, 485-1, 488 y 490 de este Estatuto. Sobre las operaciones previstas en este literal, cualquiera sea su cuantía, el adquirente emitirá al vendedor el documento equivalente a la factura, en los términos que señale el reglamento.
Los consorcios y uniones temporales cuando en forma directa sean ellos quienes realicen actividades gravadas.
La responsabilidad se extiende también a la venta de bienes corporales muebles aunque no se enajenen dentro del giro ordinario del negocio, pero respecto de cuya adquisición o importación se hubiere generado derecho al descuento.</t>
  </si>
  <si>
    <t>PAR. A las personas que pertenezcan al régimen simplificado, que vendan bienes o presten servicios, les esta prohibido adicionar al precio suma alguna por concepto del impuesto sobre las ventas. Si lo hicieren, deberán cumplir íntegramente con las obligaciones predicables de quienes pertenecen al régimen común.</t>
  </si>
  <si>
    <t xml:space="preserve"> -Adionado- PARÁGRAFO 2. La Dirección de Impuestos y Aduanas Nacionales establecerá mediante resolución el procedimiento mediante el cual los prestadores de servicios desde el exterior cumplirán con sus obligaciones, entre ellas la de declarar y pagar, en su calidad de responsables cuando los servicios prestados se encuentren gravados.
La Obligación aqui prevista solamente se hará exigible a partir del 1 de julio de 2018, salvo en aquellos casos previstos en el numeral 3 del artículo 437-2 de este Estatuto.
Nota 1. Estas declaraciones podrán presentarse mediante un formulario, que permitirá liquidar la obligación tributaria en dólares convertida a pesos colombianos a latasa de cambio representativa de mercado –TRM del día de la declaración y pago. Las declaraciones presentadas sin pago total no producirán efecto, sin necesidad de acto administrativo que así lo declare.
Los prestadores de servicios desde el exterior, sin residencia fiscal en Colombia, no estarán obligados a expedir factura o documento equivalente por laprestación de los servicios electrónicos o digitales. Lo anterior sin perjuicio de las facultades de la Dirección de Impuestos y Aduanas Nacionales -DIAN para establecer la obligación de facturar electrónicamente o de soportar las operaciones en un documento electrónico.</t>
  </si>
  <si>
    <t xml:space="preserve">Nota 1. PARÁGRAFO 3. Deberán registrarse como responsables del IVA quienes realicen actividades gravadas con el impuesto, con excepción de las personas naturales comerciantes y los artesanos, que sean minoristas o detallistas, los pequeños agricultores y los ganaderos, así como quienes presten servicios, siempre y cuando cumplan la totalidad de las siguientes condiciones:
1. Que en el año anterior o en el año en curso hubieren obtenido ingresos brutostotales provenientes de la actividad, inferiores a 3.500 UVT.
2. Que no tengan más de un establecimiento de comercio, oficina, sede, local onegocio donde ejerzan su actividad.
3. Que en el establecimiento de comercio, oficina, sede, local o negocio no sedesarrollen actividades bajo franquicia, concesión, regalía, autorización ocualquier otro sistema que implique la explotación de intangibles.
4. Que no sean usuarios aduaneros.
5. Que no hayan celebrado en el año inmediatamente anterior ni en el año encurso contratos de venta de bienes y/o prestación de servicios gravados porvalor individual, igual o superior a 3.500 UVT.
6. Que el monto de sus consignaciones bancarias, depósitos o inversionesfinancieras durante el año anterior o durante el respectivo año, provenientes deactividades gravadas con el impuesto sobre las ventas – IVA, no supere la sumade 3.500 UVT.
</t>
  </si>
  <si>
    <t>Para la celebración de contratos de venta de bienes y/o de prestación deservicios gravados por cuantía individual y superior a 3.500 UVT, estas personas deberán inscribirse previamente como responsables del impuesto sobre lasventas –IVA, formalidad que deberá exigirse por el contratista para la procedencia de costos y deducciones. Lo anterior también será aplicable cuando un mismo contratista celebre varios contratos que superen la suma de 3.500 UVT.
Los responsables del impuesto sólo podrán solicitar su retiro del régimen cuando demuestren que en el año fiscal anterior se cumplieron, las condiciones establecidas en la presente disposición.
Cuando los no responsables realicen operaciones con los responsables del impuesto deberán registrar en el Registro Único Tributario -RUT su condición detales y entregar copia del mismo al adquirente de los bienes o servicios, en lostérminos señalados en el reglamento.
Autorícese a la Dirección de Impuestos y Aduanas Nacionales –DIAN para adoptar medidas tendientes al control de la evasión, para lo cual podrá imponer obligaciones formales a los sujetos no responsables a que alude la presente disposición. De conformidad con el artículo 869 y siguientes de este Estatuto, la Dirección de Impuestos y Aduanas Nacionales –DIAN tiene la facultad de desconocer toda operación o serie de operaciones cuyo propósito sea inaplicar la presente disposición, como: (i) la cancelación injustificada de establecimientos de comercio para abrir uno nuevo con el mismo objeto o actividad y (ii) el fraccionamiento de la actividad empresarial en varios miembros de una familia para evitar la inscripción del prestador de los bienes y servicios gravados en elrégimen de responsabilidad del impuesto sobre las ventas -IVA.
Para efectos de la inclusión de oficio como responsable del impuesto sobre las ventas -IVA, la Administración Tributaria también tendrá en cuenta los costos y gastos atribuibles a los bienes y servicios gravados, como arrendamientos, pagos por seguridad social y servicios públicos, y otra información que estádisponible en su sistema de información masiva y análisis de riesgo.</t>
  </si>
  <si>
    <t>Nota 1. Parágrafo 4. No serán responsables del impuesto sobre las ventas – IVA los contribuyentes del impuesto unificado bajo el Régimen Simple de Tributación -SIMPLE cuando únicamente desarrollen una o más actividades establecidas enel numeral 1 del artículo 908 del Estatuto Tributario.
***- Por el año 2022, tampoco serán responsables del impuesto sobre las ventas - IVA, los contribuyentes del impuesto unificado bajo el Régimen Simple de Tributación -SIMPLE cuando únicamente desarrollen actividades de expendio de comidas y bebidas de las que trata el numeral 4 del artículo 908 del Estatuto Tributario.
Nota 1. Parágrafo 5. Los límites de que trata el parágrafo 3 de este artículo serán 4.000 UVT para aquellos prestadores de servicios personas naturales que derivan susingresos de contratos con el Estado.</t>
  </si>
  <si>
    <t>¿Qué son los bienes gravados, exentos y excluidos ?</t>
  </si>
  <si>
    <t>Los bienes o servicios gravados son los que están sometidos a una determinada tarifa, ya sea la general (19%) o especial (5%).
Los bienes exentos son aquellos bienes que están gravados a una tarifa de 0% (cero).
Los bienes excluidos son aquellos que por expresa disposición legal no están gravados con el impuesto.
La principal diferencia consiste en que los bienes exentos dan derecho a descontar el impuesto que se pague por sus insumos, materias primas y demás costos directos e indirectos, en tanto que los bienes excluidos no lo pueden hacer, el Iva que paguen por cualquier concepto deben llevarlo como un mayor valor del gasto o costo.</t>
  </si>
  <si>
    <t>https://www.gerencie.com/impuesto-a-las-ventas.</t>
  </si>
  <si>
    <t xml:space="preserve">
Fuente: Curso Fiscalización tributaria, aduanera, cambiaria e internacional - TACI, Universidad Sergio Arboleda - DIAN, 2021</t>
  </si>
  <si>
    <t>¿Cuál es la base gravable sobre la cual recae el IVA ?</t>
  </si>
  <si>
    <t>El artículo 447 del ET señala lo siguiente: 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Es decir, que la base gravable está compuesta por la totalidad de los valores facturados y los servicios prestados que hacen parte integral de la operación, aún cuando las mismas normas indiquen que algunos de los bienes o servicios gravados se encuentran excluidos o exentos del impuesto sobre las ventas.
No obstante, la Ley también determina bases gravables especiales, resaltando las siguientes:</t>
  </si>
  <si>
    <r>
      <rPr>
        <u/>
        <sz val="10"/>
        <color theme="1"/>
        <rFont val="Arial"/>
        <family val="2"/>
      </rPr>
      <t>Base gravable en los contratos de construcción de bien inmueble</t>
    </r>
    <r>
      <rPr>
        <sz val="10"/>
        <color theme="1"/>
        <rFont val="Arial"/>
        <family val="2"/>
      </rPr>
      <t xml:space="preserve">:  En los contratos de construcción de inmuebles, el impuesto sobre las ventas se genera sobre la parte de los ingresos correspondiente a los honorarios obtenidos por el constructor de acuerdo con el artículo 3 del Decreto 1372 de 1992. En el evento en que no se pacten honorarios el impuesto se causará sobre la remuneración del servicio que corresponda a la utilidad del constructor. Lo anterior se deberá señalar en el contrato, y deberá corresponder al valor comercial para contratos iguales o similares. 
</t>
    </r>
  </si>
  <si>
    <r>
      <rPr>
        <u/>
        <sz val="10"/>
        <color theme="1"/>
        <rFont val="Arial"/>
        <family val="2"/>
      </rPr>
      <t>Base gravable en las importaciones</t>
    </r>
    <r>
      <rPr>
        <sz val="10"/>
        <color theme="1"/>
        <rFont val="Arial"/>
        <family val="2"/>
      </rPr>
      <t>: Para el caso de las importaciones, la base gravable para liquidar el impuesto sobre las ventas es la misma sobre la cual se liquidaron los derechos de aduana, no obstante, se debe incrementar en dicho valor, según el artículo 459 del ET. Si se trata de mercancías que involucren servicio o intangibles, la base gravable se determinará aplicando las normas sobre valoración aduanera teniendo en cuenta lo establecido por el Acuerdo de Valoración de la Organización Mundial de Comercio - OMC</t>
    </r>
  </si>
  <si>
    <r>
      <rPr>
        <u/>
        <sz val="10"/>
        <color theme="1"/>
        <rFont val="Arial"/>
        <family val="2"/>
      </rPr>
      <t>Base gravable en servicios de clubes</t>
    </r>
    <r>
      <rPr>
        <sz val="10"/>
        <color theme="1"/>
        <rFont val="Arial"/>
        <family val="2"/>
      </rPr>
      <t>: Para los servicios en clubes sociales al impuesto sobre las ventas se causa sobre todo pago que reciba el club de sus asociados o de terceros, por cualquier concepto que constituya ingreso en razón de su actividad, de acuerdo con el artículo 460 del ET.</t>
    </r>
  </si>
  <si>
    <r>
      <rPr>
        <u/>
        <sz val="10"/>
        <color theme="1"/>
        <rFont val="Arial"/>
        <family val="2"/>
      </rPr>
      <t>Base gravable en servicio de transporte internacional de pasajeros</t>
    </r>
    <r>
      <rPr>
        <sz val="10"/>
        <color theme="1"/>
        <rFont val="Arial"/>
        <family val="2"/>
      </rPr>
      <t>: En el caso del servicio de transporte internacional de pasajeros, el impuesto se liquidará sobre el valor total del tiquete u orden de cambio cuando estos se expidan de una vía solamente y sobre 
el cincuenta por ciento (50%) de su valor cuando se expidan de ida y regreso, según el artículo 461 del ET. Cuando la base gravable sea en moneda extranjera se utilizará la tasa de cambio vigente en la fecha de emisión del tiquete.</t>
    </r>
  </si>
  <si>
    <t>¿Hay consideraciones especiales del IVA respecto a los contratos de obra?</t>
  </si>
  <si>
    <t>Respecto a la aplicación del IVA en los contratos de obra, habrá que considerar:
- La base gravable del IVA en los contratos de obra si son de construcción son los honorarios, o en su defecto la utilidad del contratista (artículo 1.3.1.7.9 del decreto 1625 de 2016), por su parte, la base gravable del IVA en los contratos de obra si son de mantenimiento, son sobre el total de la operación
- Los contratos de Obras Públicas que celebren las personas naturales o jurídicas con las Entidades Territoriales y/o Entidades Descentralizadas del Orden Departamental y Municipal estarán excluidos del IVA (artículo 100 de la ley 21 de 1992)</t>
  </si>
  <si>
    <t>¿Qué es la exclusión del IVA por Adquisición de Elementos, Maquinaria y Equipos Requeridos para Sistemas de Control y Monitoreo Ambiental?</t>
  </si>
  <si>
    <t>Es el trámite para la obtención de la certificación ambiental de que tratan los artículos 424 numeral 7, 428 literales f) e i) del Estatuto Tributario y que tiene como propósito la obtención de la exclusión del impuesto sobre las ventas IVA establecida en los mismos para:
Articulo 424 numeral 7: Los equipos y elementos nacionales o importados que se destinen a la construcción, instalación, montaje y operación de sistemas de control y monitoreo, necesarios para el cumplimiento de las disposiciones, regulaciones y estándares ambientales vigentes, para lo cual deberá acreditarse tal condición ante el Ministerio de Ambiente y Desarrollo Sostenible.
Artículo 428 literal (f): La importación de maquinaria o equipo, siempre y cuando dicha maquinaria o equipo no se produzcan en el país, destinados a reciclar y procesar basuras o desperdicios (la maquinaria comprende lavado, separado, reciclado y extrusión), y los destinados a la depuración o tratamiento de aguas residuales, emisiones atmosféricas o residuos sólidos, para recuperación de los ríos o el saneamiento básico para lograr el mejoramiento del medio ambiente, siempre y cuando hagan parte de un programa que se apruebe por el Ministerio del Medio Ambiente. Cuando se trate de contratos ya celebrados, esta exención deberá reflejarse en un menor valor del contrato. Así mismo, los equipos para el control y monitoreo ambiental, incluidos aquellos para cumplir con los compromisos del protocolo de Montreal.</t>
  </si>
  <si>
    <t>Nota: La exclusión del IVA por Adquisición de Elementos, Maquinaria y Equipos Requeridos para Sistemas de Control y Monitoreo Ambiental solo se trámita ante el ANLA</t>
  </si>
  <si>
    <t>Fuente: http://portal.anla.gov.co/exclusion-del-iva-adquisicion-elementos-maquinaria-y-equipos-requeridos-sistemas-control-y-monitoreo</t>
  </si>
  <si>
    <t>¿Cuáles servicios están excluidos del impuesto sobre las ventas -IVA-?</t>
  </si>
  <si>
    <t>Estatuto tributario, Art. 476.</t>
  </si>
  <si>
    <r>
      <t>Nota 1. </t>
    </r>
    <r>
      <rPr>
        <sz val="10"/>
        <color rgb="FF000000"/>
        <rFont val="Arial"/>
        <family val="2"/>
      </rPr>
      <t>Se exceptúan del impuesto los siguientes servicios y los bienes relacionados explícitamente a continuación:</t>
    </r>
  </si>
  <si>
    <t>1. Los servicios médicos, odontológicos, hospitalarios, clínicos y de laboratorio, para la salud humana.</t>
  </si>
  <si>
    <t>2. Los servicios de administración de fondos del Estado y los servicios vinculados con la seguridad social de acuerdo con lo previsto en la Ley 100 de 1993.</t>
  </si>
  <si>
    <t>3. Los planes obligatorios de salud del sistema de seguridad social en salud expedidos por entidades autorizadas por la Superintendencia Nacional de Salud, los servicios prestados por las administradoras dentro del régimen de ahorro individual con solidaridad y de prima media con prestación definida, los servicios prestados por administradoras de riesgos laborales y los servicios de seguros y reaseguros para invalidez y sobrevivientes, contemplados dentro del régimen de ahorro individual con solidaridad a que se refiere el artículo 135 de la Ley 100 de 1993 o las disposiciones que la modifiquen o sustituyan.</t>
  </si>
  <si>
    <t>4. Las comisiones por intermediación por la colocación de los planes de salud del sistema general de seguridad social en salud expedidos por las entidades autorizadas legalmente por la Superintendencia Nacional de Salud, que no estén sometidos al impuesto sobre las ventas -IVA.</t>
  </si>
  <si>
    <t>5.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t>
  </si>
  <si>
    <t>6. Los servicios de educación virtual para el desarrollo de contenidos digitales, de acuerdo con la reglamentación expedida por el Ministerio de Tecnologías de la Información y las Comunicaciones, prestados en Colombia o en el exterior.</t>
  </si>
  <si>
    <t>7. Los servicios de conexión y acceso a internet de los usuarios residenciales del estrato 3.</t>
  </si>
  <si>
    <t>8. En el caso del servicio telefónico local, se excluyen del impuesto los primeros trescientos veinticinco (325) minutos mensuales del servicio telefónico local facturado a los usuarios de los estratos 1, 2 y 3 y el servicio telefónico prestado desde teléfonos públicos.</t>
  </si>
  <si>
    <t>9. El servicio de transporte público, terrestre, fluvial y marítimo de personas en el territorio nacional, y el de transporte público o privado nacional e internacional de carga marítimo, fluvial, terrestre y aéreo. Igualmente, se excluye el transporte de gas e hidrocarburos.</t>
  </si>
  <si>
    <t>10. El transporte aéreo nacional de pasajeros con destino o procedencia de rutas nacionales donde no exista transporte terrestre organizado. Esta exclusión también aplica para el transporte aéreo turístico con destino o procedencia al departamento de La Guajira y los municipios de Nuquí, en el Departamento de Chocó, Mompóx en el Departamento de Bolívar, Tolú, en el Departamento de Sucre, Miraflores en el Departamento del Guaviare y Puerto Carreño en el departamento del Vichada.</t>
  </si>
  <si>
    <t>11. Los servicios públicos de energía. La energía y los servicios públicos de energía a base de gas u otros insumos.</t>
  </si>
  <si>
    <t>12. El agua para la prestación del servicio público de acueducto y alcantarillado, los servicios públicos de acueducto y alcantarillado, los servicios de aseo público y los servicios públicos de recolección de basuras.</t>
  </si>
  <si>
    <t>13. El gas para la prestación del servicio público de gas domiciliario y el servicio de gas domiciliario, ya sea conducido por tubería o distribuido en cilindros.</t>
  </si>
  <si>
    <t>14. Los servicios de alimentación, contratados con recursos públicos, destinados al sistema penitenciario, de asistencia social, de escuelas de educación pública, a las Fuerzas Militares, Policía Nacional, Centro de Desarrollo Infantil, centros geriátricos públicos, hospitales públicos, comedores comunitarios.</t>
  </si>
  <si>
    <t>15. El servicio de arrendamiento de inmuebles para vivienda y el arrendamiento de espacios para exposiciones y muestras artesanales nacionales, incluidos los eventos artísticos y culturales.</t>
  </si>
  <si>
    <t>16. Los intereses y rendimientos financieros por operaciones de crédito, siempre que no formen parte de la base gravable señalada en el artículo 447, y el arrendamiento financiero (leasing).</t>
  </si>
  <si>
    <t>17. Los servicios de intermediación para el pago de incentivos o transferencias monetarias condicionadas en el marco de los programas sociales del Gobierno Nacional.</t>
  </si>
  <si>
    <t>18. Las boletas de entrada a cine, a los eventos deportivos, culturales, incluidos los musicales y de recreación familiar, y los espectáculos de toros, hípicos y caninos. También se encuentran excluidos los servicios de que trata el artículo 6 de la Ley 1493 de 2011.</t>
  </si>
  <si>
    <t>19. Los servicios funerarios, los de cremación, inhumación y exhumación de cadáveres, alquiler y mantenimiento de tumbas y mausoleos.</t>
  </si>
  <si>
    <t>20. Adquisición de licencias de software para el desarrollo comercial de contenidos digitales, de acuerdo con la reglamentación expedida por el Ministerio de Tecnologías de la Información y Comunicaciones.</t>
  </si>
  <si>
    <t>21. Suministro de páginas web, servidores (hosting), computación en la nube (cloud computing).</t>
  </si>
  <si>
    <t>22. Las comisiones pagadas por los servicios que se presten para el desarrollo de procesos de titularización de activos a través de universalidades y patrimonios autónomos cuyo pago se realice exclusivamente con cargo a los recursos de tales universalidades o patrimonios autónomos.</t>
  </si>
  <si>
    <t>23. Las comisiones percibidas por las sociedades fiduciarias, sociedades administradoras de inversión y comisionistas de bolsa por la administración de fondos de inversión colectiva. </t>
  </si>
  <si>
    <t>24. Los siguientes servicios, siempre que se destinen a la adecuación de tierras, a la producción agropecuaria y pesquera y a la comercialización de los respectivos productos: </t>
  </si>
  <si>
    <t>a) El riego de terrenos dedicados a la explotación agropecuaria; </t>
  </si>
  <si>
    <t>b) El diseño de sistemas de riego, su instalación, construcción, operación, administración y conservación; </t>
  </si>
  <si>
    <t>c) La construcción de reservorios para la actividad agropecuaria; </t>
  </si>
  <si>
    <t>d) La preparación y limpieza de terrenos de siembra; </t>
  </si>
  <si>
    <t>e) El control de plagas, enfermedades y malezas, incluida la fumigación aérea y terrestre de sembradíos; </t>
  </si>
  <si>
    <t>f) El corte y recolección manual y mecanizada de productos agropecuarios; </t>
  </si>
  <si>
    <t>g) Aplicación de fertilizantes y elementos de nutrición edáfica y foliar de los cultivos; </t>
  </si>
  <si>
    <t>h) Aplicación de sales mineralizadas; </t>
  </si>
  <si>
    <t>i) Aplicación de enmiendas agrícolas; </t>
  </si>
  <si>
    <t>j) Aplicación de insumos como vacunas y productos veterinarios; </t>
  </si>
  <si>
    <t>k) El pesaje y el alquiler de corrales en ferias de ganado mayor y menor; </t>
  </si>
  <si>
    <t>l) La siembra; </t>
  </si>
  <si>
    <t>m) La construcción de drenajes para la agricultura; </t>
  </si>
  <si>
    <t>n) La construcción de estanques para la piscicultura; </t>
  </si>
  <si>
    <t>o) Los programas de sanidad animal; </t>
  </si>
  <si>
    <t>p) La perforación de pozos profundos para la extracción de agua; </t>
  </si>
  <si>
    <t>q) El desmonte de algodón, la trilla y el secamiento de productos agrícolas; </t>
  </si>
  <si>
    <t>r) La selección, clasificación y el empaque de productos agropecuarios sin procesamiento industrial; </t>
  </si>
  <si>
    <t>s) La asistencia técnica en el sector agropecuario; </t>
  </si>
  <si>
    <t>t) La captura, procesamiento y comercialización de productos pesqueros; </t>
  </si>
  <si>
    <t>Los usuarios de los servicios excluidos por el presente numeral deberán expedir una certificación a quien preste el servicio, en donde conste la destinación, el valor y el nombre e identificación del mismo. Quien preste el servicio deberá conservar dicha certificación durante el plazo señalado en el artículo 632 del Estatuto Tributario, la cual servirá como soporte para la exclusión de los servicios. </t>
  </si>
  <si>
    <t>25. La comercialización de animales vivos y el servicio de faenamiento. </t>
  </si>
  <si>
    <t>26. Están excluidos de IVA los servicios de hotelería y turismo que sean prestados en los municipios que integran las siguientes zonas de régimen aduanero especial: a. Zona de régimen aduanero especial de Urabá, Tumaco y Guapi. b. Zona de régimen aduanero especial de Inírida, Puerto Carreño, La Primavera y Cumaribo. c. Zona de régimen aduanero especial de Maicao, Uribía y Manaure. </t>
  </si>
  <si>
    <t>27. Las operaciones cambiarias de compra y venta de divisas, así como las operaciones cambiarias sobre instrumentos derivados financieros. </t>
  </si>
  <si>
    <t>28. Las comisiones percibidas por la utilización de tarjetas crédito y débito. </t>
  </si>
  <si>
    <t>29. Los servicios de promoción y fomento deportivo prestados por los clubes deportivos definidos en el artículo 2 del Decreto Ley 1228 de 1995. </t>
  </si>
  <si>
    <t>30. Los servicios de reparación y mantenimiento de naves y artefactos navales tanto maritimos como fluviales de bandera colombiana, excepto los servicios que se encuentran en el literal P) del numeral 3 del artículo 477 de este Estatuto. </t>
  </si>
  <si>
    <t>31. Los servicios de publicidad en periódicos que registren ventas en publicidad a 31 de diciembre del año inmediatamente anterior inferiores a 180.000 UVT. </t>
  </si>
  <si>
    <t>La publicidad en las emisoras de radio cuyas ventas sean inferiores a 30.000 UVT al 31 de diciembre del año inmediatamente anterior y programadoras de canales regionales de televisión cuyas ventas sean inferiores a 60.000 UVT al 31 de diciembre del año inmediatamente anterior. Aquellas que superen este monto se regirán por la regla general. </t>
  </si>
  <si>
    <t>Las exclusiones previstas en este numeral no se aplicarán a las empresas que surjan como consecuencia de la escisión de sociedades que antes de la expedición de la presente Ley conformen una sola empresa ni a las nuevas empresas que se creen cuya matriz o empresa dominante se encuentre gravada con el IVA por este concepto. </t>
  </si>
  <si>
    <t>32. Los servicios de corretaje de contratos de reaseguros. </t>
  </si>
  <si>
    <r>
      <t>PARÁGRAFO.</t>
    </r>
    <r>
      <rPr>
        <sz val="10"/>
        <color rgb="FF000000"/>
        <rFont val="Arial"/>
        <family val="2"/>
      </rPr>
      <t> En los casos de trabajos de fabricación, elaboración o construcción de bienes corporales muebles, realizados por encargo de terceros, incluidos los destinados a convertirse en inmuebles por accesión, con o sin aporte de materias primas, ya sea que supongan la obtención del producto final o constituyan una etapa de su fabricación, elaboración, construcción o puesta en condiciones de utilización, la tarifa aplicable es la que corresponda al bien que resulte de la prestación del servicio. </t>
    </r>
  </si>
  <si>
    <t>Lo dispuesto en el presente parágrafo no aplica para las industrias de minería e hidrocarburos. </t>
  </si>
  <si>
    <t>Propuesta económica Opc 1</t>
  </si>
  <si>
    <t>NOTAS PROPUESTA ECONÓMICA</t>
  </si>
  <si>
    <t>Propuesta económica Opc 2</t>
  </si>
  <si>
    <t>Propuesta económica Opc 3</t>
  </si>
  <si>
    <t>A continuación, se encontrará una lista enunciativa de notas que pueden ser incluidas en el formato de propuesta económica, de acuerdo, a la especificidad del proceso.
La elección de las notas es de responsabilidad del asesor(a) financiero(a), quien podrá contar con apoyo del asesor(a) técnico(a) y asesor(a) jurídico(a) del proceso, para llevar a cabo dicho cometido. 
En concordancia con las características del proceso, se podrán utilizar notas que no estén relacionadas en la siguiente lista enunciativa.</t>
  </si>
  <si>
    <t>Notas sobre diligenciamiento</t>
  </si>
  <si>
    <t>Nota: Este formato es inmodificable en cuanto a los ítems y las cantidades solicitadas.</t>
  </si>
  <si>
    <t>Nota: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a los Estudios previos del proceso.</t>
  </si>
  <si>
    <t>Nota: El proponente deberá establecer los valores unitarios, los valores totales (de conformidad con las cantidades solicitadas) y los subtotales para cada vigencia, al igual, que los valores que totalizan las vigencias (espacios subrayados en gris claro). Será causal de rechazo no diligenciar o modificar, uno o varios de los ítems solicitados. Los valores deben estar acorde a las especificaciones técnicas de acuerdo a los Estudios previos del proceso, y se deben expresar en números enteros o sin decimales.</t>
  </si>
  <si>
    <t>Nota: El presente formato también podrá ser diligenciado en formato Excel, en caso de presentarse la propuesta económica en ambos formatos sus cifras deberán ser coincidentes, so pena de rechazo.</t>
  </si>
  <si>
    <t xml:space="preserve">Nota: El formato 6 - PROPUESTA ECONÓMICA se debe presentar en archivo tipo Excel y pdf, si entre ellos existe alguna diferencia, primará el documento presentado en archivo pdf.  </t>
  </si>
  <si>
    <t>Nota: El oferente deberá diligenciar los Valores unitarios del oferente antes de AU e IVA, para cada uno de los ítems ajustados al peso (redondear), bien sea por exceso o por defecto. Propuesta que en su formato no relacione el precio de los Valores unitarios del oferente antes de AU e IVA, será rechazada.</t>
  </si>
  <si>
    <t>Nota: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No. 6 presentado por el proponente, se entenderá como no escrita, prevaleciendo la descripción y unidad descritas en el dicho formato.</t>
  </si>
  <si>
    <t>Nota: El formato denominado Anexo 6 - Documento Estandarizado Propuesta Económica,  es la tabla conformada por la oferta económica del proponente para xxxxxx y sus diferentes ítems, contemplados en el presupuesto oficial o Memoria de Cálculo del Formato FT-FAF-175, de la entidad para el presente proceso de contratación. Dichas actividades o ítems son las que han sido requeridas en el histórico de la entidad o en actividades previstas para la presente vigencia. La tabla esta compuesta por los siguientes capítulos, Subcapítulos y actividades:
Capítulo 1.  XXXXXXX (SUMA Subcapítulos A+B).
Capítulo 2.   - XXXXXXXX - A DEMANDA (precio no modificable por el oferente).
En el caso del Capítulo 2, las actividades hacen parte de la bolsa de recursos descrita en la nota X, la cual se ejecutará A DEMANDA y cuyo valor no puede ser modificado por el oferente. Sin embargo, el oferente deberá ofertar los precios unitarios de las actividades incluidas en el formato, es decir, los ítems XX a XX del Subcapítulo X. VARIOS; y XX a XX del subcapitulo D. XXXXXXXXXXXXXXX
La no presentación del valor unitario de una o varias de las actividades y costos consignados en este documento será causal de rechazo de la oferta. Igualmente cuando en la presentación de valores que, en caso de error del oferente, no se les pueda realizar una corrección aritmética sin afectar el valor de la oferta en contra de los demás oferentes. Asi mismo, será causal de rechazo cuando uno o varios de los valores unitarios ofertados de las tabla superen el X% de acuerdo con el precio establecido en el Formato FT-FAF-175,  Presupuesto oficial o Memoria de Cálculo.</t>
  </si>
  <si>
    <t>Notas sobre estipulación de valores y porcentajes</t>
  </si>
  <si>
    <t>Nota: Los valores que se asignen en valores unitarios deberán sostenerse y demostrar su cumplimiento durante la ejecución del contrato.</t>
  </si>
  <si>
    <t>Nota: Sobre los valores unitarios – precio base antes de IVA de cada ítem referenciados en la ficha técnica (formato FT-FAF-117), los oferentes podrán manejar un margen del x% como incremento en el precio unitario, sin embargo, la sumatoria del valor total de la lista de valores unitarios (antes de IVA) que se oferte como propuesta económica no podrá ser superior a la sumatoria del valor total de la lista de valores unitarios (antes de IVA) estimada por la Corporación (memoria del cálculo formato FT FAF-175).</t>
  </si>
  <si>
    <t>Nota: Para el grupo X: Sobre el valor unitario – precio base antes de IVA del ítem referenciado en la ficha técnica (formato FT-FAF-117) los oferentes podrán manejar un margen del x% como incremento en el precio unitario,  que corresponde a $x.</t>
  </si>
  <si>
    <t>Nota: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</si>
  <si>
    <t xml:space="preserve">Nota: La corporación hará podrá hacer uso del 100% del presupuesto, por tanto, el contrato se adjudicará por el valor del presupuesto oficial, y se consumirá en concordancia con la propuesta económica del oferente al que se le adjudique el contrato. </t>
  </si>
  <si>
    <t>Nota: Para determinar el menor valor de la propuesta se tomará la sumatoria de los valores totales (valor unitario por cantidad) ofertados por el proponente antes de IVA (Subtotal antes de IVA). Teniendo presente que en el presupuesto oficial se determino una bolsa para adquirir servicios a demandan, los ítems a adquirir por dicha bolsa, se consumirán acorde a la necesidad y se reconocerán de acuerdo con la oferta económica del oferente que resulte aceptada, hasta el presupuesto designado para ello.</t>
  </si>
  <si>
    <t>Nota: La Corporación estima para el presupuesto de este proceso un AU de máximo el X% el cual podrá ser modificado en un porcentaje inferior de acuerdo a las pretensiones del oferente.</t>
  </si>
  <si>
    <t>Nota: El proponente deberá establecer los precios unitarios de cada uno de los grupos  de la propuesta económica y el valor total, de conformidad con el monto establecido para cada grupo antes de IVA , diligenciando la totalidad de las celdas  contenidas en el presente formato.</t>
  </si>
  <si>
    <t>Nota: Para la evaluación de la mejor oferta se tendrá en cuenta el menor precio antes de IVA de cada uno de los grupos.</t>
  </si>
  <si>
    <t xml:space="preserve">Nota: El precio a evaluar del proponente comprende la sumatoria de los ítems discriminados, que sumados conformarán el precio total oferente antes de AU e IVA. </t>
  </si>
  <si>
    <t>Nota: En el presente proceso se debe considerar que se ejecutará la totalidad del presupuesto estimado para cada uno de los grupos de acuerdo a la necesidad de la Corporación.</t>
  </si>
  <si>
    <t>Nota: Los recursos asignados por valor de XXXX ($xx) IVA y AU incluidos como bolsa son para distribuir de acuerdo con la priorización que se realice durante la ejecución del contrato. Por lo anterior, el costo directo del proponente seleccionado resultará de la interacción que se realice con la información del %A del oferente seleccionado, de la %U del oferente seleccionado, del IVA sobre xxx del oferente seleccionado y valor del presupuesto oficial como costo total a destinar en el alcance del contrato. La Corporación se reserva el derecho de requerir una o varias unidades de los ítems listados, así como de NO solicitar alguno de estos, de acuerdo a la necesidad.</t>
  </si>
  <si>
    <t>Nota: El oferente deberá discriminar el porcentaje de la Administración y Utilidad (A.U.). El factor Administración (A) deberá comprender todos los costos necesarios de administración en que incurrirá el Contratista por la ejecución de los trabajos objeto de la Invitación, incluyendo entre ellos, los impuestos y contibuciones a los que haya objeto. Igualmente deberá indicar el porcentaje de la Utilidad (U) o beneficio económico que pretende percibir. La Corporación estima como porcentaje oficial de AU el x%, cuando el porcentaje del A.U. del proponente, supere el porcentaje del A.U. oficial será RECHAZADO.</t>
  </si>
  <si>
    <t xml:space="preserve">Nota: En todo caso, el contrato será adjudicado por el valor del presupuesto oficial, es decir, la suma de xxxx ($ xxxx) IVA y AU incluidos, teniendo en cuenta que, si se obtienen descuentos en los ítems ofertados en la propuesta económica, los mismos serán reinvertidos en el contrato, por lo cual, este se adjudicará por el valor total del presupuesto oficial. </t>
  </si>
  <si>
    <t>Nota (para Concursos Públicos de Méritos): Todo el personal a contratar para la ejecución del contrato, en la modalidad de prestación de servicios profesionales y de apoyo a la gestión, se deberá remunerar, como mínimo, con los honorarios establecidos en la tabla de honorarios corporativas prevista para la vigencia 2020. En caso de que las condiciones contractuales exijan la celebración de contratos de trabajo o el contratista así lo decida, la remuneración deberá corresponder como mínimo a los honorarios mencionados menos el factor prestacional reconocido por la Corporación.</t>
  </si>
  <si>
    <t>Nota (proceso de obra pública): El rango de los precios unitarios se establecerá en pesos colombianos. El valor de cada ítem no podrá ser superior al valor establecido dentro del presupuesto oficial. En caso contrario la oferta será RECHAZADA. Los precios unitarios que ofrezca el oferente, serán los que correspondan a la fecha de presentación del presente formato  y deberán cubrir todos los costos de mano de obra, materiales, herramientas, equipos y transporte, trabajos diurnos y nocturnos o en días feriados, prestaciones sociales, y todos los demás gastos inherentes al cumplimiento satisfactorio del contrato. Si en los análisis de precios unitarios se han omitido costos, se mantendrá el precio propuesto, sin lugar a reclamos o revisiones posteriores. Los precios unitarios y totales de la obra a ejecutar y los errores y omisiones en estos precios, serán de responsabilidad absoluta y exclusiva del oferente.</t>
  </si>
  <si>
    <t>Nota (proceso que tenga factores a evaluar): En caso que el porcentaje del criterio XXXX (XXXXXXX) ofrecido por la mejor propuesta sea igual a 0% (cero %), para efecto de aplicar la fórmula, se utilizará el menor porcentaje mayor a 0% (cero %). Nótese que dicho menor porcentaje que sea mayor a 0% (cero %), también obtendrá el mayor puntaje en este ítem.</t>
  </si>
  <si>
    <t>Nota (proceso que tenga factores a evaluar): En caso que el porcentaje del criterio XXXX (XXXXXXX) ofrecido por la mejor propuesta sea igual a $0 (cero pesos), para efecto de aplicar la fórmula, se utilizará el menor porcentaje mayor a $0 (cero pesos). Nótese que dicho menor porcentaje que sea mayor a $0 (cero pesos), también obtendrá el mayor puntaje en este ítem.</t>
  </si>
  <si>
    <t>Notas varias</t>
  </si>
  <si>
    <t>Nota: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del presupuesto oficial.</t>
  </si>
  <si>
    <t>Nota: Se habla de “AU” porque la Corporación no paga Imprevistos</t>
  </si>
  <si>
    <t>REQUISITOS HABILITANTES CAPACIDAD FINANCIERA Y ORGANIZACIONAL</t>
  </si>
  <si>
    <t>REQUISITOS GENERALES</t>
  </si>
  <si>
    <t>REQUISITOS DE CAPACIDAD FINANCIERA GENERALES</t>
  </si>
  <si>
    <t>NOMBRE DEL INDICADOR</t>
  </si>
  <si>
    <t>VALORES MÍNIMOS EXIGIDOS</t>
  </si>
  <si>
    <t>Liquidez</t>
  </si>
  <si>
    <t>Debe demostrarse una liquidez MAYOR A UNO (1), expresado máximo con dos decimales, o el equivalente expresado en otra unidad.</t>
  </si>
  <si>
    <t>Nivel de Endeudamiento</t>
  </si>
  <si>
    <t xml:space="preserve">Debe demostrarse un endeudamiento MENOR O IGUAL AL SETENTA POR CIENTO (70%) expresado con dos decimales, o el equivalente expresado en otra unidad. </t>
  </si>
  <si>
    <t>Razón de Cobertura de Intereses</t>
  </si>
  <si>
    <t>Se deberá acreditar una razón de cobertura de intereses POSITIVA MAYOR O IGUAL a DOS (2), expresado con dos decimales, o el equivalente expresado en otra unidad.
Nota: cuando el resultado en el RUP de indeterminado, el proponente cumple con el indicador.</t>
  </si>
  <si>
    <t>REQUISITOS DE CAPACIDAD ORGANIZACIONAL GENERALES</t>
  </si>
  <si>
    <t>Rentabilidad del Patrimonio</t>
  </si>
  <si>
    <t>Los proponentes deberán presentar una Rentabilidad del Patrimonio MAYOR AL UNO PORCIENTO (1%), expresado con dos decimales, o el equivalente expresado en otra unidad.</t>
  </si>
  <si>
    <t>Rentabilidad del Activo</t>
  </si>
  <si>
    <t>Los proponentes deberán presentar una Rentabilidad del Activo MAYOR AL UNO PORCIENTO (1%), expresado con dos decimales, o el equivalente expresado en otra unidad.</t>
  </si>
  <si>
    <t>REQUISITOS DIFERENCIALES</t>
  </si>
  <si>
    <r>
      <t xml:space="preserve">En virtud del Decreto 1082 de 2015, artículos 2.2.1.2.4.2.15. y 2.2.1.2.4.2.18, </t>
    </r>
    <r>
      <rPr>
        <sz val="10"/>
        <rFont val="Arial"/>
        <family val="2"/>
      </rPr>
      <t xml:space="preserve">donde se estipula, </t>
    </r>
    <r>
      <rPr>
        <sz val="10"/>
        <color theme="1"/>
        <rFont val="Arial"/>
        <family val="2"/>
      </rPr>
      <t xml:space="preserve">
</t>
    </r>
  </si>
  <si>
    <r>
      <rPr>
        <b/>
        <sz val="10"/>
        <color theme="1"/>
        <rFont val="Arial"/>
        <family val="2"/>
      </rPr>
      <t>ARTÍCULO 2.2.1.2.4.2.15. Criterios diferenciales para emprendimientos y empresas de mujeres en el sistema de compras públicas</t>
    </r>
    <r>
      <rPr>
        <sz val="10"/>
        <color theme="1"/>
        <rFont val="Arial"/>
        <family val="2"/>
      </rPr>
      <t xml:space="preserve">. En los procesos de licitación pública, selección abreviada de menor cuantía y concurso de méritos, así como en los procesos competitivos que adelanten las Entidades Estatales no sometidas al Estatuto General de Contratación de la Administración Pública, las Entidades incluirán condiciones habilitantes para incentivar los emprendimientos y empresas de mujeres con domicilio en el territorio nacional. Para el efecto,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</si>
  <si>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Los requisitos mencionados deberán fijarse respetando las condiciones habilitantes requeridas para el cumplimiento adecuado del contrato, teniendo en cuenta el alcance de las obligaciones. En desarrollo de lo anterior, con la finalidad de beneficiar a las empresas y emprendimientos de mujeres, se establecerán condiciones más exigentes respecto a alguno o algunos de los criterios de participación antes enunciados frente a los demás proponentes que concurran al procedimiento de selección que no sean empresas o emprendimientos de mujeres.
De manera que no se ponga en riesgo el cumplimiento adecuado del objeto contractual, con excepción de los procedimientos donde el menor precio ofrecido sea el único factor de evaluación, las Entidades también otorgarán un puntaje adicional de hasta el cero punto veinticinco por ciento (0.25%) del valor total de los puntos establecidos en los pliegos de condiciones o documentos equivalentes, a los proponentes que acrediten alguno de los supuestos del artículo 2.2.1.2.4.2.14 del presente Decreto.
Las Entidades incluirán estos requisitos diferenciales y puntajes adicionales de acuerdo con los resultados del análisis del sector, desde la perspectiva del estudio de la oferta de las obras, bienes o servicios que requiere, sin perjuicio de los compromisos adquiridos por Colombia en los Acuerdos Comerciales vigentes.</t>
  </si>
  <si>
    <r>
      <rPr>
        <b/>
        <sz val="10"/>
        <color theme="1"/>
        <rFont val="Arial"/>
        <family val="2"/>
      </rPr>
      <t>PARÁGRAFO 1</t>
    </r>
    <r>
      <rPr>
        <sz val="10"/>
        <color theme="1"/>
        <rFont val="Arial"/>
        <family val="2"/>
      </rPr>
      <t xml:space="preserve">.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
</t>
    </r>
    <r>
      <rPr>
        <b/>
        <sz val="10"/>
        <color theme="1"/>
        <rFont val="Arial"/>
        <family val="2"/>
      </rPr>
      <t>PARÁGRAFO 2</t>
    </r>
    <r>
      <rPr>
        <sz val="10"/>
        <color theme="1"/>
        <rFont val="Arial"/>
        <family val="2"/>
      </rPr>
      <t>. Los incentivos contractuales para las empresas y emprendimientos de mujeres no excluyen la aplicación de los criterios diferenciales para Mipyme en el sistema de compras públicas.
(Adicionado por el Art. 3 del Decreto 1860 de 2021)</t>
    </r>
  </si>
  <si>
    <r>
      <rPr>
        <b/>
        <sz val="10"/>
        <color theme="1"/>
        <rFont val="Arial"/>
        <family val="2"/>
      </rPr>
      <t>ARTÍCULO 2.2.1.2.4.2.18. Criterios diferenciales para Mipyme en el sistema de compras públicas</t>
    </r>
    <r>
      <rPr>
        <sz val="10"/>
        <color theme="1"/>
        <rFont val="Arial"/>
        <family val="2"/>
      </rPr>
      <t xml:space="preserve">. De acuerdo con el numeral 1 del artículo 12 de la Ley 590 de 2000, según los resultados del análisis del sector, las Entidades Estatales indistintamente de su régimen de contratación, los patrimonios autónomos constituidos por Entidades Estatales y los particulares que ejecuten recursos públicos establecerán condiciones habilitantes diferenciales que promuevan y faciliten la participación en los procedimientos de selección competitivos de las Mipyme domiciliadas en Colombia. Para el efecto, en función de los criterios de clasificación empresarial,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</si>
  <si>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 xml:space="preserve">Los requisitos mencionados deberán fijarse respetando las condiciones habilitantes requeridas para el cumplimiento adecuado del contrato, teniendo en cuenta el alcance de las obligaciones. En desarrollo de lo anterior, con la finalidad de beneficiar a las Mipyme, se establecerán condiciones más exigentes respecto a alguno o algunos de los criterios de participación antes enunciados frente a los demás proponentes que concurran al procedimiento de selección que no sean Mipyme.
Con excepción de los procedimientos de selección abreviada por subasta inversa y de mínima cuantía, las entidades sometidas al Estatuto General de Contratación de la Administración Pública, teniendo en cuenta los criterios de clasificación empresarial, podrán establecer puntajes adicionales para Mipyme. En ningún caso, estos podrán superar el cero punto veinticinco por ciento (0.25%) del total de los puntos establecidos en el pliego de condiciones.
</t>
  </si>
  <si>
    <r>
      <rPr>
        <b/>
        <sz val="10"/>
        <color theme="1"/>
        <rFont val="Arial"/>
        <family val="2"/>
      </rPr>
      <t>PARÁGRAFO 1.</t>
    </r>
    <r>
      <rPr>
        <sz val="10"/>
        <color theme="1"/>
        <rFont val="Arial"/>
        <family val="2"/>
      </rPr>
      <t xml:space="preserve"> Para los efectos de este artículo, los criterios de clasificación empresarial son los definidos en el artículo 2.2.1.13.2.2 del Decreto 1074 de 2015, Único Reglamentario del Sector Comercio, Industria y Turismo, o la norma que lo modifique, derogue o sustituya.
</t>
    </r>
    <r>
      <rPr>
        <b/>
        <sz val="10"/>
        <color theme="1"/>
        <rFont val="Arial"/>
        <family val="2"/>
      </rPr>
      <t xml:space="preserve">
PARÁGRAFO 2</t>
    </r>
    <r>
      <rPr>
        <sz val="10"/>
        <color theme="1"/>
        <rFont val="Arial"/>
        <family val="2"/>
      </rPr>
      <t xml:space="preserve">. 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t>
    </r>
    <r>
      <rPr>
        <b/>
        <sz val="10"/>
        <color theme="1"/>
        <rFont val="Arial"/>
        <family val="2"/>
      </rPr>
      <t>PARÁGRAFO 3</t>
    </r>
    <r>
      <rPr>
        <sz val="10"/>
        <color theme="1"/>
        <rFont val="Arial"/>
        <family val="2"/>
      </rPr>
      <t>. Lo previsto en esta norma aplica sin perjuicio de lo dispuesto en los Acuerdos Comerciales suscritos por el Estado colombiano, pero no rige en las convocatorias limitadas que se realicen conforme a los artículos 2.2.1.2.4.2.2 y 2.2.1.2.4.2.3 de este Decreto."
(Adicionado por el Art. 3 del Decreto 1860 de 2021)</t>
    </r>
  </si>
  <si>
    <t xml:space="preserve">Se determinan los siguientes requisitos diferenciales, exclusivamente para las unidades económicas que cumplan con lo estipulado en los artículos 2.2.1.2.4.2.14 (Definición de emprendimientos y empresas de mujeres), 2.2.1.2.4.2.15 (Criterios diferenciales para emprendimientos y empresas de mujeres en el sistema de compras públicas) y  2.2.1.2.4.2.18 (Criterios diferenciales para Mipyme en el sistema de compras públicas) del Decreto 1082 de 2015, los demás proponentes deberán sujetarse a los requisitos generales de capacidad financiera y organizacional determinados para el proceso contractual. </t>
  </si>
  <si>
    <t>REQUISITOS DE CAPACIDAD FINANCIERA DIFERENCIALES</t>
  </si>
  <si>
    <t xml:space="preserve">Debe demostrarse un endeudamiento MENOR O IGUAL AL OCHENTA POR CIENTO (80%) expresado con dos decimales, o el equivalente expresado en otra unidad. </t>
  </si>
  <si>
    <t>Se deberá acreditar una razón de cobertura de intereses POSITIVA MAYOR O IGUAL a UNO PUNTO CINCO (1,50), expresado con dos decimales, o el equivalente expresado en otra unidad.
Nota: cuando el resultado en el RUP de indeterminado, el proponente cumple con el indicador.</t>
  </si>
  <si>
    <t>REQUISITOS DE CAPACIDAD ORGANIZACIONAL DIFERENCIALES</t>
  </si>
  <si>
    <t>Los proponentes deberán presentar una Rentabilidad del Patrimonio MAYOR O IGUAL AL CERO PUNTO CINCO PORCIENTO (0,50%), expresado con dos decimales, o el equivalente expresado en otra unidad.</t>
  </si>
  <si>
    <t>Los proponentes deberán presentar una Rentabilidad del Activo MAYOR O IGUAL AL CERO PUNTO CINCO PORCIENTO (0,50%), expresado con dos decimales, o el equivalente expresado en otra unidad.</t>
  </si>
  <si>
    <t>VERIFICACIÓN DE REQUISITOS HABILITANTES DE CAPACIDAD FINANCIERA Y ORGANIZACIONAL CONTENIDA EN EL RUP EN FIRME</t>
  </si>
  <si>
    <t xml:space="preserve">Para el presente proceso de contratación los indicadores financieros y organizacionales de los PROPONENTES PLURALES se calcularán de acuerdo a lo establecido en la Opción 2, Capítulo VII del manual Colombia Compra Eficiente.
La capacidad financiera y organizacional se tomará directamente del Registro Único de Proponentes – RUP.
A partir del 1 de junio de 2021, para efectos de la inscripción en el Registro Único de Proponentes, el interesado reportará la información contable de que tratan los numerales 1.3 y 2.3 del artículo 1° del Decreto 579 de 2021, correspondiente a los últimos tres (3) años fiscales anteriores al respectivo acto. En aquellos eventos en que el proponente no tenga la antigüedad suficiente para aportar la información financiera correspondiente a los tres (3) años descritos en el inciso anterior, podrá acreditar dicha información desde su primer cierre fiscal.
De conformidad con los parágrafos transitorios de los artículos 2.2.1.1.1.5.2. y 2.2.1.1.1.5.6., y en desarrollo del deber de análisis de las Entidades Estatales, de que trata el artículo 2.2.1.1.1.6.1. del Decreto 579 de 2021, a partir del 1 de julio de 2021 las Entidades Estatales establecerán y evaluarán los requisitos habilitantes de capacidad financiera y organizacional teniendo en cuenta la información que conste en el Registro Único de Proponentes. En todo caso, se establecerán indicadores proporcionales al procedimiento de contratación. Para ello, atendiendo a las condiciones aludidas, en relación con los indicadores de la capacidad financiera y organizacional, de los procesos de selección cuyo acto administrativo de apertura o invitación se publique a partir del 1 de julio de 2021, se tendrá en cuenta la información vigente y en firme en el RUP, por lo que las Entidades Estatales evaluarán estos indicadores, teniendo en cuenta el mejor año fiscal que se refleje en el registro de cada proponente.
</t>
  </si>
  <si>
    <t xml:space="preserve">El resultado de la verificación de los Indicadores de capacidad financiera y organizacional de los proponentes se expresará de acuerdo a lo siguiente:
CUMPLE: Si la totalidad de los indicadores presentados por el proponente en el RUP guardan correspondencia con los mínimos exigidos por la CORPORACIÓN.
NO CUMPLE: Cuando al menos uno de los indicadores presentados por el proponente en el RUP no guardan correspondencia con los mínimos exigidos por la CORPORACIÓN.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</si>
</sst>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3" formatCode="_-* #,##0.00_-;\-* #,##0.00_-;_-* &quot;-&quot;??_-;_-@_-"/>
    <numFmt numFmtId="164" formatCode="_-&quot;$&quot;* #,##0.00_-;\-&quot;$&quot;* #,##0.00_-;_-&quot;$&quot;* &quot;-&quot;??_-;_-@_-"/>
    <numFmt numFmtId="165" formatCode="&quot;$&quot;\ #,##0;[Red]\-&quot;$&quot;\ #,##0"/>
    <numFmt numFmtId="166" formatCode="_-&quot;$&quot;\ * #,##0_-;\-&quot;$&quot;\ * #,##0_-;_-&quot;$&quot;\ * &quot;-&quot;_-;_-@_-"/>
    <numFmt numFmtId="167" formatCode="_-&quot;$&quot;\ * #,##0.00_-;\-&quot;$&quot;\ * #,##0.00_-;_-&quot;$&quot;\ * &quot;-&quot;??_-;_-@_-"/>
    <numFmt numFmtId="168" formatCode="_(* #,##0.00_);_(* \(#,##0.00\);_(* &quot;-&quot;??_);_(@_)"/>
    <numFmt numFmtId="169" formatCode="_(&quot;$&quot;\ * #,##0.00_);_(&quot;$&quot;\ * \(#,##0.00\);_(&quot;$&quot;\ * &quot;-&quot;??_);_(@_)"/>
    <numFmt numFmtId="170" formatCode="_([$$-240A]\ * #,##0.00_);_([$$-240A]\ * \(#,##0.00\);_([$$-240A]\ * &quot;-&quot;??_);_(@_)"/>
    <numFmt numFmtId="171" formatCode="_([$$-240A]\ * #,##0_);_([$$-240A]\ * \(#,##0\);_([$$-240A]\ * &quot;-&quot;??_);_(@_)"/>
    <numFmt numFmtId="172" formatCode="_-&quot;$&quot;* #,##0_-;\-&quot;$&quot;* #,##0_-;_-&quot;$&quot;* &quot;-&quot;??_-;_-@_-"/>
    <numFmt numFmtId="173" formatCode="_-&quot;$&quot;\ * #,##0_-;\-&quot;$&quot;\ * #,##0_-;_-&quot;$&quot;\ * &quot;-&quot;??_-;_-@_-"/>
    <numFmt numFmtId="174" formatCode="#,##0.000"/>
    <numFmt numFmtId="175" formatCode="0.0%"/>
    <numFmt numFmtId="176" formatCode="_(&quot;$&quot;\ * #,##0_);_(&quot;$&quot;\ * \(#,##0\);_(&quot;$&quot;\ * &quot;-&quot;_);_(@_)"/>
    <numFmt numFmtId="177" formatCode="_(&quot;$&quot;\ * #,##0_);_(&quot;$&quot;\ * \(#,##0\);_(&quot;$&quot;\ * &quot;-&quot;??_);_(@_)"/>
    <numFmt numFmtId="178" formatCode="_-[$$-240A]\ * #,##0.00_-;\-[$$-240A]\ * #,##0.00_-;_-[$$-240A]\ * &quot;-&quot;??_-;_-@_-"/>
    <numFmt numFmtId="179" formatCode="_ * #,##0_-_$_ ;_ * #,##0\-_$_ ;_ * &quot;-&quot;_-_$_ ;_ @_ "/>
    <numFmt numFmtId="180" formatCode="_ * #,##0.00_-_$_ ;_ * #,##0.00\-_$_ ;_ * &quot;-&quot;_-_$_ ;_ @_ "/>
    <numFmt numFmtId="181" formatCode="_(* #,##0_);_(* \(#,##0\);_(* &quot;-&quot;_);_(@_)"/>
    <numFmt numFmtId="182" formatCode="#,##0.0"/>
    <numFmt numFmtId="183" formatCode="0.0"/>
    <numFmt numFmtId="184" formatCode="_-* #,##0.000000_-;\-* #,##0.000000_-;_-* &quot;-&quot;??_-;_-@_-"/>
  </numFmts>
  <fonts count="50">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sz val="10"/>
      <color indexed="8"/>
      <name val="Arial"/>
      <family val="2"/>
    </font>
    <font>
      <b/>
      <sz val="10"/>
      <color indexed="8"/>
      <name val="Arial"/>
      <family val="2"/>
    </font>
    <font>
      <b/>
      <sz val="8"/>
      <name val="Arial"/>
      <family val="2"/>
    </font>
    <font>
      <b/>
      <sz val="9"/>
      <color indexed="81"/>
      <name val="Tahoma"/>
      <family val="2"/>
    </font>
    <font>
      <sz val="9"/>
      <color indexed="81"/>
      <name val="Tahoma"/>
      <family val="2"/>
    </font>
    <font>
      <sz val="8"/>
      <color indexed="81"/>
      <name val="Tahoma"/>
      <family val="2"/>
    </font>
    <font>
      <sz val="10"/>
      <name val="Times New Roman"/>
      <family val="1"/>
    </font>
    <font>
      <sz val="11"/>
      <color theme="1"/>
      <name val="Calibri"/>
      <family val="2"/>
      <scheme val="minor"/>
    </font>
    <font>
      <b/>
      <sz val="10"/>
      <color theme="1"/>
      <name val="Arial"/>
      <family val="2"/>
    </font>
    <font>
      <sz val="10"/>
      <color theme="1"/>
      <name val="Arial"/>
      <family val="2"/>
    </font>
    <font>
      <i/>
      <sz val="10"/>
      <color theme="1"/>
      <name val="Arial"/>
      <family val="2"/>
    </font>
    <font>
      <sz val="10"/>
      <color rgb="FF000000"/>
      <name val="Arial"/>
      <family val="2"/>
    </font>
    <font>
      <b/>
      <sz val="10"/>
      <color rgb="FF000000"/>
      <name val="Arial"/>
      <family val="2"/>
    </font>
    <font>
      <b/>
      <sz val="8"/>
      <color theme="1"/>
      <name val="Arial"/>
      <family val="2"/>
    </font>
    <font>
      <b/>
      <sz val="8"/>
      <color rgb="FF000000"/>
      <name val="Arial"/>
      <family val="2"/>
    </font>
    <font>
      <sz val="10"/>
      <color rgb="FF333333"/>
      <name val="Arial"/>
      <family val="2"/>
    </font>
    <font>
      <u/>
      <sz val="10"/>
      <color theme="10"/>
      <name val="Times New Roman"/>
      <family val="1"/>
    </font>
    <font>
      <b/>
      <u/>
      <sz val="10"/>
      <name val="Arial"/>
      <family val="2"/>
    </font>
    <font>
      <u/>
      <sz val="9"/>
      <color indexed="81"/>
      <name val="Tahoma"/>
      <family val="2"/>
    </font>
    <font>
      <sz val="2"/>
      <name val="Arial"/>
      <family val="2"/>
    </font>
    <font>
      <b/>
      <sz val="9"/>
      <name val="Arial"/>
      <family val="2"/>
    </font>
    <font>
      <sz val="9"/>
      <name val="Arial"/>
      <family val="2"/>
    </font>
    <font>
      <b/>
      <u/>
      <sz val="9"/>
      <color indexed="81"/>
      <name val="Tahoma"/>
      <family val="2"/>
    </font>
    <font>
      <b/>
      <sz val="12"/>
      <color theme="1"/>
      <name val="Times New Roman"/>
      <family val="1"/>
    </font>
    <font>
      <sz val="10"/>
      <color theme="1"/>
      <name val="Times New Roman"/>
      <family val="1"/>
    </font>
    <font>
      <b/>
      <sz val="10"/>
      <color theme="1"/>
      <name val="Times New Roman"/>
      <family val="1"/>
    </font>
    <font>
      <u/>
      <sz val="12"/>
      <color theme="10"/>
      <name val="Times New Roman"/>
      <family val="1"/>
    </font>
    <font>
      <u/>
      <sz val="10"/>
      <color theme="1"/>
      <name val="Arial"/>
      <family val="2"/>
    </font>
    <font>
      <u/>
      <sz val="10"/>
      <color theme="10"/>
      <name val="Arial"/>
      <family val="2"/>
    </font>
    <font>
      <b/>
      <u/>
      <sz val="10"/>
      <color theme="1"/>
      <name val="Arial"/>
      <family val="2"/>
    </font>
    <font>
      <sz val="10"/>
      <color theme="0"/>
      <name val="Arial"/>
      <family val="2"/>
    </font>
    <font>
      <sz val="8"/>
      <name val="Times New Roman"/>
      <family val="1"/>
    </font>
    <font>
      <sz val="10"/>
      <name val="Times New Roman"/>
      <family val="1"/>
    </font>
    <font>
      <sz val="11"/>
      <name val="Arial"/>
      <family val="2"/>
    </font>
  </fonts>
  <fills count="1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249977111117893"/>
        <bgColor indexed="64"/>
      </patternFill>
    </fill>
  </fills>
  <borders count="7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ck">
        <color indexed="64"/>
      </left>
      <right/>
      <top/>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bottom/>
      <diagonal/>
    </border>
  </borders>
  <cellStyleXfs count="59">
    <xf numFmtId="0" fontId="0" fillId="0" borderId="0"/>
    <xf numFmtId="41" fontId="12" fillId="0" borderId="0" applyFont="0" applyFill="0" applyBorder="0" applyAlignment="0" applyProtection="0"/>
    <xf numFmtId="168" fontId="11" fillId="0" borderId="0" applyFont="0" applyFill="0" applyBorder="0" applyAlignment="0" applyProtection="0"/>
    <xf numFmtId="168" fontId="10" fillId="0" borderId="0" applyFont="0" applyFill="0" applyBorder="0" applyAlignment="0" applyProtection="0"/>
    <xf numFmtId="168" fontId="11" fillId="0" borderId="0" applyFont="0" applyFill="0" applyBorder="0" applyAlignment="0" applyProtection="0"/>
    <xf numFmtId="168" fontId="10" fillId="0" borderId="0" applyFont="0" applyFill="0" applyBorder="0" applyAlignment="0" applyProtection="0"/>
    <xf numFmtId="43" fontId="12" fillId="0" borderId="0" applyFont="0" applyFill="0" applyBorder="0" applyAlignment="0" applyProtection="0"/>
    <xf numFmtId="169" fontId="22" fillId="0" borderId="0" applyFont="0" applyFill="0" applyBorder="0" applyAlignment="0" applyProtection="0"/>
    <xf numFmtId="169" fontId="12" fillId="0" borderId="0" applyFont="0" applyFill="0" applyBorder="0" applyAlignment="0" applyProtection="0"/>
    <xf numFmtId="0" fontId="12" fillId="0" borderId="0"/>
    <xf numFmtId="0" fontId="13" fillId="0" borderId="0"/>
    <xf numFmtId="0" fontId="12" fillId="0" borderId="0"/>
    <xf numFmtId="0" fontId="12" fillId="0" borderId="0"/>
    <xf numFmtId="0" fontId="23" fillId="0" borderId="0"/>
    <xf numFmtId="0" fontId="13" fillId="0" borderId="0"/>
    <xf numFmtId="0" fontId="13" fillId="0" borderId="0"/>
    <xf numFmtId="9" fontId="12" fillId="0" borderId="0" applyFont="0" applyFill="0" applyBorder="0" applyAlignment="0" applyProtection="0"/>
    <xf numFmtId="9" fontId="12" fillId="0" borderId="0" applyFont="0" applyFill="0" applyBorder="0" applyAlignment="0" applyProtection="0"/>
    <xf numFmtId="0" fontId="9" fillId="0" borderId="0"/>
    <xf numFmtId="167" fontId="9" fillId="0" borderId="0" applyFont="0" applyFill="0" applyBorder="0" applyAlignment="0" applyProtection="0"/>
    <xf numFmtId="9" fontId="9" fillId="0" borderId="0" applyFont="0" applyFill="0" applyBorder="0" applyAlignment="0" applyProtection="0"/>
    <xf numFmtId="0" fontId="9" fillId="0" borderId="0"/>
    <xf numFmtId="174" fontId="13" fillId="0" borderId="0" applyFont="0" applyFill="0" applyBorder="0" applyAlignment="0" applyProtection="0"/>
    <xf numFmtId="166" fontId="9" fillId="0" borderId="0" applyFont="0" applyFill="0" applyBorder="0" applyAlignment="0" applyProtection="0"/>
    <xf numFmtId="168" fontId="9" fillId="0" borderId="0" applyFont="0" applyFill="0" applyBorder="0" applyAlignment="0" applyProtection="0"/>
    <xf numFmtId="0" fontId="8" fillId="0" borderId="0"/>
    <xf numFmtId="166" fontId="8" fillId="0" borderId="0" applyFont="0" applyFill="0" applyBorder="0" applyAlignment="0" applyProtection="0"/>
    <xf numFmtId="0" fontId="13" fillId="0" borderId="0"/>
    <xf numFmtId="0" fontId="12" fillId="0" borderId="0"/>
    <xf numFmtId="176" fontId="12" fillId="0" borderId="0" applyFont="0" applyFill="0" applyBorder="0" applyAlignment="0" applyProtection="0"/>
    <xf numFmtId="0" fontId="13" fillId="0" borderId="0"/>
    <xf numFmtId="168" fontId="13" fillId="0" borderId="0" applyFont="0" applyFill="0" applyBorder="0" applyAlignment="0" applyProtection="0"/>
    <xf numFmtId="9" fontId="13" fillId="0" borderId="0" applyFont="0" applyFill="0" applyBorder="0" applyAlignment="0" applyProtection="0"/>
    <xf numFmtId="169" fontId="12" fillId="0" borderId="0" applyFont="0" applyFill="0" applyBorder="0" applyAlignment="0" applyProtection="0"/>
    <xf numFmtId="0" fontId="7" fillId="0" borderId="0"/>
    <xf numFmtId="167" fontId="7" fillId="0" borderId="0" applyFont="0" applyFill="0" applyBorder="0" applyAlignment="0" applyProtection="0"/>
    <xf numFmtId="0" fontId="6" fillId="0" borderId="0"/>
    <xf numFmtId="167" fontId="6" fillId="0" borderId="0" applyFont="0" applyFill="0" applyBorder="0" applyAlignment="0" applyProtection="0"/>
    <xf numFmtId="9" fontId="6"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9" fontId="5" fillId="0" borderId="0" applyFont="0" applyFill="0" applyBorder="0" applyAlignment="0" applyProtection="0"/>
    <xf numFmtId="166" fontId="12" fillId="0" borderId="0" applyFont="0" applyFill="0" applyBorder="0" applyAlignment="0" applyProtection="0"/>
    <xf numFmtId="0" fontId="4" fillId="0" borderId="0"/>
    <xf numFmtId="0" fontId="25" fillId="0" borderId="0"/>
    <xf numFmtId="43" fontId="25" fillId="0" borderId="0" applyFont="0" applyFill="0" applyBorder="0" applyAlignment="0" applyProtection="0"/>
    <xf numFmtId="9" fontId="25" fillId="0" borderId="0" applyFont="0" applyFill="0" applyBorder="0" applyAlignment="0" applyProtection="0"/>
    <xf numFmtId="0" fontId="3" fillId="0" borderId="0"/>
    <xf numFmtId="164" fontId="3" fillId="0" borderId="0" applyFont="0" applyFill="0" applyBorder="0" applyAlignment="0" applyProtection="0"/>
    <xf numFmtId="0" fontId="13" fillId="0" borderId="0"/>
    <xf numFmtId="9" fontId="3" fillId="0" borderId="0" applyFont="0" applyFill="0" applyBorder="0" applyAlignment="0" applyProtection="0"/>
    <xf numFmtId="0" fontId="2" fillId="0" borderId="0"/>
    <xf numFmtId="176" fontId="2" fillId="0" borderId="0" applyFont="0" applyFill="0" applyBorder="0" applyAlignment="0" applyProtection="0"/>
    <xf numFmtId="181" fontId="2" fillId="0" borderId="0" applyFont="0" applyFill="0" applyBorder="0" applyAlignment="0" applyProtection="0"/>
    <xf numFmtId="0" fontId="1" fillId="0" borderId="0"/>
    <xf numFmtId="166" fontId="1" fillId="0" borderId="0" applyFont="0" applyFill="0" applyBorder="0" applyAlignment="0" applyProtection="0"/>
    <xf numFmtId="0" fontId="32" fillId="0" borderId="0" applyNumberFormat="0" applyFill="0" applyBorder="0" applyAlignment="0" applyProtection="0"/>
    <xf numFmtId="43" fontId="48" fillId="0" borderId="0" applyFont="0" applyFill="0" applyBorder="0" applyAlignment="0" applyProtection="0"/>
  </cellStyleXfs>
  <cellXfs count="1742">
    <xf numFmtId="0" fontId="0" fillId="0" borderId="0" xfId="0"/>
    <xf numFmtId="0" fontId="14" fillId="0" borderId="0" xfId="10" applyFont="1" applyAlignment="1" applyProtection="1">
      <alignment horizontal="center" vertical="center"/>
      <protection locked="0"/>
    </xf>
    <xf numFmtId="3" fontId="13" fillId="0" borderId="0" xfId="10" applyNumberFormat="1" applyAlignment="1" applyProtection="1">
      <alignment horizontal="center" vertical="center"/>
      <protection locked="0"/>
    </xf>
    <xf numFmtId="0" fontId="13" fillId="0" borderId="0" xfId="14" applyAlignment="1">
      <alignment vertical="center"/>
    </xf>
    <xf numFmtId="0" fontId="16" fillId="0" borderId="4" xfId="9" applyFont="1" applyBorder="1" applyAlignment="1" applyProtection="1">
      <alignment horizontal="center" vertical="center" wrapText="1"/>
      <protection locked="0"/>
    </xf>
    <xf numFmtId="9" fontId="16" fillId="0" borderId="4" xfId="16" applyFont="1" applyFill="1" applyBorder="1" applyAlignment="1" applyProtection="1">
      <alignment horizontal="center" vertical="center" wrapText="1"/>
      <protection locked="0"/>
    </xf>
    <xf numFmtId="0" fontId="16" fillId="0" borderId="4" xfId="9" applyFont="1" applyBorder="1" applyAlignment="1" applyProtection="1">
      <alignment horizontal="center" vertical="center"/>
      <protection locked="0"/>
    </xf>
    <xf numFmtId="9" fontId="16" fillId="0" borderId="4" xfId="16" applyFont="1" applyFill="1" applyBorder="1" applyAlignment="1" applyProtection="1">
      <alignment horizontal="center" vertical="center"/>
      <protection locked="0"/>
    </xf>
    <xf numFmtId="0" fontId="16" fillId="0" borderId="0" xfId="48" applyFont="1" applyAlignment="1" applyProtection="1">
      <alignment vertical="center" wrapText="1"/>
      <protection locked="0"/>
    </xf>
    <xf numFmtId="175" fontId="13" fillId="3" borderId="4" xfId="14" applyNumberFormat="1" applyFill="1" applyBorder="1" applyAlignment="1" applyProtection="1">
      <alignment vertical="center"/>
      <protection locked="0"/>
    </xf>
    <xf numFmtId="0" fontId="16" fillId="0" borderId="16" xfId="9" applyFont="1" applyBorder="1" applyAlignment="1" applyProtection="1">
      <alignment horizontal="left" vertical="center" wrapText="1"/>
      <protection locked="0"/>
    </xf>
    <xf numFmtId="177" fontId="16" fillId="0" borderId="4" xfId="7" applyNumberFormat="1" applyFont="1" applyFill="1" applyBorder="1" applyAlignment="1" applyProtection="1">
      <alignment horizontal="center" vertical="center" wrapText="1"/>
      <protection locked="0"/>
    </xf>
    <xf numFmtId="0" fontId="27" fillId="0" borderId="16" xfId="9" applyFont="1" applyBorder="1" applyAlignment="1" applyProtection="1">
      <alignment horizontal="left" vertical="center" wrapText="1"/>
      <protection locked="0"/>
    </xf>
    <xf numFmtId="3" fontId="27" fillId="0" borderId="4" xfId="9" applyNumberFormat="1" applyFont="1" applyBorder="1" applyAlignment="1" applyProtection="1">
      <alignment horizontal="center" vertical="center"/>
      <protection locked="0"/>
    </xf>
    <xf numFmtId="2" fontId="16" fillId="0" borderId="4" xfId="9" applyNumberFormat="1" applyFont="1" applyBorder="1" applyAlignment="1" applyProtection="1">
      <alignment horizontal="center" vertical="center" wrapText="1"/>
      <protection locked="0"/>
    </xf>
    <xf numFmtId="0" fontId="13" fillId="0" borderId="0" xfId="0" applyFont="1"/>
    <xf numFmtId="176" fontId="13" fillId="0" borderId="38" xfId="53" applyFont="1" applyBorder="1"/>
    <xf numFmtId="176" fontId="13" fillId="0" borderId="0" xfId="53" applyFont="1"/>
    <xf numFmtId="0" fontId="25" fillId="0" borderId="0" xfId="52" applyFont="1"/>
    <xf numFmtId="0" fontId="25" fillId="0" borderId="38" xfId="52" applyFont="1" applyBorder="1"/>
    <xf numFmtId="176" fontId="25" fillId="0" borderId="38" xfId="53" applyFont="1" applyBorder="1"/>
    <xf numFmtId="176" fontId="24" fillId="0" borderId="4" xfId="53" applyFont="1" applyFill="1" applyBorder="1"/>
    <xf numFmtId="0" fontId="25" fillId="0" borderId="20" xfId="52" applyFont="1" applyBorder="1"/>
    <xf numFmtId="0" fontId="25" fillId="0" borderId="21" xfId="52" applyFont="1" applyBorder="1"/>
    <xf numFmtId="0" fontId="25" fillId="0" borderId="35" xfId="52" applyFont="1" applyBorder="1"/>
    <xf numFmtId="0" fontId="25" fillId="0" borderId="9" xfId="52" applyFont="1" applyBorder="1"/>
    <xf numFmtId="0" fontId="25" fillId="0" borderId="48" xfId="52" applyFont="1" applyBorder="1"/>
    <xf numFmtId="0" fontId="24" fillId="0" borderId="0" xfId="52" applyFont="1"/>
    <xf numFmtId="0" fontId="25" fillId="0" borderId="12" xfId="52" applyFont="1" applyBorder="1"/>
    <xf numFmtId="0" fontId="25" fillId="0" borderId="22" xfId="52" applyFont="1" applyBorder="1"/>
    <xf numFmtId="0" fontId="25" fillId="0" borderId="36" xfId="52" applyFont="1" applyBorder="1"/>
    <xf numFmtId="0" fontId="25" fillId="0" borderId="0" xfId="55" applyFont="1"/>
    <xf numFmtId="0" fontId="14" fillId="0" borderId="0" xfId="9" applyFont="1" applyAlignment="1" applyProtection="1">
      <alignment horizontal="center" vertical="top" wrapText="1"/>
      <protection locked="0"/>
    </xf>
    <xf numFmtId="0" fontId="14" fillId="0" borderId="0" xfId="0" applyFont="1" applyAlignment="1">
      <alignment horizontal="left"/>
    </xf>
    <xf numFmtId="0" fontId="13" fillId="6" borderId="4" xfId="9" applyFont="1" applyFill="1" applyBorder="1" applyAlignment="1" applyProtection="1">
      <alignment horizontal="justify" vertical="justify" wrapText="1"/>
      <protection locked="0"/>
    </xf>
    <xf numFmtId="9" fontId="13" fillId="6" borderId="4" xfId="14" applyNumberFormat="1" applyFill="1" applyBorder="1" applyAlignment="1" applyProtection="1">
      <alignment horizontal="center" vertical="center"/>
      <protection locked="0"/>
    </xf>
    <xf numFmtId="0" fontId="13" fillId="6" borderId="4" xfId="14" applyFill="1" applyBorder="1" applyAlignment="1" applyProtection="1">
      <alignment horizontal="center" vertical="center" wrapText="1"/>
      <protection locked="0"/>
    </xf>
    <xf numFmtId="0" fontId="13" fillId="9" borderId="4" xfId="9" applyFont="1" applyFill="1" applyBorder="1" applyAlignment="1" applyProtection="1">
      <alignment horizontal="justify" vertical="justify" wrapText="1"/>
      <protection locked="0"/>
    </xf>
    <xf numFmtId="9" fontId="13" fillId="9" borderId="4" xfId="14" applyNumberFormat="1" applyFill="1" applyBorder="1" applyAlignment="1" applyProtection="1">
      <alignment horizontal="center" vertical="center"/>
      <protection locked="0"/>
    </xf>
    <xf numFmtId="0" fontId="13" fillId="9" borderId="4" xfId="14" applyFill="1" applyBorder="1" applyAlignment="1" applyProtection="1">
      <alignment horizontal="center" vertical="center" wrapText="1"/>
      <protection locked="0"/>
    </xf>
    <xf numFmtId="0" fontId="16" fillId="0" borderId="4" xfId="9" applyFont="1" applyBorder="1" applyAlignment="1" applyProtection="1">
      <alignment horizontal="left" vertical="center" wrapText="1"/>
      <protection locked="0"/>
    </xf>
    <xf numFmtId="0" fontId="13" fillId="0" borderId="0" xfId="9" applyFont="1" applyAlignment="1">
      <alignment horizontal="center" vertical="center"/>
    </xf>
    <xf numFmtId="177" fontId="16" fillId="2" borderId="4" xfId="7" applyNumberFormat="1" applyFont="1" applyFill="1" applyBorder="1" applyAlignment="1" applyProtection="1">
      <alignment vertical="center" wrapText="1"/>
      <protection locked="0"/>
    </xf>
    <xf numFmtId="0" fontId="16" fillId="0" borderId="4" xfId="48" applyFont="1" applyBorder="1" applyAlignment="1" applyProtection="1">
      <alignment horizontal="left" vertical="top" wrapText="1"/>
      <protection locked="0"/>
    </xf>
    <xf numFmtId="0" fontId="14" fillId="6" borderId="9" xfId="30" applyFont="1" applyFill="1" applyBorder="1" applyAlignment="1">
      <alignment horizontal="left" vertical="center" wrapText="1"/>
    </xf>
    <xf numFmtId="0" fontId="13" fillId="0" borderId="0" xfId="9" applyFont="1" applyAlignment="1">
      <alignment horizontal="center"/>
    </xf>
    <xf numFmtId="0" fontId="14" fillId="6" borderId="58" xfId="30" applyFont="1" applyFill="1" applyBorder="1" applyAlignment="1">
      <alignment horizontal="left" vertical="center" wrapText="1"/>
    </xf>
    <xf numFmtId="176" fontId="24" fillId="6" borderId="4" xfId="53" applyFont="1" applyFill="1" applyBorder="1"/>
    <xf numFmtId="0" fontId="25" fillId="0" borderId="17" xfId="52" applyFont="1" applyBorder="1"/>
    <xf numFmtId="0" fontId="25" fillId="0" borderId="12" xfId="52" applyFont="1" applyBorder="1" applyAlignment="1">
      <alignment vertical="center"/>
    </xf>
    <xf numFmtId="0" fontId="26" fillId="0" borderId="12" xfId="52" applyFont="1" applyBorder="1" applyAlignment="1">
      <alignment horizontal="center" wrapText="1"/>
    </xf>
    <xf numFmtId="0" fontId="13" fillId="0" borderId="4" xfId="9" applyFont="1" applyBorder="1" applyAlignment="1" applyProtection="1">
      <alignment horizontal="justify" vertical="justify" wrapText="1"/>
      <protection locked="0"/>
    </xf>
    <xf numFmtId="0" fontId="16" fillId="2" borderId="37" xfId="21" applyFont="1" applyFill="1" applyBorder="1" applyAlignment="1" applyProtection="1">
      <alignment vertical="center" wrapText="1"/>
      <protection locked="0"/>
    </xf>
    <xf numFmtId="0" fontId="16" fillId="2" borderId="25" xfId="21" applyFont="1" applyFill="1" applyBorder="1" applyAlignment="1" applyProtection="1">
      <alignment vertical="center" wrapText="1"/>
      <protection locked="0"/>
    </xf>
    <xf numFmtId="1" fontId="13" fillId="9" borderId="4" xfId="14" applyNumberFormat="1" applyFill="1" applyBorder="1" applyAlignment="1" applyProtection="1">
      <alignment horizontal="center" vertical="center"/>
      <protection locked="0"/>
    </xf>
    <xf numFmtId="1" fontId="13" fillId="6" borderId="4" xfId="14" applyNumberFormat="1" applyFill="1" applyBorder="1" applyAlignment="1" applyProtection="1">
      <alignment horizontal="center" vertical="center"/>
      <protection locked="0"/>
    </xf>
    <xf numFmtId="175" fontId="14" fillId="0" borderId="0" xfId="10" applyNumberFormat="1" applyFont="1" applyAlignment="1" applyProtection="1">
      <alignment horizontal="center" vertical="center" wrapText="1"/>
      <protection locked="0"/>
    </xf>
    <xf numFmtId="175" fontId="13" fillId="0" borderId="0" xfId="10" applyNumberFormat="1" applyAlignment="1" applyProtection="1">
      <alignment horizontal="center" vertical="center" wrapText="1"/>
      <protection locked="0"/>
    </xf>
    <xf numFmtId="169" fontId="16" fillId="0" borderId="4" xfId="7" applyFont="1" applyFill="1" applyBorder="1" applyAlignment="1" applyProtection="1">
      <alignment horizontal="center" vertical="center" wrapText="1"/>
      <protection locked="0"/>
    </xf>
    <xf numFmtId="177" fontId="16" fillId="0" borderId="4" xfId="7" applyNumberFormat="1" applyFont="1" applyFill="1" applyBorder="1" applyAlignment="1" applyProtection="1">
      <alignment vertical="center" wrapText="1"/>
      <protection locked="0"/>
    </xf>
    <xf numFmtId="0" fontId="16" fillId="0" borderId="25" xfId="21" applyFont="1" applyBorder="1" applyAlignment="1" applyProtection="1">
      <alignment vertical="center" wrapText="1"/>
      <protection locked="0"/>
    </xf>
    <xf numFmtId="0" fontId="16" fillId="0" borderId="37" xfId="21" applyFont="1" applyBorder="1" applyAlignment="1" applyProtection="1">
      <alignment vertical="center" wrapText="1"/>
      <protection locked="0"/>
    </xf>
    <xf numFmtId="1" fontId="16" fillId="0" borderId="4" xfId="21" applyNumberFormat="1" applyFont="1" applyBorder="1" applyAlignment="1" applyProtection="1">
      <alignment vertical="center" wrapText="1"/>
      <protection locked="0"/>
    </xf>
    <xf numFmtId="0" fontId="13" fillId="0" borderId="0" xfId="10" applyAlignment="1" applyProtection="1">
      <alignment horizontal="center" vertical="center" wrapText="1"/>
      <protection locked="0"/>
    </xf>
    <xf numFmtId="0" fontId="13" fillId="0" borderId="0" xfId="9" applyFont="1" applyAlignment="1" applyProtection="1">
      <alignment vertical="center"/>
      <protection locked="0"/>
    </xf>
    <xf numFmtId="0" fontId="13" fillId="0" borderId="0" xfId="14" applyAlignment="1" applyProtection="1">
      <alignment vertical="center"/>
      <protection locked="0"/>
    </xf>
    <xf numFmtId="0" fontId="13" fillId="0" borderId="9" xfId="14" applyBorder="1" applyAlignment="1" applyProtection="1">
      <alignment vertical="top" wrapText="1"/>
      <protection locked="0"/>
    </xf>
    <xf numFmtId="0" fontId="13" fillId="0" borderId="0" xfId="14" applyAlignment="1" applyProtection="1">
      <alignment vertical="top" wrapText="1"/>
      <protection locked="0"/>
    </xf>
    <xf numFmtId="175" fontId="13" fillId="0" borderId="0" xfId="14" applyNumberFormat="1" applyAlignment="1" applyProtection="1">
      <alignment vertical="top" wrapText="1"/>
      <protection locked="0"/>
    </xf>
    <xf numFmtId="0" fontId="13" fillId="0" borderId="0" xfId="9" applyFont="1" applyAlignment="1" applyProtection="1">
      <alignment vertical="center" wrapText="1"/>
      <protection locked="0"/>
    </xf>
    <xf numFmtId="0" fontId="13" fillId="0" borderId="0" xfId="9" applyFont="1" applyAlignment="1" applyProtection="1">
      <alignment horizontal="center" vertical="center"/>
      <protection locked="0"/>
    </xf>
    <xf numFmtId="175" fontId="13" fillId="0" borderId="0" xfId="9" applyNumberFormat="1" applyFont="1" applyAlignment="1" applyProtection="1">
      <alignment horizontal="center" vertical="center"/>
      <protection locked="0"/>
    </xf>
    <xf numFmtId="0" fontId="13" fillId="0" borderId="0" xfId="9" applyFont="1" applyAlignment="1" applyProtection="1">
      <alignment horizontal="center" vertical="center" wrapText="1"/>
      <protection locked="0"/>
    </xf>
    <xf numFmtId="0" fontId="13" fillId="0" borderId="0" xfId="9" applyFont="1" applyAlignment="1" applyProtection="1">
      <alignment horizontal="left" vertical="center" wrapText="1"/>
      <protection locked="0"/>
    </xf>
    <xf numFmtId="0" fontId="13" fillId="0" borderId="0" xfId="9" applyFont="1" applyProtection="1">
      <protection locked="0"/>
    </xf>
    <xf numFmtId="0" fontId="14" fillId="0" borderId="9" xfId="14" applyFont="1" applyBorder="1" applyAlignment="1" applyProtection="1">
      <alignment horizontal="center" vertical="center" wrapText="1"/>
      <protection locked="0"/>
    </xf>
    <xf numFmtId="0" fontId="14" fillId="0" borderId="0" xfId="14" applyFont="1" applyAlignment="1" applyProtection="1">
      <alignment horizontal="center" vertical="center" wrapText="1"/>
      <protection locked="0"/>
    </xf>
    <xf numFmtId="175" fontId="14" fillId="0" borderId="0" xfId="14" applyNumberFormat="1" applyFont="1" applyAlignment="1" applyProtection="1">
      <alignment horizontal="center" vertical="center" wrapText="1"/>
      <protection locked="0"/>
    </xf>
    <xf numFmtId="0" fontId="14" fillId="0" borderId="0" xfId="14" applyFont="1" applyAlignment="1" applyProtection="1">
      <alignment horizontal="center" vertical="center"/>
      <protection locked="0"/>
    </xf>
    <xf numFmtId="0" fontId="14" fillId="6" borderId="23" xfId="14" applyFont="1" applyFill="1" applyBorder="1" applyAlignment="1" applyProtection="1">
      <alignment horizontal="center" vertical="center" wrapText="1"/>
      <protection locked="0"/>
    </xf>
    <xf numFmtId="0" fontId="14" fillId="0" borderId="16" xfId="14" applyFont="1" applyBorder="1" applyAlignment="1" applyProtection="1">
      <alignment horizontal="center" vertical="center" wrapText="1"/>
      <protection locked="0"/>
    </xf>
    <xf numFmtId="0" fontId="13" fillId="0" borderId="4" xfId="9" applyFont="1" applyBorder="1" applyAlignment="1" applyProtection="1">
      <alignment horizontal="center" vertical="center" wrapText="1"/>
      <protection locked="0"/>
    </xf>
    <xf numFmtId="1" fontId="15" fillId="0" borderId="0" xfId="14" applyNumberFormat="1" applyFont="1" applyAlignment="1" applyProtection="1">
      <alignment horizontal="left" vertical="center"/>
      <protection locked="0"/>
    </xf>
    <xf numFmtId="0" fontId="14" fillId="0" borderId="0" xfId="14" applyFont="1" applyAlignment="1" applyProtection="1">
      <alignment vertical="center"/>
      <protection locked="0"/>
    </xf>
    <xf numFmtId="0" fontId="14" fillId="9" borderId="16" xfId="14" applyFont="1" applyFill="1" applyBorder="1" applyAlignment="1" applyProtection="1">
      <alignment vertical="center" wrapText="1"/>
      <protection locked="0"/>
    </xf>
    <xf numFmtId="0" fontId="14" fillId="6" borderId="16" xfId="14" applyFont="1" applyFill="1" applyBorder="1" applyAlignment="1" applyProtection="1">
      <alignment vertical="center" wrapText="1"/>
      <protection locked="0"/>
    </xf>
    <xf numFmtId="0" fontId="14" fillId="0" borderId="16" xfId="14" applyFont="1" applyBorder="1" applyAlignment="1" applyProtection="1">
      <alignment vertical="center" wrapText="1"/>
      <protection locked="0"/>
    </xf>
    <xf numFmtId="10" fontId="14" fillId="3" borderId="13" xfId="14" applyNumberFormat="1" applyFont="1" applyFill="1" applyBorder="1" applyAlignment="1" applyProtection="1">
      <alignment vertical="center" wrapText="1"/>
      <protection locked="0"/>
    </xf>
    <xf numFmtId="10" fontId="14" fillId="3" borderId="14" xfId="14" applyNumberFormat="1" applyFont="1" applyFill="1" applyBorder="1" applyAlignment="1" applyProtection="1">
      <alignment vertical="center" wrapText="1"/>
      <protection locked="0"/>
    </xf>
    <xf numFmtId="0" fontId="13" fillId="0" borderId="9" xfId="14" applyBorder="1" applyAlignment="1" applyProtection="1">
      <alignment vertical="center"/>
      <protection locked="0"/>
    </xf>
    <xf numFmtId="9" fontId="13" fillId="0" borderId="0" xfId="14" applyNumberFormat="1" applyAlignment="1" applyProtection="1">
      <alignment vertical="center"/>
      <protection locked="0"/>
    </xf>
    <xf numFmtId="175" fontId="13" fillId="0" borderId="0" xfId="14" applyNumberFormat="1" applyAlignment="1" applyProtection="1">
      <alignment vertical="center"/>
      <protection locked="0"/>
    </xf>
    <xf numFmtId="9" fontId="13" fillId="3" borderId="4" xfId="14" applyNumberFormat="1" applyFill="1" applyBorder="1" applyAlignment="1" applyProtection="1">
      <alignment vertical="center"/>
      <protection locked="0"/>
    </xf>
    <xf numFmtId="0" fontId="13" fillId="0" borderId="0" xfId="14" applyAlignment="1" applyProtection="1">
      <alignment horizontal="center" vertical="center"/>
      <protection locked="0"/>
    </xf>
    <xf numFmtId="0" fontId="13" fillId="6" borderId="4" xfId="14" applyFill="1" applyBorder="1" applyAlignment="1" applyProtection="1">
      <alignment vertical="center"/>
      <protection locked="0"/>
    </xf>
    <xf numFmtId="0" fontId="14" fillId="0" borderId="4" xfId="14" applyFont="1" applyBorder="1" applyAlignment="1" applyProtection="1">
      <alignment vertical="center" wrapText="1"/>
      <protection locked="0"/>
    </xf>
    <xf numFmtId="0" fontId="13" fillId="3" borderId="4" xfId="14" applyFill="1" applyBorder="1" applyAlignment="1" applyProtection="1">
      <alignment vertical="center"/>
      <protection locked="0"/>
    </xf>
    <xf numFmtId="0" fontId="13" fillId="3" borderId="4" xfId="14" applyFill="1" applyBorder="1" applyAlignment="1" applyProtection="1">
      <alignment vertical="center" wrapText="1"/>
      <protection locked="0"/>
    </xf>
    <xf numFmtId="169" fontId="13" fillId="0" borderId="4" xfId="7" applyFont="1" applyFill="1" applyBorder="1" applyAlignment="1" applyProtection="1">
      <alignment vertical="center"/>
      <protection locked="0"/>
    </xf>
    <xf numFmtId="167" fontId="13" fillId="0" borderId="0" xfId="14" applyNumberFormat="1" applyAlignment="1" applyProtection="1">
      <alignment vertical="center"/>
      <protection locked="0"/>
    </xf>
    <xf numFmtId="178" fontId="13" fillId="0" borderId="0" xfId="14" applyNumberFormat="1" applyAlignment="1" applyProtection="1">
      <alignment vertical="center"/>
      <protection locked="0"/>
    </xf>
    <xf numFmtId="0" fontId="13" fillId="0" borderId="17" xfId="14" applyBorder="1" applyAlignment="1" applyProtection="1">
      <alignment vertical="center"/>
      <protection locked="0"/>
    </xf>
    <xf numFmtId="0" fontId="13" fillId="0" borderId="0" xfId="10" applyAlignment="1" applyProtection="1">
      <alignment vertical="center" wrapText="1"/>
      <protection locked="0"/>
    </xf>
    <xf numFmtId="0" fontId="14" fillId="0" borderId="0" xfId="10" applyFont="1" applyAlignment="1" applyProtection="1">
      <alignment vertical="center" wrapText="1"/>
      <protection locked="0"/>
    </xf>
    <xf numFmtId="3" fontId="13" fillId="0" borderId="0" xfId="10" applyNumberFormat="1" applyAlignment="1" applyProtection="1">
      <alignment vertical="center" wrapText="1"/>
      <protection locked="0"/>
    </xf>
    <xf numFmtId="3" fontId="14" fillId="0" borderId="0" xfId="10" applyNumberFormat="1" applyFont="1" applyAlignment="1" applyProtection="1">
      <alignment horizontal="right" vertical="center" wrapText="1"/>
      <protection locked="0"/>
    </xf>
    <xf numFmtId="10" fontId="14" fillId="3" borderId="4" xfId="14" applyNumberFormat="1" applyFont="1" applyFill="1" applyBorder="1" applyAlignment="1">
      <alignment vertical="center" wrapText="1"/>
    </xf>
    <xf numFmtId="10" fontId="14" fillId="3" borderId="23" xfId="14" applyNumberFormat="1" applyFont="1" applyFill="1" applyBorder="1" applyAlignment="1">
      <alignment vertical="center" wrapText="1"/>
    </xf>
    <xf numFmtId="175" fontId="13" fillId="0" borderId="0" xfId="9" applyNumberFormat="1" applyFont="1" applyProtection="1">
      <protection locked="0"/>
    </xf>
    <xf numFmtId="0" fontId="24" fillId="6" borderId="4" xfId="9" applyFont="1" applyFill="1" applyBorder="1" applyAlignment="1" applyProtection="1">
      <alignment horizontal="center" vertical="center" wrapText="1"/>
      <protection locked="0"/>
    </xf>
    <xf numFmtId="0" fontId="24" fillId="15" borderId="23" xfId="9" applyFont="1" applyFill="1" applyBorder="1" applyAlignment="1" applyProtection="1">
      <alignment horizontal="center" vertical="center" wrapText="1"/>
      <protection locked="0"/>
    </xf>
    <xf numFmtId="171" fontId="16" fillId="0" borderId="4" xfId="8" applyNumberFormat="1" applyFont="1" applyFill="1" applyBorder="1" applyAlignment="1" applyProtection="1">
      <alignment horizontal="right" vertical="center" wrapText="1"/>
      <protection locked="0"/>
    </xf>
    <xf numFmtId="171" fontId="17" fillId="6" borderId="4" xfId="8" applyNumberFormat="1" applyFont="1" applyFill="1" applyBorder="1" applyAlignment="1" applyProtection="1">
      <alignment horizontal="right" vertical="center" wrapText="1"/>
      <protection locked="0"/>
    </xf>
    <xf numFmtId="171" fontId="17" fillId="6" borderId="13" xfId="8" applyNumberFormat="1" applyFont="1" applyFill="1" applyBorder="1" applyAlignment="1" applyProtection="1">
      <alignment horizontal="right" vertical="center" wrapText="1"/>
      <protection locked="0"/>
    </xf>
    <xf numFmtId="0" fontId="17" fillId="0" borderId="0" xfId="9" applyFont="1" applyAlignment="1" applyProtection="1">
      <alignment horizontal="right" vertical="center"/>
      <protection locked="0"/>
    </xf>
    <xf numFmtId="0" fontId="13" fillId="0" borderId="0" xfId="9" applyFont="1" applyAlignment="1" applyProtection="1">
      <alignment horizontal="right" vertical="center"/>
      <protection locked="0"/>
    </xf>
    <xf numFmtId="3" fontId="17" fillId="0" borderId="0" xfId="9" applyNumberFormat="1" applyFont="1" applyAlignment="1" applyProtection="1">
      <alignment horizontal="center" vertical="center" wrapText="1"/>
      <protection locked="0"/>
    </xf>
    <xf numFmtId="0" fontId="28" fillId="6" borderId="4" xfId="9" applyFont="1" applyFill="1" applyBorder="1" applyAlignment="1" applyProtection="1">
      <alignment horizontal="center" vertical="center" wrapText="1"/>
      <protection locked="0"/>
    </xf>
    <xf numFmtId="0" fontId="27" fillId="0" borderId="37" xfId="9" applyFont="1" applyBorder="1" applyAlignment="1" applyProtection="1">
      <alignment horizontal="center" vertical="center" wrapText="1"/>
      <protection locked="0"/>
    </xf>
    <xf numFmtId="0" fontId="27" fillId="0" borderId="4" xfId="9" applyFont="1" applyBorder="1" applyAlignment="1" applyProtection="1">
      <alignment horizontal="center" vertical="center" wrapText="1"/>
      <protection locked="0"/>
    </xf>
    <xf numFmtId="177" fontId="27" fillId="0" borderId="4" xfId="7" applyNumberFormat="1" applyFont="1" applyBorder="1" applyAlignment="1" applyProtection="1">
      <alignment horizontal="center" vertical="center" wrapText="1"/>
      <protection locked="0"/>
    </xf>
    <xf numFmtId="177" fontId="17" fillId="6" borderId="13" xfId="7" applyNumberFormat="1" applyFont="1" applyFill="1" applyBorder="1" applyAlignment="1" applyProtection="1">
      <alignment horizontal="right" vertical="center" wrapText="1"/>
      <protection locked="0"/>
    </xf>
    <xf numFmtId="171" fontId="17" fillId="0" borderId="0" xfId="8" applyNumberFormat="1" applyFont="1" applyFill="1" applyBorder="1" applyAlignment="1" applyProtection="1">
      <alignment horizontal="right" vertical="center" wrapText="1"/>
      <protection locked="0"/>
    </xf>
    <xf numFmtId="175" fontId="14" fillId="0" borderId="0" xfId="9" applyNumberFormat="1" applyFont="1" applyAlignment="1" applyProtection="1">
      <alignment vertical="center"/>
      <protection locked="0"/>
    </xf>
    <xf numFmtId="171" fontId="16" fillId="5" borderId="23" xfId="8" applyNumberFormat="1" applyFont="1" applyFill="1" applyBorder="1" applyAlignment="1" applyProtection="1">
      <alignment horizontal="right" vertical="center" wrapText="1"/>
      <protection locked="0"/>
    </xf>
    <xf numFmtId="171" fontId="17" fillId="5" borderId="14" xfId="8" applyNumberFormat="1" applyFont="1" applyFill="1" applyBorder="1" applyAlignment="1" applyProtection="1">
      <alignment horizontal="right" vertical="center" wrapText="1"/>
      <protection locked="0"/>
    </xf>
    <xf numFmtId="0" fontId="14" fillId="0" borderId="0" xfId="9" applyFont="1" applyAlignment="1" applyProtection="1">
      <alignment horizontal="right" vertical="center"/>
      <protection locked="0"/>
    </xf>
    <xf numFmtId="175" fontId="13" fillId="0" borderId="0" xfId="9" applyNumberFormat="1" applyFont="1" applyAlignment="1" applyProtection="1">
      <alignment vertical="center"/>
      <protection locked="0"/>
    </xf>
    <xf numFmtId="175" fontId="14" fillId="6" borderId="23" xfId="9" applyNumberFormat="1" applyFont="1" applyFill="1" applyBorder="1" applyAlignment="1">
      <alignment vertical="center"/>
    </xf>
    <xf numFmtId="175" fontId="14" fillId="6" borderId="14" xfId="9" applyNumberFormat="1" applyFont="1" applyFill="1" applyBorder="1" applyAlignment="1">
      <alignment vertical="center"/>
    </xf>
    <xf numFmtId="0" fontId="24" fillId="15" borderId="23" xfId="9" applyFont="1" applyFill="1" applyBorder="1" applyAlignment="1">
      <alignment horizontal="center" vertical="center" wrapText="1"/>
    </xf>
    <xf numFmtId="175" fontId="13" fillId="0" borderId="23" xfId="16" applyNumberFormat="1" applyFont="1" applyFill="1" applyBorder="1" applyAlignment="1" applyProtection="1">
      <alignment vertical="center"/>
    </xf>
    <xf numFmtId="0" fontId="14" fillId="6" borderId="4" xfId="0" applyFont="1" applyFill="1" applyBorder="1" applyAlignment="1" applyProtection="1">
      <alignment horizontal="center" vertical="center"/>
      <protection locked="0"/>
    </xf>
    <xf numFmtId="0" fontId="14" fillId="6" borderId="23" xfId="0" applyFont="1" applyFill="1" applyBorder="1" applyAlignment="1" applyProtection="1">
      <alignment horizontal="center" vertical="center"/>
      <protection locked="0"/>
    </xf>
    <xf numFmtId="171" fontId="15" fillId="0" borderId="0" xfId="9" applyNumberFormat="1" applyFont="1" applyAlignment="1" applyProtection="1">
      <alignment vertical="center"/>
      <protection locked="0"/>
    </xf>
    <xf numFmtId="177" fontId="13" fillId="0" borderId="4" xfId="7" applyNumberFormat="1" applyFont="1" applyBorder="1" applyAlignment="1" applyProtection="1">
      <alignment vertical="center"/>
      <protection locked="0"/>
    </xf>
    <xf numFmtId="177" fontId="13" fillId="0" borderId="23" xfId="7" applyNumberFormat="1" applyFont="1" applyBorder="1" applyAlignment="1" applyProtection="1">
      <alignment vertical="center"/>
      <protection locked="0"/>
    </xf>
    <xf numFmtId="177" fontId="13" fillId="6" borderId="4" xfId="7" applyNumberFormat="1" applyFont="1" applyFill="1" applyBorder="1" applyAlignment="1" applyProtection="1">
      <alignment vertical="center"/>
      <protection locked="0"/>
    </xf>
    <xf numFmtId="177" fontId="13" fillId="6" borderId="23" xfId="7" applyNumberFormat="1" applyFont="1" applyFill="1" applyBorder="1" applyAlignment="1" applyProtection="1">
      <alignment vertical="center"/>
      <protection locked="0"/>
    </xf>
    <xf numFmtId="177" fontId="13" fillId="0" borderId="4" xfId="7" applyNumberFormat="1" applyFont="1" applyFill="1" applyBorder="1" applyAlignment="1" applyProtection="1">
      <alignment vertical="center"/>
      <protection locked="0"/>
    </xf>
    <xf numFmtId="177" fontId="13" fillId="0" borderId="23" xfId="7" applyNumberFormat="1" applyFont="1" applyFill="1" applyBorder="1" applyAlignment="1" applyProtection="1">
      <alignment vertical="center"/>
      <protection locked="0"/>
    </xf>
    <xf numFmtId="177" fontId="13" fillId="6" borderId="13" xfId="7" applyNumberFormat="1" applyFont="1" applyFill="1" applyBorder="1" applyAlignment="1" applyProtection="1">
      <alignment vertical="center"/>
      <protection locked="0"/>
    </xf>
    <xf numFmtId="177" fontId="13" fillId="6" borderId="14" xfId="7" applyNumberFormat="1" applyFont="1" applyFill="1" applyBorder="1" applyAlignment="1" applyProtection="1">
      <alignment vertical="center"/>
      <protection locked="0"/>
    </xf>
    <xf numFmtId="177" fontId="13" fillId="0" borderId="0" xfId="9" applyNumberFormat="1" applyFont="1" applyAlignment="1" applyProtection="1">
      <alignment vertical="center"/>
      <protection locked="0"/>
    </xf>
    <xf numFmtId="177" fontId="14" fillId="6" borderId="4" xfId="0" applyNumberFormat="1" applyFont="1" applyFill="1" applyBorder="1" applyAlignment="1" applyProtection="1">
      <alignment horizontal="center" vertical="center"/>
      <protection locked="0"/>
    </xf>
    <xf numFmtId="177" fontId="14" fillId="6" borderId="23" xfId="0" applyNumberFormat="1" applyFont="1" applyFill="1" applyBorder="1" applyAlignment="1" applyProtection="1">
      <alignment horizontal="center" vertical="center"/>
      <protection locked="0"/>
    </xf>
    <xf numFmtId="177" fontId="17" fillId="0" borderId="0" xfId="7" applyNumberFormat="1" applyFont="1" applyFill="1" applyBorder="1" applyAlignment="1" applyProtection="1">
      <alignment horizontal="right" vertical="center" wrapText="1"/>
      <protection locked="0"/>
    </xf>
    <xf numFmtId="177" fontId="13" fillId="0" borderId="0" xfId="7" applyNumberFormat="1" applyFont="1" applyFill="1" applyBorder="1" applyAlignment="1" applyProtection="1">
      <alignment vertical="center"/>
      <protection locked="0"/>
    </xf>
    <xf numFmtId="0" fontId="35" fillId="0" borderId="0" xfId="9" applyFont="1" applyAlignment="1" applyProtection="1">
      <alignment horizontal="left" vertical="center"/>
      <protection locked="0"/>
    </xf>
    <xf numFmtId="177" fontId="14" fillId="6" borderId="16" xfId="0" applyNumberFormat="1" applyFont="1" applyFill="1" applyBorder="1" applyAlignment="1" applyProtection="1">
      <alignment horizontal="center" vertical="center"/>
      <protection locked="0"/>
    </xf>
    <xf numFmtId="177" fontId="13" fillId="3" borderId="16" xfId="9" applyNumberFormat="1" applyFont="1" applyFill="1" applyBorder="1" applyAlignment="1" applyProtection="1">
      <alignment vertical="center"/>
      <protection locked="0"/>
    </xf>
    <xf numFmtId="177" fontId="13" fillId="3" borderId="4" xfId="9" applyNumberFormat="1" applyFont="1" applyFill="1" applyBorder="1" applyAlignment="1" applyProtection="1">
      <alignment vertical="center"/>
      <protection locked="0"/>
    </xf>
    <xf numFmtId="177" fontId="13" fillId="3" borderId="23" xfId="9" applyNumberFormat="1" applyFont="1" applyFill="1" applyBorder="1" applyAlignment="1" applyProtection="1">
      <alignment vertical="center"/>
      <protection locked="0"/>
    </xf>
    <xf numFmtId="177" fontId="13" fillId="0" borderId="4" xfId="9" applyNumberFormat="1" applyFont="1" applyBorder="1" applyAlignment="1" applyProtection="1">
      <alignment vertical="center"/>
      <protection locked="0"/>
    </xf>
    <xf numFmtId="177" fontId="13" fillId="0" borderId="23" xfId="9" applyNumberFormat="1" applyFont="1" applyBorder="1" applyAlignment="1" applyProtection="1">
      <alignment vertical="center"/>
      <protection locked="0"/>
    </xf>
    <xf numFmtId="9" fontId="17" fillId="3" borderId="4" xfId="9" applyNumberFormat="1" applyFont="1" applyFill="1" applyBorder="1" applyAlignment="1" applyProtection="1">
      <alignment horizontal="right" vertical="center" wrapText="1"/>
      <protection locked="0"/>
    </xf>
    <xf numFmtId="171" fontId="13" fillId="0" borderId="0" xfId="9" applyNumberFormat="1" applyFont="1" applyAlignment="1" applyProtection="1">
      <alignment vertical="center"/>
      <protection locked="0"/>
    </xf>
    <xf numFmtId="0" fontId="13" fillId="0" borderId="49" xfId="9" applyFont="1" applyBorder="1" applyAlignment="1" applyProtection="1">
      <alignment horizontal="left" vertical="center"/>
      <protection locked="0"/>
    </xf>
    <xf numFmtId="0" fontId="13" fillId="0" borderId="62" xfId="9" applyFont="1" applyBorder="1" applyAlignment="1" applyProtection="1">
      <alignment horizontal="left" vertical="center"/>
      <protection locked="0"/>
    </xf>
    <xf numFmtId="0" fontId="17" fillId="0" borderId="0" xfId="9" applyFont="1" applyAlignment="1" applyProtection="1">
      <alignment horizontal="left" vertical="center"/>
      <protection locked="0"/>
    </xf>
    <xf numFmtId="175" fontId="14" fillId="6" borderId="4" xfId="9" applyNumberFormat="1" applyFont="1" applyFill="1" applyBorder="1" applyAlignment="1">
      <alignment vertical="center"/>
    </xf>
    <xf numFmtId="175" fontId="13" fillId="0" borderId="4" xfId="16" applyNumberFormat="1" applyFont="1" applyFill="1" applyBorder="1" applyAlignment="1" applyProtection="1">
      <alignment vertical="center"/>
    </xf>
    <xf numFmtId="175" fontId="14" fillId="6" borderId="13" xfId="9" applyNumberFormat="1" applyFont="1" applyFill="1" applyBorder="1" applyAlignment="1">
      <alignment vertical="center"/>
    </xf>
    <xf numFmtId="175" fontId="13" fillId="0" borderId="37" xfId="16" applyNumberFormat="1" applyFont="1" applyFill="1" applyBorder="1" applyAlignment="1" applyProtection="1">
      <alignment vertical="center"/>
    </xf>
    <xf numFmtId="175" fontId="14" fillId="6" borderId="52" xfId="9" applyNumberFormat="1" applyFont="1" applyFill="1" applyBorder="1" applyAlignment="1">
      <alignment vertical="center"/>
    </xf>
    <xf numFmtId="0" fontId="17" fillId="15" borderId="4" xfId="9" applyFont="1" applyFill="1" applyBorder="1" applyAlignment="1">
      <alignment horizontal="center" vertical="center" wrapText="1"/>
    </xf>
    <xf numFmtId="0" fontId="17" fillId="15" borderId="23" xfId="9" applyFont="1" applyFill="1" applyBorder="1" applyAlignment="1">
      <alignment horizontal="center" vertical="center" wrapText="1"/>
    </xf>
    <xf numFmtId="169" fontId="13" fillId="0" borderId="0" xfId="7" applyFont="1" applyBorder="1" applyAlignment="1" applyProtection="1">
      <alignment vertical="center"/>
      <protection locked="0"/>
    </xf>
    <xf numFmtId="0" fontId="14" fillId="0" borderId="0" xfId="30" applyFont="1" applyAlignment="1" applyProtection="1">
      <alignment horizontal="right" vertical="center" wrapText="1"/>
      <protection locked="0"/>
    </xf>
    <xf numFmtId="0" fontId="13" fillId="0" borderId="0" xfId="30" applyAlignment="1" applyProtection="1">
      <alignment horizontal="left" vertical="center" wrapText="1"/>
      <protection locked="0"/>
    </xf>
    <xf numFmtId="0" fontId="14" fillId="0" borderId="0" xfId="30" applyFont="1" applyAlignment="1" applyProtection="1">
      <alignment horizontal="center" vertical="top" wrapText="1"/>
      <protection locked="0"/>
    </xf>
    <xf numFmtId="169" fontId="14" fillId="0" borderId="0" xfId="7" applyFont="1" applyBorder="1" applyAlignment="1" applyProtection="1">
      <alignment horizontal="center" vertical="top" wrapText="1"/>
      <protection locked="0"/>
    </xf>
    <xf numFmtId="169" fontId="13" fillId="0" borderId="0" xfId="7" applyFont="1" applyFill="1" applyBorder="1" applyAlignment="1" applyProtection="1">
      <alignment vertical="center"/>
      <protection locked="0"/>
    </xf>
    <xf numFmtId="169" fontId="24" fillId="6" borderId="4" xfId="7" applyFont="1" applyFill="1" applyBorder="1" applyAlignment="1" applyProtection="1">
      <alignment horizontal="center" vertical="center" wrapText="1"/>
      <protection locked="0"/>
    </xf>
    <xf numFmtId="0" fontId="14" fillId="6" borderId="4" xfId="30" applyFont="1" applyFill="1" applyBorder="1" applyAlignment="1" applyProtection="1">
      <alignment horizontal="center" vertical="center" wrapText="1"/>
      <protection locked="0"/>
    </xf>
    <xf numFmtId="169" fontId="14" fillId="6" borderId="4" xfId="7" applyFont="1" applyFill="1" applyBorder="1" applyAlignment="1" applyProtection="1">
      <alignment horizontal="center" vertical="center"/>
      <protection locked="0"/>
    </xf>
    <xf numFmtId="169" fontId="13" fillId="0" borderId="4" xfId="7" applyFont="1" applyBorder="1" applyAlignment="1" applyProtection="1">
      <alignment vertical="center"/>
      <protection locked="0"/>
    </xf>
    <xf numFmtId="0" fontId="13" fillId="0" borderId="4" xfId="30" applyBorder="1" applyAlignment="1" applyProtection="1">
      <alignment horizontal="left" vertical="center" wrapText="1"/>
      <protection locked="0"/>
    </xf>
    <xf numFmtId="9" fontId="13" fillId="0" borderId="4" xfId="16" applyFont="1" applyFill="1" applyBorder="1" applyAlignment="1" applyProtection="1">
      <alignment horizontal="left" vertical="center" wrapText="1"/>
      <protection locked="0"/>
    </xf>
    <xf numFmtId="177" fontId="13" fillId="0" borderId="4" xfId="7" applyNumberFormat="1" applyFont="1" applyFill="1" applyBorder="1" applyAlignment="1" applyProtection="1">
      <alignment horizontal="left" vertical="center" wrapText="1"/>
      <protection locked="0"/>
    </xf>
    <xf numFmtId="2" fontId="13" fillId="0" borderId="4" xfId="30" applyNumberFormat="1" applyBorder="1" applyAlignment="1" applyProtection="1">
      <alignment horizontal="left" vertical="center" wrapText="1"/>
      <protection locked="0"/>
    </xf>
    <xf numFmtId="177" fontId="14" fillId="3" borderId="4" xfId="7" applyNumberFormat="1" applyFont="1" applyFill="1" applyBorder="1" applyAlignment="1" applyProtection="1">
      <alignment horizontal="center" vertical="center" wrapText="1"/>
      <protection locked="0"/>
    </xf>
    <xf numFmtId="0" fontId="13" fillId="0" borderId="4" xfId="9" applyFont="1" applyBorder="1" applyAlignment="1" applyProtection="1">
      <alignment horizontal="left" vertical="center" wrapText="1"/>
      <protection locked="0"/>
    </xf>
    <xf numFmtId="177" fontId="13" fillId="0" borderId="4" xfId="7" applyNumberFormat="1" applyFont="1" applyFill="1" applyBorder="1" applyAlignment="1" applyProtection="1">
      <alignment vertical="center" wrapText="1"/>
      <protection locked="0"/>
    </xf>
    <xf numFmtId="177" fontId="14" fillId="3" borderId="4" xfId="7" applyNumberFormat="1" applyFont="1" applyFill="1" applyBorder="1" applyAlignment="1" applyProtection="1">
      <alignment vertical="center" wrapText="1"/>
      <protection locked="0"/>
    </xf>
    <xf numFmtId="177" fontId="14" fillId="6" borderId="31" xfId="7" applyNumberFormat="1" applyFont="1" applyFill="1" applyBorder="1" applyAlignment="1" applyProtection="1">
      <alignment horizontal="center" vertical="center" wrapText="1"/>
      <protection locked="0"/>
    </xf>
    <xf numFmtId="177" fontId="14" fillId="6" borderId="24" xfId="7" applyNumberFormat="1" applyFont="1" applyFill="1" applyBorder="1" applyAlignment="1" applyProtection="1">
      <alignment horizontal="center" vertical="center" wrapText="1"/>
      <protection locked="0"/>
    </xf>
    <xf numFmtId="9" fontId="13" fillId="0" borderId="4" xfId="16" applyFont="1" applyFill="1" applyBorder="1" applyAlignment="1" applyProtection="1">
      <alignment horizontal="right" vertical="center" wrapText="1"/>
      <protection locked="0"/>
    </xf>
    <xf numFmtId="169" fontId="13" fillId="0" borderId="23" xfId="7" applyFont="1" applyFill="1" applyBorder="1" applyAlignment="1" applyProtection="1">
      <alignment horizontal="left" vertical="center" wrapText="1"/>
      <protection locked="0"/>
    </xf>
    <xf numFmtId="177" fontId="14" fillId="7" borderId="7" xfId="7" applyNumberFormat="1" applyFont="1" applyFill="1" applyBorder="1" applyAlignment="1" applyProtection="1">
      <alignment horizontal="center" vertical="center" wrapText="1"/>
      <protection locked="0"/>
    </xf>
    <xf numFmtId="169" fontId="14" fillId="7" borderId="7" xfId="7" applyFont="1" applyFill="1" applyBorder="1" applyAlignment="1" applyProtection="1">
      <alignment horizontal="center" vertical="center" wrapText="1"/>
      <protection locked="0"/>
    </xf>
    <xf numFmtId="169" fontId="14" fillId="7" borderId="8" xfId="7" applyFont="1" applyFill="1" applyBorder="1" applyAlignment="1" applyProtection="1">
      <alignment horizontal="center" vertical="center" wrapText="1"/>
      <protection locked="0"/>
    </xf>
    <xf numFmtId="0" fontId="14" fillId="7" borderId="16" xfId="9" applyFont="1" applyFill="1" applyBorder="1" applyAlignment="1" applyProtection="1">
      <alignment horizontal="left" vertical="center" wrapText="1"/>
      <protection locked="0"/>
    </xf>
    <xf numFmtId="0" fontId="14" fillId="7" borderId="4" xfId="9" applyFont="1" applyFill="1" applyBorder="1" applyAlignment="1" applyProtection="1">
      <alignment horizontal="left" vertical="center" wrapText="1"/>
      <protection locked="0"/>
    </xf>
    <xf numFmtId="0" fontId="14" fillId="7" borderId="51" xfId="9" applyFont="1" applyFill="1" applyBorder="1" applyAlignment="1" applyProtection="1">
      <alignment horizontal="left" vertical="center" wrapText="1"/>
      <protection locked="0"/>
    </xf>
    <xf numFmtId="0" fontId="14" fillId="7" borderId="13" xfId="9" applyFont="1" applyFill="1" applyBorder="1" applyAlignment="1" applyProtection="1">
      <alignment horizontal="left" vertical="center" wrapText="1"/>
      <protection locked="0"/>
    </xf>
    <xf numFmtId="0" fontId="13" fillId="0" borderId="0" xfId="9" applyFont="1" applyAlignment="1" applyProtection="1">
      <alignment horizontal="left" vertical="top" wrapText="1"/>
      <protection locked="0"/>
    </xf>
    <xf numFmtId="169" fontId="13" fillId="0" borderId="0" xfId="7" applyFont="1" applyBorder="1" applyAlignment="1" applyProtection="1">
      <alignment horizontal="left" vertical="top" wrapText="1"/>
      <protection locked="0"/>
    </xf>
    <xf numFmtId="169" fontId="13" fillId="0" borderId="0" xfId="7" applyFont="1" applyBorder="1" applyAlignment="1" applyProtection="1">
      <alignment horizontal="right" vertical="top" wrapText="1"/>
      <protection locked="0"/>
    </xf>
    <xf numFmtId="0" fontId="14" fillId="0" borderId="0" xfId="30" applyFont="1" applyAlignment="1" applyProtection="1">
      <alignment horizontal="left" vertical="top" wrapText="1"/>
      <protection locked="0"/>
    </xf>
    <xf numFmtId="169" fontId="13" fillId="0" borderId="0" xfId="7" applyFont="1" applyBorder="1" applyAlignment="1" applyProtection="1">
      <alignment horizontal="center" vertical="center"/>
      <protection locked="0"/>
    </xf>
    <xf numFmtId="169" fontId="14" fillId="6" borderId="23" xfId="7" applyFont="1" applyFill="1" applyBorder="1" applyAlignment="1" applyProtection="1">
      <alignment horizontal="center" vertical="center"/>
      <protection locked="0"/>
    </xf>
    <xf numFmtId="177" fontId="13" fillId="0" borderId="0" xfId="9" applyNumberFormat="1" applyFont="1" applyProtection="1">
      <protection locked="0"/>
    </xf>
    <xf numFmtId="2" fontId="13" fillId="0" borderId="4" xfId="9" applyNumberFormat="1" applyFont="1" applyBorder="1" applyAlignment="1" applyProtection="1">
      <alignment horizontal="left" vertical="center" wrapText="1"/>
      <protection locked="0"/>
    </xf>
    <xf numFmtId="177" fontId="13" fillId="0" borderId="23" xfId="7" applyNumberFormat="1" applyFont="1" applyFill="1" applyBorder="1" applyAlignment="1" applyProtection="1">
      <alignment horizontal="left" vertical="center" wrapText="1"/>
      <protection locked="0"/>
    </xf>
    <xf numFmtId="0" fontId="13" fillId="0" borderId="16" xfId="30" applyBorder="1" applyAlignment="1" applyProtection="1">
      <alignment horizontal="left" vertical="center" wrapText="1"/>
      <protection locked="0"/>
    </xf>
    <xf numFmtId="177" fontId="14" fillId="3" borderId="23" xfId="7" applyNumberFormat="1" applyFont="1" applyFill="1" applyBorder="1" applyAlignment="1" applyProtection="1">
      <alignment horizontal="center" vertical="center" wrapText="1"/>
      <protection locked="0"/>
    </xf>
    <xf numFmtId="169" fontId="28" fillId="6" borderId="4" xfId="7" applyFont="1" applyFill="1" applyBorder="1" applyAlignment="1" applyProtection="1">
      <alignment horizontal="center" vertical="center" wrapText="1"/>
      <protection locked="0"/>
    </xf>
    <xf numFmtId="169" fontId="13" fillId="0" borderId="4" xfId="7" applyFont="1" applyFill="1" applyBorder="1" applyAlignment="1" applyProtection="1">
      <alignment horizontal="left" vertical="center"/>
      <protection locked="0"/>
    </xf>
    <xf numFmtId="169" fontId="13" fillId="0" borderId="23" xfId="7" applyFont="1" applyFill="1" applyBorder="1" applyAlignment="1" applyProtection="1">
      <alignment horizontal="left" vertical="center"/>
      <protection locked="0"/>
    </xf>
    <xf numFmtId="177" fontId="14" fillId="9" borderId="4" xfId="7" applyNumberFormat="1" applyFont="1" applyFill="1" applyBorder="1" applyAlignment="1" applyProtection="1">
      <alignment horizontal="center" vertical="center" wrapText="1"/>
      <protection locked="0"/>
    </xf>
    <xf numFmtId="177" fontId="14" fillId="9" borderId="23" xfId="7" applyNumberFormat="1" applyFont="1" applyFill="1" applyBorder="1" applyAlignment="1" applyProtection="1">
      <alignment horizontal="center" vertical="center" wrapText="1"/>
      <protection locked="0"/>
    </xf>
    <xf numFmtId="0" fontId="13" fillId="0" borderId="0" xfId="9" applyFont="1" applyAlignment="1" applyProtection="1">
      <alignment horizontal="right" vertical="top" wrapText="1"/>
      <protection locked="0"/>
    </xf>
    <xf numFmtId="0" fontId="13" fillId="0" borderId="4" xfId="9" applyFont="1" applyBorder="1" applyAlignment="1" applyProtection="1">
      <alignment horizontal="center" wrapText="1"/>
      <protection locked="0"/>
    </xf>
    <xf numFmtId="0" fontId="13" fillId="0" borderId="0" xfId="9" applyFont="1" applyAlignment="1" applyProtection="1">
      <alignment vertical="top" wrapText="1"/>
      <protection locked="0"/>
    </xf>
    <xf numFmtId="0" fontId="13" fillId="0" borderId="4" xfId="9" applyFont="1" applyBorder="1" applyAlignment="1" applyProtection="1">
      <alignment wrapText="1"/>
      <protection locked="0"/>
    </xf>
    <xf numFmtId="0" fontId="13" fillId="0" borderId="7" xfId="9" applyFont="1" applyBorder="1" applyAlignment="1" applyProtection="1">
      <alignment horizontal="center" wrapText="1"/>
      <protection locked="0"/>
    </xf>
    <xf numFmtId="0" fontId="13" fillId="0" borderId="7" xfId="9" applyFont="1" applyBorder="1" applyAlignment="1" applyProtection="1">
      <alignment wrapText="1"/>
      <protection locked="0"/>
    </xf>
    <xf numFmtId="0" fontId="14" fillId="6" borderId="5" xfId="30" applyFont="1" applyFill="1" applyBorder="1" applyAlignment="1" applyProtection="1">
      <alignment horizontal="center" vertical="center" wrapText="1"/>
      <protection locked="0"/>
    </xf>
    <xf numFmtId="0" fontId="14" fillId="15" borderId="4" xfId="30" applyFont="1" applyFill="1" applyBorder="1" applyAlignment="1">
      <alignment horizontal="center" vertical="center" wrapText="1"/>
    </xf>
    <xf numFmtId="0" fontId="25" fillId="0" borderId="0" xfId="21" applyFont="1" applyAlignment="1" applyProtection="1">
      <alignment vertical="center"/>
      <protection locked="0"/>
    </xf>
    <xf numFmtId="0" fontId="25" fillId="2" borderId="0" xfId="21" applyFont="1" applyFill="1" applyAlignment="1" applyProtection="1">
      <alignment vertical="center"/>
      <protection locked="0"/>
    </xf>
    <xf numFmtId="169" fontId="25" fillId="0" borderId="0" xfId="7" applyFont="1" applyFill="1" applyAlignment="1" applyProtection="1">
      <alignment vertical="center"/>
      <protection locked="0"/>
    </xf>
    <xf numFmtId="0" fontId="24" fillId="3" borderId="1" xfId="21" applyFont="1" applyFill="1" applyBorder="1" applyAlignment="1" applyProtection="1">
      <alignment vertical="center"/>
      <protection locked="0"/>
    </xf>
    <xf numFmtId="0" fontId="24" fillId="0" borderId="0" xfId="21" applyFont="1" applyAlignment="1" applyProtection="1">
      <alignment vertical="center"/>
      <protection locked="0"/>
    </xf>
    <xf numFmtId="0" fontId="28" fillId="6" borderId="16" xfId="9" applyFont="1" applyFill="1" applyBorder="1" applyAlignment="1" applyProtection="1">
      <alignment horizontal="center" vertical="center" wrapText="1"/>
      <protection locked="0"/>
    </xf>
    <xf numFmtId="0" fontId="24" fillId="0" borderId="0" xfId="9" applyFont="1" applyAlignment="1" applyProtection="1">
      <alignment horizontal="center" vertical="center" wrapText="1"/>
      <protection locked="0"/>
    </xf>
    <xf numFmtId="10" fontId="25" fillId="0" borderId="0" xfId="20" applyNumberFormat="1" applyFont="1" applyFill="1" applyBorder="1" applyAlignment="1" applyProtection="1">
      <alignment vertical="center"/>
      <protection locked="0"/>
    </xf>
    <xf numFmtId="10" fontId="17" fillId="0" borderId="0" xfId="16" applyNumberFormat="1" applyFont="1" applyFill="1" applyBorder="1" applyAlignment="1" applyProtection="1">
      <alignment horizontal="right" vertical="center" wrapText="1"/>
      <protection locked="0"/>
    </xf>
    <xf numFmtId="169" fontId="25" fillId="2" borderId="0" xfId="7" applyFont="1" applyFill="1" applyAlignment="1" applyProtection="1">
      <alignment vertical="center"/>
      <protection locked="0"/>
    </xf>
    <xf numFmtId="173" fontId="24" fillId="0" borderId="58" xfId="21" applyNumberFormat="1" applyFont="1" applyBorder="1" applyAlignment="1" applyProtection="1">
      <alignment vertical="center"/>
      <protection locked="0"/>
    </xf>
    <xf numFmtId="0" fontId="28" fillId="15" borderId="6" xfId="9" applyFont="1" applyFill="1" applyBorder="1" applyAlignment="1" applyProtection="1">
      <alignment horizontal="center" vertical="center" wrapText="1"/>
      <protection locked="0"/>
    </xf>
    <xf numFmtId="0" fontId="16" fillId="2" borderId="16" xfId="21" applyFont="1" applyFill="1" applyBorder="1" applyAlignment="1" applyProtection="1">
      <alignment horizontal="left" vertical="center" wrapText="1"/>
      <protection locked="0"/>
    </xf>
    <xf numFmtId="0" fontId="25" fillId="2" borderId="4" xfId="21" applyFont="1" applyFill="1" applyBorder="1" applyAlignment="1" applyProtection="1">
      <alignment horizontal="justify" vertical="center" wrapText="1"/>
      <protection locked="0"/>
    </xf>
    <xf numFmtId="10" fontId="16" fillId="2" borderId="4" xfId="21" applyNumberFormat="1" applyFont="1" applyFill="1" applyBorder="1" applyAlignment="1" applyProtection="1">
      <alignment horizontal="left" vertical="center"/>
      <protection locked="0"/>
    </xf>
    <xf numFmtId="10" fontId="16" fillId="0" borderId="4" xfId="21" applyNumberFormat="1" applyFont="1" applyBorder="1" applyAlignment="1" applyProtection="1">
      <alignment horizontal="left" vertical="center"/>
      <protection locked="0"/>
    </xf>
    <xf numFmtId="0" fontId="16" fillId="2" borderId="16" xfId="21" applyFont="1" applyFill="1" applyBorder="1" applyAlignment="1" applyProtection="1">
      <alignment horizontal="left" vertical="center"/>
      <protection locked="0"/>
    </xf>
    <xf numFmtId="0" fontId="14" fillId="0" borderId="64" xfId="30" applyFont="1" applyBorder="1" applyAlignment="1" applyProtection="1">
      <alignment horizontal="left" vertical="top" wrapText="1"/>
      <protection locked="0"/>
    </xf>
    <xf numFmtId="0" fontId="14" fillId="0" borderId="0" xfId="30" applyFont="1" applyAlignment="1" applyProtection="1">
      <alignment vertical="center" wrapText="1"/>
      <protection locked="0"/>
    </xf>
    <xf numFmtId="0" fontId="14" fillId="0" borderId="0" xfId="30" applyFont="1" applyAlignment="1" applyProtection="1">
      <alignment horizontal="center" vertical="center" wrapText="1"/>
      <protection locked="0"/>
    </xf>
    <xf numFmtId="177" fontId="13" fillId="0" borderId="0" xfId="30" applyNumberFormat="1" applyAlignment="1" applyProtection="1">
      <alignment horizontal="center" vertical="center" wrapText="1"/>
      <protection locked="0"/>
    </xf>
    <xf numFmtId="0" fontId="13" fillId="0" borderId="0" xfId="30" applyAlignment="1" applyProtection="1">
      <alignment vertical="center" wrapText="1"/>
      <protection locked="0"/>
    </xf>
    <xf numFmtId="177" fontId="13" fillId="0" borderId="16" xfId="7" applyNumberFormat="1" applyFont="1" applyFill="1" applyBorder="1" applyAlignment="1" applyProtection="1">
      <alignment horizontal="center" vertical="center" wrapText="1"/>
      <protection locked="0"/>
    </xf>
    <xf numFmtId="9" fontId="13" fillId="0" borderId="4" xfId="30" applyNumberFormat="1" applyBorder="1" applyAlignment="1" applyProtection="1">
      <alignment horizontal="center" vertical="center" wrapText="1"/>
      <protection locked="0"/>
    </xf>
    <xf numFmtId="177" fontId="13" fillId="0" borderId="23" xfId="7" applyNumberFormat="1" applyFont="1" applyFill="1" applyBorder="1" applyAlignment="1" applyProtection="1">
      <alignment horizontal="center" vertical="center" wrapText="1"/>
      <protection locked="0"/>
    </xf>
    <xf numFmtId="177" fontId="13" fillId="0" borderId="18" xfId="7" applyNumberFormat="1" applyFont="1" applyFill="1" applyBorder="1" applyAlignment="1" applyProtection="1">
      <alignment horizontal="center" vertical="center" wrapText="1"/>
      <protection locked="0"/>
    </xf>
    <xf numFmtId="9" fontId="13" fillId="0" borderId="7" xfId="30" applyNumberFormat="1" applyBorder="1" applyAlignment="1" applyProtection="1">
      <alignment horizontal="center" vertical="center" wrapText="1"/>
      <protection locked="0"/>
    </xf>
    <xf numFmtId="177" fontId="13" fillId="0" borderId="8" xfId="7" applyNumberFormat="1" applyFont="1" applyFill="1" applyBorder="1" applyAlignment="1" applyProtection="1">
      <alignment horizontal="center" vertical="center" wrapText="1"/>
      <protection locked="0"/>
    </xf>
    <xf numFmtId="177" fontId="13" fillId="0" borderId="0" xfId="7" applyNumberFormat="1" applyFont="1" applyFill="1" applyBorder="1" applyAlignment="1" applyProtection="1">
      <alignment horizontal="center" vertical="center" wrapText="1"/>
      <protection locked="0"/>
    </xf>
    <xf numFmtId="9" fontId="13" fillId="0" borderId="0" xfId="30" applyNumberFormat="1" applyAlignment="1" applyProtection="1">
      <alignment horizontal="center" vertical="center" wrapText="1"/>
      <protection locked="0"/>
    </xf>
    <xf numFmtId="173" fontId="13" fillId="0" borderId="0" xfId="30" applyNumberFormat="1" applyAlignment="1" applyProtection="1">
      <alignment horizontal="center" vertical="center" wrapText="1"/>
      <protection locked="0"/>
    </xf>
    <xf numFmtId="177" fontId="13" fillId="0" borderId="4" xfId="7" applyNumberFormat="1" applyFont="1" applyFill="1" applyBorder="1" applyAlignment="1" applyProtection="1">
      <alignment horizontal="center" vertical="center" wrapText="1"/>
      <protection locked="0"/>
    </xf>
    <xf numFmtId="177" fontId="13" fillId="3" borderId="24" xfId="7" applyNumberFormat="1" applyFont="1" applyFill="1" applyBorder="1" applyAlignment="1" applyProtection="1">
      <alignment horizontal="center" vertical="center" wrapText="1"/>
    </xf>
    <xf numFmtId="177" fontId="13" fillId="3" borderId="23" xfId="7" applyNumberFormat="1" applyFont="1" applyFill="1" applyBorder="1" applyAlignment="1" applyProtection="1">
      <alignment horizontal="center" vertical="center" wrapText="1"/>
    </xf>
    <xf numFmtId="177" fontId="13" fillId="9" borderId="14" xfId="7" applyNumberFormat="1" applyFont="1" applyFill="1" applyBorder="1" applyAlignment="1" applyProtection="1">
      <alignment horizontal="center" vertical="center" wrapText="1"/>
    </xf>
    <xf numFmtId="177" fontId="13" fillId="3" borderId="4" xfId="9" applyNumberFormat="1" applyFont="1" applyFill="1" applyBorder="1"/>
    <xf numFmtId="0" fontId="25" fillId="0" borderId="0" xfId="52" applyFont="1" applyProtection="1">
      <protection locked="0"/>
    </xf>
    <xf numFmtId="0" fontId="13" fillId="0" borderId="0" xfId="9" applyFont="1" applyAlignment="1" applyProtection="1">
      <alignment horizontal="center"/>
      <protection locked="0"/>
    </xf>
    <xf numFmtId="0" fontId="14" fillId="0" borderId="0" xfId="30" applyFont="1" applyAlignment="1" applyProtection="1">
      <alignment horizontal="left" vertical="center" wrapText="1"/>
      <protection locked="0"/>
    </xf>
    <xf numFmtId="0" fontId="13" fillId="0" borderId="0" xfId="30" applyAlignment="1" applyProtection="1">
      <alignment horizontal="justify" vertical="center" wrapText="1"/>
      <protection locked="0"/>
    </xf>
    <xf numFmtId="0" fontId="25" fillId="0" borderId="0" xfId="52" applyFont="1" applyAlignment="1" applyProtection="1">
      <alignment vertical="center"/>
      <protection locked="0"/>
    </xf>
    <xf numFmtId="0" fontId="24" fillId="0" borderId="0" xfId="52" applyFont="1" applyAlignment="1" applyProtection="1">
      <alignment vertical="center"/>
      <protection locked="0"/>
    </xf>
    <xf numFmtId="0" fontId="25" fillId="6" borderId="4" xfId="52" applyFont="1" applyFill="1" applyBorder="1" applyAlignment="1" applyProtection="1">
      <alignment horizontal="center" vertical="center" wrapText="1"/>
      <protection locked="0"/>
    </xf>
    <xf numFmtId="0" fontId="25" fillId="15" borderId="4" xfId="52" applyFont="1" applyFill="1" applyBorder="1" applyAlignment="1" applyProtection="1">
      <alignment horizontal="center" vertical="center" wrapText="1"/>
      <protection locked="0"/>
    </xf>
    <xf numFmtId="0" fontId="27" fillId="0" borderId="4" xfId="52" applyFont="1" applyBorder="1" applyAlignment="1" applyProtection="1">
      <alignment horizontal="justify" vertical="center" wrapText="1"/>
      <protection locked="0"/>
    </xf>
    <xf numFmtId="0" fontId="25" fillId="0" borderId="4" xfId="52" applyFont="1" applyBorder="1" applyAlignment="1" applyProtection="1">
      <alignment vertical="center" wrapText="1"/>
      <protection locked="0"/>
    </xf>
    <xf numFmtId="0" fontId="25" fillId="0" borderId="4" xfId="52" applyFont="1" applyBorder="1" applyAlignment="1" applyProtection="1">
      <alignment horizontal="justify" vertical="center" wrapText="1"/>
      <protection locked="0"/>
    </xf>
    <xf numFmtId="0" fontId="13" fillId="0" borderId="4" xfId="52" applyFont="1" applyBorder="1" applyAlignment="1" applyProtection="1">
      <alignment horizontal="justify" vertical="center" wrapText="1"/>
      <protection locked="0"/>
    </xf>
    <xf numFmtId="0" fontId="25" fillId="0" borderId="0" xfId="52" applyFont="1" applyAlignment="1" applyProtection="1">
      <alignment horizontal="justify" vertical="center"/>
      <protection locked="0"/>
    </xf>
    <xf numFmtId="0" fontId="25" fillId="0" borderId="4" xfId="52" applyFont="1" applyBorder="1" applyAlignment="1">
      <alignment vertical="center" wrapText="1"/>
    </xf>
    <xf numFmtId="0" fontId="25" fillId="2" borderId="0" xfId="44" applyFont="1" applyFill="1" applyProtection="1">
      <protection locked="0"/>
    </xf>
    <xf numFmtId="0" fontId="25" fillId="0" borderId="0" xfId="28" applyFont="1" applyAlignment="1" applyProtection="1">
      <alignment horizontal="center" vertical="center"/>
      <protection locked="0"/>
    </xf>
    <xf numFmtId="0" fontId="24" fillId="6" borderId="0" xfId="28" applyFont="1" applyFill="1" applyAlignment="1" applyProtection="1">
      <alignment vertical="center"/>
      <protection locked="0"/>
    </xf>
    <xf numFmtId="177" fontId="25" fillId="2" borderId="0" xfId="44" applyNumberFormat="1" applyFont="1" applyFill="1" applyProtection="1">
      <protection locked="0"/>
    </xf>
    <xf numFmtId="0" fontId="25" fillId="0" borderId="0" xfId="44" applyFont="1" applyProtection="1">
      <protection locked="0"/>
    </xf>
    <xf numFmtId="0" fontId="24" fillId="2" borderId="0" xfId="44" applyFont="1" applyFill="1" applyAlignment="1" applyProtection="1">
      <alignment vertical="center" wrapText="1"/>
      <protection locked="0"/>
    </xf>
    <xf numFmtId="166" fontId="25" fillId="0" borderId="0" xfId="44" applyNumberFormat="1" applyFont="1" applyProtection="1">
      <protection locked="0"/>
    </xf>
    <xf numFmtId="0" fontId="13" fillId="0" borderId="0" xfId="44" applyFont="1" applyAlignment="1" applyProtection="1">
      <alignment wrapText="1"/>
      <protection locked="0"/>
    </xf>
    <xf numFmtId="0" fontId="25" fillId="0" borderId="0" xfId="44" applyFont="1" applyAlignment="1" applyProtection="1">
      <alignment wrapText="1"/>
      <protection locked="0"/>
    </xf>
    <xf numFmtId="166" fontId="25" fillId="2" borderId="0" xfId="44" applyNumberFormat="1" applyFont="1" applyFill="1" applyProtection="1">
      <protection locked="0"/>
    </xf>
    <xf numFmtId="0" fontId="24" fillId="0" borderId="0" xfId="28" applyFont="1" applyAlignment="1" applyProtection="1">
      <alignment vertical="center"/>
      <protection locked="0"/>
    </xf>
    <xf numFmtId="0" fontId="24" fillId="0" borderId="0" xfId="28" applyFont="1" applyAlignment="1" applyProtection="1">
      <alignment horizontal="left" vertical="center"/>
      <protection locked="0"/>
    </xf>
    <xf numFmtId="169" fontId="13" fillId="0" borderId="0" xfId="9" applyNumberFormat="1" applyFont="1" applyProtection="1">
      <protection locked="0"/>
    </xf>
    <xf numFmtId="2" fontId="13" fillId="0" borderId="0" xfId="9" applyNumberFormat="1" applyFont="1" applyProtection="1">
      <protection locked="0"/>
    </xf>
    <xf numFmtId="169" fontId="13" fillId="0" borderId="0" xfId="7" applyFont="1" applyProtection="1">
      <protection locked="0"/>
    </xf>
    <xf numFmtId="10" fontId="13" fillId="0" borderId="0" xfId="16" applyNumberFormat="1" applyFont="1" applyProtection="1">
      <protection locked="0"/>
    </xf>
    <xf numFmtId="0" fontId="25" fillId="0" borderId="0" xfId="28" applyFont="1" applyProtection="1">
      <protection locked="0"/>
    </xf>
    <xf numFmtId="0" fontId="25" fillId="2" borderId="0" xfId="36" applyFont="1" applyFill="1" applyProtection="1">
      <protection locked="0"/>
    </xf>
    <xf numFmtId="173" fontId="25" fillId="2" borderId="0" xfId="36" applyNumberFormat="1" applyFont="1" applyFill="1" applyProtection="1">
      <protection locked="0"/>
    </xf>
    <xf numFmtId="0" fontId="25" fillId="0" borderId="0" xfId="36" applyFont="1" applyProtection="1">
      <protection locked="0"/>
    </xf>
    <xf numFmtId="10" fontId="25" fillId="0" borderId="0" xfId="38" applyNumberFormat="1" applyFont="1" applyFill="1" applyBorder="1" applyProtection="1">
      <protection locked="0"/>
    </xf>
    <xf numFmtId="0" fontId="14" fillId="15" borderId="30" xfId="9" applyFont="1" applyFill="1" applyBorder="1" applyAlignment="1">
      <alignment horizontal="center" vertical="center" wrapText="1"/>
    </xf>
    <xf numFmtId="0" fontId="14" fillId="15" borderId="31" xfId="9" applyFont="1" applyFill="1" applyBorder="1" applyAlignment="1">
      <alignment horizontal="center" vertical="center" wrapText="1"/>
    </xf>
    <xf numFmtId="0" fontId="14" fillId="15" borderId="24" xfId="9" applyFont="1" applyFill="1" applyBorder="1" applyAlignment="1">
      <alignment horizontal="center" vertical="center" wrapText="1"/>
    </xf>
    <xf numFmtId="0" fontId="24" fillId="15" borderId="0" xfId="28" applyFont="1" applyFill="1" applyAlignment="1" applyProtection="1">
      <alignment vertical="center"/>
      <protection locked="0"/>
    </xf>
    <xf numFmtId="0" fontId="24" fillId="3" borderId="16" xfId="36" applyFont="1" applyFill="1" applyBorder="1"/>
    <xf numFmtId="0" fontId="24" fillId="3" borderId="4" xfId="36" applyFont="1" applyFill="1" applyBorder="1"/>
    <xf numFmtId="0" fontId="25" fillId="2" borderId="16" xfId="36" applyFont="1" applyFill="1" applyBorder="1"/>
    <xf numFmtId="0" fontId="25" fillId="0" borderId="0" xfId="28" applyFont="1" applyAlignment="1" applyProtection="1">
      <alignment vertical="center" wrapText="1"/>
      <protection locked="0"/>
    </xf>
    <xf numFmtId="177" fontId="24" fillId="0" borderId="0" xfId="7" applyNumberFormat="1" applyFont="1" applyFill="1" applyBorder="1" applyAlignment="1" applyProtection="1">
      <alignment horizontal="left" vertical="center"/>
      <protection locked="0"/>
    </xf>
    <xf numFmtId="0" fontId="24" fillId="0" borderId="0" xfId="0" applyFont="1" applyAlignment="1" applyProtection="1">
      <alignment horizontal="left"/>
      <protection locked="0"/>
    </xf>
    <xf numFmtId="173" fontId="24" fillId="0" borderId="0" xfId="7" applyNumberFormat="1" applyFont="1" applyFill="1" applyBorder="1" applyProtection="1">
      <protection locked="0"/>
    </xf>
    <xf numFmtId="9" fontId="24" fillId="0" borderId="0" xfId="16" applyFont="1" applyFill="1" applyBorder="1" applyProtection="1">
      <protection locked="0"/>
    </xf>
    <xf numFmtId="0" fontId="24" fillId="0" borderId="0" xfId="36" applyFont="1" applyProtection="1">
      <protection locked="0"/>
    </xf>
    <xf numFmtId="173" fontId="25" fillId="0" borderId="0" xfId="37" applyNumberFormat="1" applyFont="1" applyFill="1" applyBorder="1" applyProtection="1">
      <protection locked="0"/>
    </xf>
    <xf numFmtId="0" fontId="25" fillId="0" borderId="0" xfId="36" applyFont="1" applyAlignment="1" applyProtection="1">
      <alignment vertical="top" wrapText="1"/>
      <protection locked="0"/>
    </xf>
    <xf numFmtId="173" fontId="25" fillId="2" borderId="0" xfId="37" applyNumberFormat="1" applyFont="1" applyFill="1" applyProtection="1">
      <protection locked="0"/>
    </xf>
    <xf numFmtId="0" fontId="24" fillId="3" borderId="16" xfId="0" applyFont="1" applyFill="1" applyBorder="1" applyAlignment="1">
      <alignment horizontal="center"/>
    </xf>
    <xf numFmtId="0" fontId="24" fillId="3" borderId="4" xfId="0" applyFont="1" applyFill="1" applyBorder="1" applyAlignment="1">
      <alignment horizontal="center"/>
    </xf>
    <xf numFmtId="0" fontId="25" fillId="0" borderId="0" xfId="55" applyFont="1" applyProtection="1">
      <protection locked="0"/>
    </xf>
    <xf numFmtId="0" fontId="24" fillId="6" borderId="16" xfId="55" applyFont="1" applyFill="1" applyBorder="1" applyAlignment="1">
      <alignment horizontal="center" vertical="center"/>
    </xf>
    <xf numFmtId="0" fontId="24" fillId="15" borderId="4" xfId="55" applyFont="1" applyFill="1" applyBorder="1" applyAlignment="1">
      <alignment horizontal="center" vertical="center" wrapText="1"/>
    </xf>
    <xf numFmtId="0" fontId="24" fillId="15" borderId="23" xfId="55" applyFont="1" applyFill="1" applyBorder="1" applyAlignment="1">
      <alignment horizontal="center" vertical="center" wrapText="1"/>
    </xf>
    <xf numFmtId="0" fontId="31" fillId="0" borderId="16" xfId="55" applyFont="1" applyBorder="1" applyAlignment="1">
      <alignment horizontal="left" vertical="center" wrapText="1"/>
    </xf>
    <xf numFmtId="0" fontId="25" fillId="0" borderId="16" xfId="55" applyFont="1" applyBorder="1" applyAlignment="1">
      <alignment horizontal="left" vertical="center"/>
    </xf>
    <xf numFmtId="0" fontId="25" fillId="0" borderId="51" xfId="55" applyFont="1" applyBorder="1" applyAlignment="1">
      <alignment horizontal="left" vertical="center"/>
    </xf>
    <xf numFmtId="0" fontId="25" fillId="2" borderId="0" xfId="34" applyFont="1" applyFill="1" applyProtection="1">
      <protection locked="0"/>
    </xf>
    <xf numFmtId="0" fontId="24" fillId="2" borderId="0" xfId="34" applyFont="1" applyFill="1" applyAlignment="1" applyProtection="1">
      <alignment horizontal="left" vertical="center"/>
      <protection locked="0"/>
    </xf>
    <xf numFmtId="0" fontId="24" fillId="3" borderId="31" xfId="34" applyFont="1" applyFill="1" applyBorder="1" applyAlignment="1" applyProtection="1">
      <alignment horizontal="center" vertical="center"/>
      <protection locked="0"/>
    </xf>
    <xf numFmtId="0" fontId="24" fillId="3" borderId="24" xfId="34" applyFont="1" applyFill="1" applyBorder="1" applyAlignment="1" applyProtection="1">
      <alignment horizontal="center" vertical="center" wrapText="1"/>
      <protection locked="0"/>
    </xf>
    <xf numFmtId="0" fontId="24" fillId="3" borderId="4" xfId="34" applyFont="1" applyFill="1" applyBorder="1" applyAlignment="1" applyProtection="1">
      <alignment horizontal="center" vertical="center"/>
      <protection locked="0"/>
    </xf>
    <xf numFmtId="0" fontId="24" fillId="3" borderId="23" xfId="34" applyFont="1" applyFill="1" applyBorder="1" applyAlignment="1" applyProtection="1">
      <alignment horizontal="center" vertical="center" wrapText="1"/>
      <protection locked="0"/>
    </xf>
    <xf numFmtId="165" fontId="24" fillId="2" borderId="4" xfId="34" applyNumberFormat="1" applyFont="1" applyFill="1" applyBorder="1" applyAlignment="1" applyProtection="1">
      <alignment horizontal="center" vertical="center" wrapText="1"/>
      <protection locked="0"/>
    </xf>
    <xf numFmtId="165" fontId="24" fillId="2" borderId="4" xfId="34" applyNumberFormat="1" applyFont="1" applyFill="1" applyBorder="1" applyAlignment="1" applyProtection="1">
      <alignment horizontal="center" vertical="center"/>
      <protection locked="0"/>
    </xf>
    <xf numFmtId="165" fontId="14" fillId="2" borderId="13" xfId="34" applyNumberFormat="1" applyFont="1" applyFill="1" applyBorder="1" applyAlignment="1" applyProtection="1">
      <alignment horizontal="center" vertical="center" wrapText="1"/>
      <protection locked="0"/>
    </xf>
    <xf numFmtId="165" fontId="13" fillId="2" borderId="14" xfId="34" applyNumberFormat="1" applyFont="1" applyFill="1" applyBorder="1" applyAlignment="1" applyProtection="1">
      <alignment horizontal="center" vertical="center" wrapText="1"/>
      <protection locked="0"/>
    </xf>
    <xf numFmtId="0" fontId="25" fillId="2" borderId="0" xfId="34" applyFont="1" applyFill="1" applyAlignment="1" applyProtection="1">
      <alignment horizontal="justify" vertical="center"/>
      <protection locked="0"/>
    </xf>
    <xf numFmtId="0" fontId="24" fillId="15" borderId="4" xfId="34" applyFont="1" applyFill="1" applyBorder="1" applyAlignment="1">
      <alignment horizontal="center" vertical="center"/>
    </xf>
    <xf numFmtId="0" fontId="24" fillId="15" borderId="23" xfId="34" applyFont="1" applyFill="1" applyBorder="1" applyAlignment="1">
      <alignment horizontal="center" vertical="center"/>
    </xf>
    <xf numFmtId="0" fontId="24" fillId="6" borderId="0" xfId="28" applyFont="1" applyFill="1" applyAlignment="1" applyProtection="1">
      <alignment vertical="center" wrapText="1"/>
      <protection locked="0"/>
    </xf>
    <xf numFmtId="0" fontId="25" fillId="0" borderId="0" xfId="34" applyFont="1" applyProtection="1">
      <protection locked="0"/>
    </xf>
    <xf numFmtId="0" fontId="24" fillId="0" borderId="0" xfId="28" applyFont="1" applyAlignment="1" applyProtection="1">
      <alignment vertical="center" wrapText="1"/>
      <protection locked="0"/>
    </xf>
    <xf numFmtId="0" fontId="24" fillId="0" borderId="0" xfId="28" applyFont="1" applyAlignment="1" applyProtection="1">
      <alignment horizontal="center" vertical="center"/>
      <protection locked="0"/>
    </xf>
    <xf numFmtId="177" fontId="13" fillId="9" borderId="23" xfId="9" applyNumberFormat="1" applyFont="1" applyFill="1" applyBorder="1"/>
    <xf numFmtId="0" fontId="13" fillId="0" borderId="16" xfId="30" applyBorder="1" applyAlignment="1" applyProtection="1">
      <alignment vertical="center" wrapText="1"/>
      <protection locked="0"/>
    </xf>
    <xf numFmtId="0" fontId="13" fillId="0" borderId="16" xfId="9" applyFont="1" applyBorder="1" applyProtection="1">
      <protection locked="0"/>
    </xf>
    <xf numFmtId="0" fontId="13" fillId="0" borderId="51" xfId="9" applyFont="1" applyBorder="1" applyProtection="1">
      <protection locked="0"/>
    </xf>
    <xf numFmtId="177" fontId="13" fillId="0" borderId="13" xfId="7" applyNumberFormat="1" applyFont="1" applyFill="1" applyBorder="1" applyAlignment="1" applyProtection="1">
      <alignment horizontal="center" vertical="center" wrapText="1"/>
      <protection locked="0"/>
    </xf>
    <xf numFmtId="177" fontId="13" fillId="3" borderId="13" xfId="9" applyNumberFormat="1" applyFont="1" applyFill="1" applyBorder="1"/>
    <xf numFmtId="177" fontId="13" fillId="9" borderId="14" xfId="9" applyNumberFormat="1" applyFont="1" applyFill="1" applyBorder="1"/>
    <xf numFmtId="177" fontId="13" fillId="0" borderId="37" xfId="7" applyNumberFormat="1" applyFont="1" applyFill="1" applyBorder="1" applyAlignment="1" applyProtection="1">
      <alignment horizontal="center" vertical="center" wrapText="1"/>
      <protection locked="0"/>
    </xf>
    <xf numFmtId="177" fontId="13" fillId="0" borderId="52" xfId="7" applyNumberFormat="1" applyFont="1" applyFill="1" applyBorder="1" applyAlignment="1" applyProtection="1">
      <alignment horizontal="center" vertical="center" wrapText="1"/>
      <protection locked="0"/>
    </xf>
    <xf numFmtId="177" fontId="13" fillId="3" borderId="16" xfId="9" applyNumberFormat="1" applyFont="1" applyFill="1" applyBorder="1"/>
    <xf numFmtId="177" fontId="13" fillId="3" borderId="51" xfId="9" applyNumberFormat="1" applyFont="1" applyFill="1" applyBorder="1"/>
    <xf numFmtId="177" fontId="13" fillId="0" borderId="5" xfId="7" applyNumberFormat="1" applyFont="1" applyFill="1" applyBorder="1" applyAlignment="1" applyProtection="1">
      <alignment horizontal="center" vertical="center" wrapText="1"/>
      <protection locked="0"/>
    </xf>
    <xf numFmtId="177" fontId="13" fillId="0" borderId="43" xfId="7" applyNumberFormat="1" applyFont="1" applyFill="1" applyBorder="1" applyAlignment="1" applyProtection="1">
      <alignment horizontal="center" vertical="center" wrapText="1"/>
      <protection locked="0"/>
    </xf>
    <xf numFmtId="177" fontId="13" fillId="3" borderId="53" xfId="9" applyNumberFormat="1" applyFont="1" applyFill="1" applyBorder="1"/>
    <xf numFmtId="177" fontId="13" fillId="3" borderId="5" xfId="9" applyNumberFormat="1" applyFont="1" applyFill="1" applyBorder="1"/>
    <xf numFmtId="177" fontId="13" fillId="9" borderId="6" xfId="9" applyNumberFormat="1" applyFont="1" applyFill="1" applyBorder="1"/>
    <xf numFmtId="0" fontId="14" fillId="3" borderId="1" xfId="30" applyFont="1" applyFill="1" applyBorder="1" applyAlignment="1" applyProtection="1">
      <alignment horizontal="center" vertical="center" wrapText="1"/>
      <protection locked="0"/>
    </xf>
    <xf numFmtId="0" fontId="14" fillId="3" borderId="2" xfId="30" applyFont="1" applyFill="1" applyBorder="1" applyAlignment="1" applyProtection="1">
      <alignment horizontal="center" vertical="center" wrapText="1"/>
      <protection locked="0"/>
    </xf>
    <xf numFmtId="0" fontId="14" fillId="3" borderId="70" xfId="30" applyFont="1" applyFill="1" applyBorder="1" applyAlignment="1" applyProtection="1">
      <alignment horizontal="center" vertical="center" wrapText="1"/>
      <protection locked="0"/>
    </xf>
    <xf numFmtId="0" fontId="14" fillId="15" borderId="1" xfId="9" applyFont="1" applyFill="1" applyBorder="1" applyAlignment="1">
      <alignment horizontal="center" vertical="center" wrapText="1"/>
    </xf>
    <xf numFmtId="0" fontId="14" fillId="15" borderId="2" xfId="9" applyFont="1" applyFill="1" applyBorder="1" applyAlignment="1">
      <alignment horizontal="center" vertical="center" wrapText="1"/>
    </xf>
    <xf numFmtId="0" fontId="14" fillId="15" borderId="3" xfId="9" applyFont="1" applyFill="1" applyBorder="1" applyAlignment="1">
      <alignment horizontal="center" vertical="center" wrapText="1"/>
    </xf>
    <xf numFmtId="0" fontId="14" fillId="3" borderId="51" xfId="30" applyFont="1" applyFill="1" applyBorder="1" applyAlignment="1" applyProtection="1">
      <alignment horizontal="center" vertical="center" wrapText="1"/>
      <protection locked="0"/>
    </xf>
    <xf numFmtId="0" fontId="14" fillId="3" borderId="13" xfId="30" applyFont="1" applyFill="1" applyBorder="1" applyAlignment="1" applyProtection="1">
      <alignment horizontal="center" vertical="center" wrapText="1"/>
      <protection locked="0"/>
    </xf>
    <xf numFmtId="0" fontId="14" fillId="3" borderId="14" xfId="30" applyFont="1" applyFill="1" applyBorder="1" applyAlignment="1" applyProtection="1">
      <alignment horizontal="center" vertical="center" wrapText="1"/>
      <protection locked="0"/>
    </xf>
    <xf numFmtId="0" fontId="14" fillId="3" borderId="3" xfId="30" applyFont="1" applyFill="1" applyBorder="1" applyAlignment="1" applyProtection="1">
      <alignment horizontal="center" vertical="center" wrapText="1"/>
      <protection locked="0"/>
    </xf>
    <xf numFmtId="0" fontId="24" fillId="0" borderId="51" xfId="36" applyFont="1" applyBorder="1"/>
    <xf numFmtId="0" fontId="25" fillId="0" borderId="0" xfId="36" applyFont="1"/>
    <xf numFmtId="10" fontId="25" fillId="0" borderId="0" xfId="38" applyNumberFormat="1" applyFont="1" applyFill="1" applyBorder="1" applyProtection="1"/>
    <xf numFmtId="0" fontId="12" fillId="0" borderId="5" xfId="9" applyBorder="1" applyProtection="1">
      <protection locked="0"/>
    </xf>
    <xf numFmtId="0" fontId="40" fillId="2" borderId="25" xfId="36" applyFont="1" applyFill="1" applyBorder="1" applyProtection="1">
      <protection locked="0"/>
    </xf>
    <xf numFmtId="0" fontId="40" fillId="2" borderId="32" xfId="36" applyFont="1" applyFill="1" applyBorder="1" applyProtection="1">
      <protection locked="0"/>
    </xf>
    <xf numFmtId="0" fontId="13" fillId="0" borderId="0" xfId="9" applyFont="1" applyAlignment="1" applyProtection="1">
      <alignment horizontal="left" vertical="center"/>
      <protection locked="0"/>
    </xf>
    <xf numFmtId="0" fontId="32" fillId="0" borderId="0" xfId="57" applyAlignment="1" applyProtection="1">
      <alignment vertical="center"/>
      <protection locked="0"/>
    </xf>
    <xf numFmtId="171" fontId="17" fillId="5" borderId="6" xfId="8" applyNumberFormat="1" applyFont="1" applyFill="1" applyBorder="1" applyAlignment="1" applyProtection="1">
      <alignment horizontal="right" vertical="center" wrapText="1"/>
      <protection locked="0"/>
    </xf>
    <xf numFmtId="0" fontId="17" fillId="0" borderId="0" xfId="21" applyFont="1" applyAlignment="1">
      <alignment horizontal="left" vertical="center"/>
    </xf>
    <xf numFmtId="0" fontId="24" fillId="3" borderId="1" xfId="21" applyFont="1" applyFill="1" applyBorder="1" applyAlignment="1" applyProtection="1">
      <alignment vertical="center" wrapText="1"/>
      <protection locked="0"/>
    </xf>
    <xf numFmtId="0" fontId="17" fillId="0" borderId="0" xfId="21" applyFont="1" applyAlignment="1" applyProtection="1">
      <alignment horizontal="right" vertical="center"/>
      <protection locked="0"/>
    </xf>
    <xf numFmtId="10" fontId="17" fillId="0" borderId="0" xfId="16" applyNumberFormat="1" applyFont="1" applyFill="1" applyBorder="1" applyAlignment="1" applyProtection="1">
      <alignment horizontal="right" vertical="center" wrapText="1"/>
    </xf>
    <xf numFmtId="10" fontId="24" fillId="3" borderId="27" xfId="16" applyNumberFormat="1" applyFont="1" applyFill="1" applyBorder="1" applyAlignment="1" applyProtection="1">
      <alignment vertical="center"/>
      <protection locked="0"/>
    </xf>
    <xf numFmtId="177" fontId="24" fillId="3" borderId="58" xfId="7" applyNumberFormat="1" applyFont="1" applyFill="1" applyBorder="1" applyAlignment="1" applyProtection="1">
      <alignment vertical="center"/>
      <protection locked="0"/>
    </xf>
    <xf numFmtId="0" fontId="14" fillId="6" borderId="4" xfId="14" applyFont="1" applyFill="1" applyBorder="1" applyAlignment="1" applyProtection="1">
      <alignment horizontal="center" vertical="center" wrapText="1"/>
      <protection locked="0"/>
    </xf>
    <xf numFmtId="0" fontId="24" fillId="6" borderId="16" xfId="9" applyFont="1" applyFill="1" applyBorder="1" applyAlignment="1" applyProtection="1">
      <alignment horizontal="center" vertical="center" wrapText="1"/>
      <protection locked="0"/>
    </xf>
    <xf numFmtId="169" fontId="13" fillId="0" borderId="4" xfId="7" applyFont="1" applyFill="1" applyBorder="1" applyAlignment="1" applyProtection="1">
      <alignment horizontal="left" vertical="center" wrapText="1"/>
      <protection locked="0"/>
    </xf>
    <xf numFmtId="0" fontId="13" fillId="0" borderId="16" xfId="9" applyFont="1" applyBorder="1" applyAlignment="1" applyProtection="1">
      <alignment horizontal="left" vertical="center" wrapText="1"/>
      <protection locked="0"/>
    </xf>
    <xf numFmtId="169" fontId="14" fillId="0" borderId="0" xfId="7" applyFont="1" applyFill="1" applyBorder="1" applyAlignment="1" applyProtection="1">
      <alignment vertical="center" wrapText="1"/>
      <protection locked="0"/>
    </xf>
    <xf numFmtId="10" fontId="13" fillId="3" borderId="4" xfId="14" applyNumberFormat="1" applyFill="1" applyBorder="1" applyAlignment="1" applyProtection="1">
      <alignment vertical="center"/>
      <protection locked="0"/>
    </xf>
    <xf numFmtId="10" fontId="13" fillId="3" borderId="23" xfId="14" applyNumberFormat="1" applyFill="1" applyBorder="1" applyAlignment="1" applyProtection="1">
      <alignment vertical="center"/>
      <protection locked="0"/>
    </xf>
    <xf numFmtId="9" fontId="13" fillId="3" borderId="23" xfId="14" applyNumberFormat="1" applyFill="1" applyBorder="1" applyAlignment="1" applyProtection="1">
      <alignment vertical="center"/>
      <protection locked="0"/>
    </xf>
    <xf numFmtId="9" fontId="13" fillId="3" borderId="13" xfId="14" applyNumberFormat="1" applyFill="1" applyBorder="1" applyAlignment="1" applyProtection="1">
      <alignment vertical="center"/>
      <protection locked="0"/>
    </xf>
    <xf numFmtId="9" fontId="13" fillId="3" borderId="14" xfId="14" applyNumberFormat="1" applyFill="1" applyBorder="1" applyAlignment="1" applyProtection="1">
      <alignment vertical="center"/>
      <protection locked="0"/>
    </xf>
    <xf numFmtId="0" fontId="13" fillId="6" borderId="23" xfId="14" applyFill="1" applyBorder="1" applyAlignment="1" applyProtection="1">
      <alignment vertical="center"/>
      <protection locked="0"/>
    </xf>
    <xf numFmtId="169" fontId="14" fillId="6" borderId="23" xfId="14" applyNumberFormat="1" applyFont="1" applyFill="1" applyBorder="1" applyAlignment="1" applyProtection="1">
      <alignment horizontal="center" vertical="center" wrapText="1"/>
      <protection locked="0"/>
    </xf>
    <xf numFmtId="0" fontId="13" fillId="0" borderId="23" xfId="14" applyBorder="1" applyAlignment="1" applyProtection="1">
      <alignment vertical="center"/>
      <protection locked="0"/>
    </xf>
    <xf numFmtId="9" fontId="14" fillId="6" borderId="14" xfId="16" applyFont="1" applyFill="1" applyBorder="1" applyAlignment="1" applyProtection="1">
      <alignment vertical="center"/>
      <protection locked="0"/>
    </xf>
    <xf numFmtId="0" fontId="14" fillId="7" borderId="1" xfId="9" applyFont="1" applyFill="1" applyBorder="1" applyAlignment="1" applyProtection="1">
      <alignment horizontal="left" vertical="center" wrapText="1"/>
      <protection locked="0"/>
    </xf>
    <xf numFmtId="0" fontId="14" fillId="7" borderId="2" xfId="9" applyFont="1" applyFill="1" applyBorder="1" applyAlignment="1" applyProtection="1">
      <alignment horizontal="left" vertical="center" wrapText="1"/>
      <protection locked="0"/>
    </xf>
    <xf numFmtId="177" fontId="14" fillId="6" borderId="13" xfId="7" applyNumberFormat="1" applyFont="1" applyFill="1" applyBorder="1" applyAlignment="1" applyProtection="1">
      <alignment horizontal="left" vertical="center" wrapText="1"/>
      <protection locked="0"/>
    </xf>
    <xf numFmtId="177" fontId="14" fillId="6" borderId="14" xfId="7" applyNumberFormat="1" applyFont="1" applyFill="1" applyBorder="1" applyAlignment="1" applyProtection="1">
      <alignment horizontal="left" vertical="center" wrapText="1"/>
      <protection locked="0"/>
    </xf>
    <xf numFmtId="0" fontId="13" fillId="0" borderId="4" xfId="9" applyFont="1" applyBorder="1" applyAlignment="1" applyProtection="1">
      <alignment vertical="center"/>
      <protection locked="0"/>
    </xf>
    <xf numFmtId="2" fontId="13" fillId="0" borderId="0" xfId="9" applyNumberFormat="1" applyFont="1" applyAlignment="1" applyProtection="1">
      <alignment vertical="center"/>
      <protection locked="0"/>
    </xf>
    <xf numFmtId="0" fontId="13" fillId="0" borderId="16" xfId="9" applyFont="1" applyBorder="1" applyAlignment="1" applyProtection="1">
      <alignment vertical="center"/>
      <protection locked="0"/>
    </xf>
    <xf numFmtId="0" fontId="13" fillId="0" borderId="51" xfId="9" applyFont="1" applyBorder="1" applyAlignment="1" applyProtection="1">
      <alignment vertical="center"/>
      <protection locked="0"/>
    </xf>
    <xf numFmtId="0" fontId="13" fillId="0" borderId="13" xfId="9" applyFont="1" applyBorder="1" applyAlignment="1" applyProtection="1">
      <alignment vertical="center"/>
      <protection locked="0"/>
    </xf>
    <xf numFmtId="177" fontId="13" fillId="0" borderId="13" xfId="9" applyNumberFormat="1" applyFont="1" applyBorder="1" applyAlignment="1" applyProtection="1">
      <alignment vertical="center"/>
      <protection locked="0"/>
    </xf>
    <xf numFmtId="9" fontId="13" fillId="0" borderId="23" xfId="16" applyFont="1" applyBorder="1" applyAlignment="1" applyProtection="1">
      <alignment vertical="center"/>
      <protection hidden="1"/>
    </xf>
    <xf numFmtId="9" fontId="13" fillId="0" borderId="14" xfId="16" applyFont="1" applyBorder="1" applyAlignment="1" applyProtection="1">
      <alignment vertical="center"/>
      <protection hidden="1"/>
    </xf>
    <xf numFmtId="175" fontId="13" fillId="0" borderId="0" xfId="9" applyNumberFormat="1" applyFont="1" applyAlignment="1" applyProtection="1">
      <alignment vertical="center"/>
      <protection hidden="1"/>
    </xf>
    <xf numFmtId="0" fontId="17" fillId="15" borderId="6" xfId="9" applyFont="1" applyFill="1" applyBorder="1" applyAlignment="1" applyProtection="1">
      <alignment horizontal="center" vertical="center" wrapText="1"/>
      <protection hidden="1"/>
    </xf>
    <xf numFmtId="0" fontId="17" fillId="15" borderId="5" xfId="9" applyFont="1" applyFill="1" applyBorder="1" applyAlignment="1" applyProtection="1">
      <alignment horizontal="center" vertical="center" wrapText="1"/>
      <protection locked="0"/>
    </xf>
    <xf numFmtId="0" fontId="17" fillId="15" borderId="6" xfId="9" applyFont="1" applyFill="1" applyBorder="1" applyAlignment="1" applyProtection="1">
      <alignment horizontal="center" vertical="center" wrapText="1"/>
      <protection locked="0"/>
    </xf>
    <xf numFmtId="0" fontId="17" fillId="3" borderId="30" xfId="9" applyFont="1" applyFill="1" applyBorder="1" applyAlignment="1" applyProtection="1">
      <alignment horizontal="center" vertical="center" wrapText="1"/>
      <protection locked="0"/>
    </xf>
    <xf numFmtId="0" fontId="17" fillId="3" borderId="31" xfId="9" applyFont="1" applyFill="1" applyBorder="1" applyAlignment="1" applyProtection="1">
      <alignment horizontal="center" vertical="center" wrapText="1"/>
      <protection locked="0"/>
    </xf>
    <xf numFmtId="0" fontId="17" fillId="15" borderId="24" xfId="9" applyFont="1" applyFill="1" applyBorder="1" applyAlignment="1" applyProtection="1">
      <alignment horizontal="center" vertical="center" wrapText="1"/>
      <protection hidden="1"/>
    </xf>
    <xf numFmtId="171" fontId="13" fillId="0" borderId="0" xfId="9" applyNumberFormat="1" applyFont="1" applyAlignment="1" applyProtection="1">
      <alignment horizontal="left" vertical="center"/>
      <protection locked="0"/>
    </xf>
    <xf numFmtId="0" fontId="32" fillId="0" borderId="0" xfId="57" applyFill="1" applyAlignment="1" applyProtection="1">
      <alignment vertical="center"/>
      <protection locked="0"/>
    </xf>
    <xf numFmtId="1" fontId="13" fillId="0" borderId="0" xfId="14" applyNumberFormat="1" applyAlignment="1" applyProtection="1">
      <alignment vertical="center"/>
      <protection locked="0"/>
    </xf>
    <xf numFmtId="0" fontId="32" fillId="3" borderId="58" xfId="57" applyFill="1" applyBorder="1" applyAlignment="1" applyProtection="1">
      <alignment vertical="center"/>
      <protection locked="0"/>
    </xf>
    <xf numFmtId="0" fontId="32" fillId="0" borderId="0" xfId="57" applyFill="1" applyBorder="1" applyAlignment="1" applyProtection="1">
      <alignment vertical="center"/>
      <protection locked="0"/>
    </xf>
    <xf numFmtId="9" fontId="13" fillId="0" borderId="37" xfId="16" applyFont="1" applyFill="1" applyBorder="1" applyAlignment="1" applyProtection="1">
      <alignment horizontal="right" vertical="center" wrapText="1"/>
      <protection locked="0"/>
    </xf>
    <xf numFmtId="177" fontId="13" fillId="0" borderId="16" xfId="7" applyNumberFormat="1" applyFont="1" applyFill="1" applyBorder="1" applyAlignment="1" applyProtection="1">
      <alignment horizontal="left" vertical="center" wrapText="1"/>
      <protection locked="0"/>
    </xf>
    <xf numFmtId="177" fontId="14" fillId="6" borderId="51" xfId="7" applyNumberFormat="1" applyFont="1" applyFill="1" applyBorder="1" applyAlignment="1" applyProtection="1">
      <alignment horizontal="left" vertical="center" wrapText="1"/>
      <protection locked="0"/>
    </xf>
    <xf numFmtId="0" fontId="32" fillId="0" borderId="0" xfId="57" applyFill="1" applyBorder="1" applyProtection="1">
      <protection locked="0"/>
    </xf>
    <xf numFmtId="0" fontId="28" fillId="6" borderId="37" xfId="9" applyFont="1" applyFill="1" applyBorder="1" applyAlignment="1" applyProtection="1">
      <alignment horizontal="center" vertical="center" wrapText="1"/>
      <protection locked="0"/>
    </xf>
    <xf numFmtId="0" fontId="17" fillId="0" borderId="9" xfId="9" applyFont="1" applyBorder="1" applyAlignment="1" applyProtection="1">
      <alignment horizontal="right" vertical="center"/>
      <protection locked="0"/>
    </xf>
    <xf numFmtId="0" fontId="13" fillId="0" borderId="48" xfId="9" applyFont="1" applyBorder="1" applyAlignment="1" applyProtection="1">
      <alignment vertical="center"/>
      <protection locked="0"/>
    </xf>
    <xf numFmtId="0" fontId="13" fillId="0" borderId="23" xfId="9" applyFont="1" applyBorder="1" applyAlignment="1" applyProtection="1">
      <alignment vertical="center"/>
      <protection locked="0"/>
    </xf>
    <xf numFmtId="0" fontId="14" fillId="6" borderId="16" xfId="9" applyFont="1" applyFill="1" applyBorder="1" applyAlignment="1" applyProtection="1">
      <alignment horizontal="center" vertical="center"/>
      <protection locked="0"/>
    </xf>
    <xf numFmtId="0" fontId="14" fillId="6" borderId="4" xfId="9" applyFont="1" applyFill="1" applyBorder="1" applyAlignment="1" applyProtection="1">
      <alignment horizontal="center" vertical="center"/>
      <protection locked="0"/>
    </xf>
    <xf numFmtId="0" fontId="14" fillId="6" borderId="23" xfId="9" applyFont="1" applyFill="1" applyBorder="1" applyAlignment="1" applyProtection="1">
      <alignment horizontal="center" vertical="center"/>
      <protection locked="0"/>
    </xf>
    <xf numFmtId="0" fontId="13" fillId="0" borderId="14" xfId="9" applyFont="1" applyBorder="1" applyAlignment="1" applyProtection="1">
      <alignment vertical="center"/>
      <protection locked="0"/>
    </xf>
    <xf numFmtId="0" fontId="13" fillId="0" borderId="0" xfId="21" applyFont="1" applyAlignment="1" applyProtection="1">
      <alignment vertical="center"/>
      <protection locked="0"/>
    </xf>
    <xf numFmtId="169" fontId="13" fillId="0" borderId="0" xfId="7" applyFont="1" applyFill="1" applyAlignment="1" applyProtection="1">
      <alignment vertical="center"/>
      <protection locked="0"/>
    </xf>
    <xf numFmtId="0" fontId="14" fillId="3" borderId="4" xfId="0" applyFont="1" applyFill="1" applyBorder="1" applyAlignment="1">
      <alignment horizontal="center" vertical="center" wrapText="1" readingOrder="1"/>
    </xf>
    <xf numFmtId="0" fontId="14" fillId="3" borderId="4" xfId="0" applyFont="1" applyFill="1" applyBorder="1" applyAlignment="1">
      <alignment horizontal="justify" vertical="center" wrapText="1" readingOrder="1"/>
    </xf>
    <xf numFmtId="0" fontId="25" fillId="0" borderId="0" xfId="21" applyFont="1" applyAlignment="1" applyProtection="1">
      <alignment horizontal="justify" vertical="center" wrapText="1"/>
      <protection locked="0"/>
    </xf>
    <xf numFmtId="0" fontId="13" fillId="0" borderId="9" xfId="0" applyFont="1" applyBorder="1" applyAlignment="1">
      <alignment horizontal="justify" vertical="top" wrapText="1"/>
    </xf>
    <xf numFmtId="169" fontId="25" fillId="0" borderId="48" xfId="7" applyFont="1" applyFill="1" applyBorder="1" applyAlignment="1" applyProtection="1">
      <alignment horizontal="justify" vertical="center" wrapText="1"/>
      <protection locked="0"/>
    </xf>
    <xf numFmtId="0" fontId="25" fillId="0" borderId="0" xfId="21" applyFont="1" applyAlignment="1" applyProtection="1">
      <alignment horizontal="justify" vertical="center"/>
      <protection locked="0"/>
    </xf>
    <xf numFmtId="0" fontId="25" fillId="0" borderId="4" xfId="21" applyFont="1" applyBorder="1" applyAlignment="1" applyProtection="1">
      <alignment vertical="center"/>
      <protection locked="0"/>
    </xf>
    <xf numFmtId="0" fontId="25" fillId="0" borderId="23" xfId="21" applyFont="1" applyBorder="1" applyAlignment="1" applyProtection="1">
      <alignment vertical="center"/>
      <protection locked="0"/>
    </xf>
    <xf numFmtId="0" fontId="44" fillId="0" borderId="0" xfId="57" applyFont="1" applyFill="1" applyAlignment="1" applyProtection="1">
      <alignment vertical="center"/>
      <protection locked="0"/>
    </xf>
    <xf numFmtId="14" fontId="25" fillId="0" borderId="4" xfId="21" applyNumberFormat="1" applyFont="1" applyBorder="1" applyAlignment="1" applyProtection="1">
      <alignment vertical="center"/>
      <protection locked="0"/>
    </xf>
    <xf numFmtId="0" fontId="25" fillId="0" borderId="16" xfId="21" applyFont="1" applyBorder="1" applyAlignment="1" applyProtection="1">
      <alignment horizontal="justify" vertical="center"/>
      <protection locked="0"/>
    </xf>
    <xf numFmtId="0" fontId="25" fillId="0" borderId="23" xfId="21" applyFont="1" applyBorder="1" applyAlignment="1" applyProtection="1">
      <alignment horizontal="justify" vertical="center"/>
      <protection locked="0"/>
    </xf>
    <xf numFmtId="0" fontId="25" fillId="0" borderId="23" xfId="21" applyFont="1" applyBorder="1" applyAlignment="1" applyProtection="1">
      <alignment horizontal="justify" vertical="center" wrapText="1"/>
      <protection locked="0"/>
    </xf>
    <xf numFmtId="0" fontId="25" fillId="0" borderId="51" xfId="21" applyFont="1" applyBorder="1" applyAlignment="1" applyProtection="1">
      <alignment horizontal="justify" vertical="center"/>
      <protection locked="0"/>
    </xf>
    <xf numFmtId="0" fontId="25" fillId="0" borderId="14" xfId="21" applyFont="1" applyBorder="1" applyAlignment="1" applyProtection="1">
      <alignment horizontal="justify" vertical="center" wrapText="1"/>
      <protection locked="0"/>
    </xf>
    <xf numFmtId="0" fontId="24" fillId="3" borderId="53" xfId="21" applyFont="1" applyFill="1" applyBorder="1" applyAlignment="1" applyProtection="1">
      <alignment horizontal="center" vertical="center"/>
      <protection locked="0"/>
    </xf>
    <xf numFmtId="0" fontId="24" fillId="3" borderId="5" xfId="21" applyFont="1" applyFill="1" applyBorder="1" applyAlignment="1" applyProtection="1">
      <alignment horizontal="center" vertical="center"/>
      <protection locked="0"/>
    </xf>
    <xf numFmtId="0" fontId="24" fillId="3" borderId="6" xfId="21" applyFont="1" applyFill="1" applyBorder="1" applyAlignment="1" applyProtection="1">
      <alignment horizontal="center" vertical="center"/>
      <protection locked="0"/>
    </xf>
    <xf numFmtId="0" fontId="44" fillId="0" borderId="23" xfId="57" applyFont="1" applyFill="1" applyBorder="1" applyAlignment="1" applyProtection="1">
      <alignment vertical="center"/>
      <protection locked="0"/>
    </xf>
    <xf numFmtId="0" fontId="44" fillId="0" borderId="14" xfId="57" applyFont="1" applyFill="1" applyBorder="1" applyAlignment="1" applyProtection="1">
      <alignment vertical="center"/>
      <protection locked="0"/>
    </xf>
    <xf numFmtId="0" fontId="25" fillId="0" borderId="16" xfId="21" applyFont="1" applyBorder="1" applyAlignment="1" applyProtection="1">
      <alignment vertical="center"/>
      <protection locked="0"/>
    </xf>
    <xf numFmtId="0" fontId="25" fillId="0" borderId="51" xfId="21" applyFont="1" applyBorder="1" applyAlignment="1" applyProtection="1">
      <alignment vertical="center"/>
      <protection locked="0"/>
    </xf>
    <xf numFmtId="14" fontId="25" fillId="0" borderId="13" xfId="21" applyNumberFormat="1" applyFont="1" applyBorder="1" applyAlignment="1" applyProtection="1">
      <alignment vertical="center"/>
      <protection locked="0"/>
    </xf>
    <xf numFmtId="0" fontId="25" fillId="0" borderId="13" xfId="21" applyFont="1" applyBorder="1" applyAlignment="1" applyProtection="1">
      <alignment vertical="center"/>
      <protection locked="0"/>
    </xf>
    <xf numFmtId="0" fontId="25" fillId="0" borderId="4" xfId="21" applyFont="1" applyBorder="1" applyAlignment="1" applyProtection="1">
      <alignment horizontal="right" vertical="center"/>
      <protection locked="0"/>
    </xf>
    <xf numFmtId="0" fontId="25" fillId="0" borderId="14" xfId="21" applyFont="1" applyBorder="1" applyAlignment="1" applyProtection="1">
      <alignment vertical="center"/>
      <protection locked="0"/>
    </xf>
    <xf numFmtId="0" fontId="25" fillId="0" borderId="16" xfId="21" applyFont="1" applyBorder="1" applyAlignment="1" applyProtection="1">
      <alignment vertical="center" wrapText="1"/>
      <protection locked="0"/>
    </xf>
    <xf numFmtId="14" fontId="25" fillId="0" borderId="4" xfId="21" applyNumberFormat="1" applyFont="1" applyBorder="1" applyAlignment="1" applyProtection="1">
      <alignment horizontal="right" vertical="center"/>
      <protection locked="0"/>
    </xf>
    <xf numFmtId="14" fontId="25" fillId="0" borderId="13" xfId="21" applyNumberFormat="1" applyFont="1" applyBorder="1" applyAlignment="1" applyProtection="1">
      <alignment horizontal="right" vertical="center"/>
      <protection locked="0"/>
    </xf>
    <xf numFmtId="171" fontId="17" fillId="6" borderId="14" xfId="8" applyNumberFormat="1" applyFont="1" applyFill="1" applyBorder="1" applyAlignment="1" applyProtection="1">
      <alignment horizontal="right" vertical="center" wrapText="1"/>
      <protection locked="0"/>
    </xf>
    <xf numFmtId="0" fontId="24" fillId="6" borderId="30" xfId="9" applyFont="1" applyFill="1" applyBorder="1" applyAlignment="1" applyProtection="1">
      <alignment horizontal="center" vertical="center" wrapText="1"/>
      <protection locked="0"/>
    </xf>
    <xf numFmtId="0" fontId="24" fillId="6" borderId="31" xfId="9" applyFont="1" applyFill="1" applyBorder="1" applyAlignment="1" applyProtection="1">
      <alignment horizontal="center" vertical="center" wrapText="1"/>
      <protection locked="0"/>
    </xf>
    <xf numFmtId="0" fontId="24" fillId="6" borderId="24" xfId="9" applyFont="1" applyFill="1" applyBorder="1" applyAlignment="1" applyProtection="1">
      <alignment horizontal="center" vertical="center" wrapText="1"/>
      <protection locked="0"/>
    </xf>
    <xf numFmtId="0" fontId="14" fillId="6" borderId="58" xfId="30" applyFont="1" applyFill="1" applyBorder="1" applyAlignment="1" applyProtection="1">
      <alignment horizontal="left" vertical="center" wrapText="1"/>
      <protection locked="0"/>
    </xf>
    <xf numFmtId="183" fontId="13" fillId="9" borderId="4" xfId="14" applyNumberFormat="1" applyFill="1" applyBorder="1" applyAlignment="1" applyProtection="1">
      <alignment horizontal="center" vertical="center"/>
      <protection locked="0"/>
    </xf>
    <xf numFmtId="2" fontId="13" fillId="9" borderId="4" xfId="14" applyNumberFormat="1" applyFill="1" applyBorder="1" applyAlignment="1" applyProtection="1">
      <alignment horizontal="center" vertical="center"/>
      <protection locked="0"/>
    </xf>
    <xf numFmtId="183" fontId="13" fillId="9" borderId="23" xfId="14" applyNumberFormat="1" applyFill="1" applyBorder="1" applyAlignment="1" applyProtection="1">
      <alignment horizontal="center" vertical="center"/>
      <protection locked="0"/>
    </xf>
    <xf numFmtId="0" fontId="13" fillId="3" borderId="16" xfId="14" applyFill="1" applyBorder="1" applyAlignment="1" applyProtection="1">
      <alignment vertical="center"/>
      <protection locked="0"/>
    </xf>
    <xf numFmtId="0" fontId="13" fillId="9" borderId="16" xfId="14" applyFill="1" applyBorder="1" applyAlignment="1" applyProtection="1">
      <alignment vertical="center"/>
      <protection locked="0"/>
    </xf>
    <xf numFmtId="0" fontId="13" fillId="9" borderId="51" xfId="14" applyFill="1" applyBorder="1" applyAlignment="1" applyProtection="1">
      <alignment vertical="center" wrapText="1"/>
      <protection locked="0"/>
    </xf>
    <xf numFmtId="0" fontId="32" fillId="3" borderId="66" xfId="57" applyFill="1" applyBorder="1" applyAlignment="1" applyProtection="1">
      <alignment vertical="center"/>
      <protection locked="0"/>
    </xf>
    <xf numFmtId="0" fontId="14" fillId="0" borderId="0" xfId="14" applyFont="1" applyAlignment="1" applyProtection="1">
      <alignment vertical="center" wrapText="1"/>
      <protection locked="0"/>
    </xf>
    <xf numFmtId="9" fontId="13" fillId="3" borderId="56" xfId="14" applyNumberFormat="1" applyFill="1" applyBorder="1" applyAlignment="1" applyProtection="1">
      <alignment vertical="center"/>
      <protection locked="0"/>
    </xf>
    <xf numFmtId="9" fontId="14" fillId="6" borderId="15" xfId="16" applyFont="1" applyFill="1" applyBorder="1" applyAlignment="1" applyProtection="1">
      <alignment vertical="center"/>
      <protection locked="0"/>
    </xf>
    <xf numFmtId="0" fontId="13" fillId="3" borderId="13" xfId="14" applyFill="1" applyBorder="1" applyAlignment="1" applyProtection="1">
      <alignment vertical="center" wrapText="1"/>
      <protection locked="0"/>
    </xf>
    <xf numFmtId="0" fontId="13" fillId="0" borderId="14" xfId="14" applyBorder="1" applyAlignment="1" applyProtection="1">
      <alignment vertical="center"/>
      <protection locked="0"/>
    </xf>
    <xf numFmtId="169" fontId="13" fillId="0" borderId="4" xfId="7" applyFont="1" applyFill="1" applyBorder="1" applyAlignment="1" applyProtection="1">
      <alignment horizontal="center" vertical="center" wrapText="1"/>
      <protection locked="0"/>
    </xf>
    <xf numFmtId="171" fontId="17" fillId="3" borderId="23" xfId="8" applyNumberFormat="1" applyFont="1" applyFill="1" applyBorder="1" applyAlignment="1" applyProtection="1">
      <alignment horizontal="right" vertical="center" wrapText="1"/>
      <protection locked="0"/>
    </xf>
    <xf numFmtId="169" fontId="13" fillId="0" borderId="23" xfId="7" applyFont="1" applyFill="1" applyBorder="1" applyAlignment="1" applyProtection="1">
      <alignment vertical="center"/>
      <protection locked="0"/>
    </xf>
    <xf numFmtId="0" fontId="17" fillId="0" borderId="66" xfId="21" applyFont="1" applyBorder="1" applyAlignment="1" applyProtection="1">
      <alignment horizontal="left" vertical="center"/>
      <protection locked="0"/>
    </xf>
    <xf numFmtId="0" fontId="17" fillId="0" borderId="58" xfId="21" applyFont="1" applyBorder="1" applyAlignment="1" applyProtection="1">
      <alignment horizontal="left" vertical="center"/>
      <protection locked="0"/>
    </xf>
    <xf numFmtId="0" fontId="32" fillId="0" borderId="0" xfId="57" applyBorder="1" applyProtection="1">
      <protection locked="0"/>
    </xf>
    <xf numFmtId="177" fontId="13" fillId="0" borderId="4" xfId="7" applyNumberFormat="1" applyFont="1" applyFill="1" applyBorder="1" applyAlignment="1" applyProtection="1">
      <alignment horizontal="left" vertical="center" wrapText="1"/>
      <protection hidden="1"/>
    </xf>
    <xf numFmtId="0" fontId="14" fillId="0" borderId="4" xfId="9" applyFont="1" applyBorder="1" applyAlignment="1" applyProtection="1">
      <alignment horizontal="center" wrapText="1"/>
      <protection locked="0"/>
    </xf>
    <xf numFmtId="0" fontId="32" fillId="0" borderId="0" xfId="57" applyAlignment="1" applyProtection="1">
      <alignment horizontal="left" vertical="center"/>
      <protection locked="0"/>
    </xf>
    <xf numFmtId="0" fontId="32" fillId="0" borderId="0" xfId="57" applyFill="1" applyBorder="1" applyAlignment="1" applyProtection="1">
      <alignment horizontal="left" vertical="center"/>
      <protection locked="0"/>
    </xf>
    <xf numFmtId="10" fontId="25" fillId="0" borderId="23" xfId="20" applyNumberFormat="1" applyFont="1" applyFill="1" applyBorder="1" applyAlignment="1" applyProtection="1">
      <alignment vertical="center"/>
      <protection hidden="1"/>
    </xf>
    <xf numFmtId="10" fontId="17" fillId="6" borderId="14" xfId="16" applyNumberFormat="1" applyFont="1" applyFill="1" applyBorder="1" applyAlignment="1" applyProtection="1">
      <alignment horizontal="right" vertical="center" wrapText="1"/>
      <protection hidden="1"/>
    </xf>
    <xf numFmtId="0" fontId="24" fillId="15" borderId="16" xfId="44" applyFont="1" applyFill="1" applyBorder="1" applyAlignment="1">
      <alignment horizontal="center" vertical="center" wrapText="1"/>
    </xf>
    <xf numFmtId="0" fontId="24" fillId="15" borderId="4" xfId="44" applyFont="1" applyFill="1" applyBorder="1" applyAlignment="1">
      <alignment horizontal="center" vertical="center" wrapText="1"/>
    </xf>
    <xf numFmtId="0" fontId="24" fillId="15" borderId="23" xfId="44" applyFont="1" applyFill="1" applyBorder="1" applyAlignment="1">
      <alignment horizontal="center" vertical="center" wrapText="1"/>
    </xf>
    <xf numFmtId="0" fontId="25" fillId="2" borderId="16" xfId="44" applyFont="1" applyFill="1" applyBorder="1" applyProtection="1">
      <protection hidden="1"/>
    </xf>
    <xf numFmtId="177" fontId="25" fillId="2" borderId="4" xfId="44" applyNumberFormat="1" applyFont="1" applyFill="1" applyBorder="1" applyProtection="1">
      <protection hidden="1"/>
    </xf>
    <xf numFmtId="177" fontId="25" fillId="2" borderId="23" xfId="44" applyNumberFormat="1" applyFont="1" applyFill="1" applyBorder="1" applyProtection="1">
      <protection hidden="1"/>
    </xf>
    <xf numFmtId="166" fontId="25" fillId="2" borderId="16" xfId="44" applyNumberFormat="1" applyFont="1" applyFill="1" applyBorder="1" applyProtection="1">
      <protection hidden="1"/>
    </xf>
    <xf numFmtId="166" fontId="25" fillId="2" borderId="4" xfId="44" applyNumberFormat="1" applyFont="1" applyFill="1" applyBorder="1" applyProtection="1">
      <protection hidden="1"/>
    </xf>
    <xf numFmtId="166" fontId="25" fillId="0" borderId="23" xfId="44" applyNumberFormat="1" applyFont="1" applyBorder="1" applyProtection="1">
      <protection hidden="1"/>
    </xf>
    <xf numFmtId="0" fontId="13" fillId="0" borderId="16" xfId="9" applyFont="1" applyBorder="1" applyProtection="1">
      <protection hidden="1"/>
    </xf>
    <xf numFmtId="177" fontId="13" fillId="0" borderId="4" xfId="8" applyNumberFormat="1" applyFont="1" applyFill="1" applyBorder="1" applyAlignment="1" applyProtection="1">
      <alignment horizontal="center"/>
      <protection hidden="1"/>
    </xf>
    <xf numFmtId="2" fontId="13" fillId="0" borderId="4" xfId="16" applyNumberFormat="1" applyFont="1" applyFill="1" applyBorder="1" applyAlignment="1" applyProtection="1">
      <alignment horizontal="center"/>
      <protection hidden="1"/>
    </xf>
    <xf numFmtId="177" fontId="13" fillId="0" borderId="23" xfId="8" applyNumberFormat="1" applyFont="1" applyFill="1" applyBorder="1" applyAlignment="1" applyProtection="1">
      <alignment horizontal="center"/>
      <protection hidden="1"/>
    </xf>
    <xf numFmtId="0" fontId="13" fillId="0" borderId="51" xfId="9" applyFont="1" applyBorder="1" applyProtection="1">
      <protection hidden="1"/>
    </xf>
    <xf numFmtId="177" fontId="13" fillId="0" borderId="13" xfId="8" applyNumberFormat="1" applyFont="1" applyFill="1" applyBorder="1" applyAlignment="1" applyProtection="1">
      <alignment horizontal="center"/>
      <protection hidden="1"/>
    </xf>
    <xf numFmtId="2" fontId="13" fillId="0" borderId="13" xfId="16" applyNumberFormat="1" applyFont="1" applyFill="1" applyBorder="1" applyAlignment="1" applyProtection="1">
      <alignment horizontal="center"/>
      <protection hidden="1"/>
    </xf>
    <xf numFmtId="177" fontId="13" fillId="0" borderId="14" xfId="8" applyNumberFormat="1" applyFont="1" applyFill="1" applyBorder="1" applyAlignment="1" applyProtection="1">
      <alignment horizontal="center"/>
      <protection hidden="1"/>
    </xf>
    <xf numFmtId="0" fontId="24" fillId="15" borderId="31" xfId="36" applyFont="1" applyFill="1" applyBorder="1" applyAlignment="1">
      <alignment horizontal="center" vertical="center" wrapText="1"/>
    </xf>
    <xf numFmtId="0" fontId="39" fillId="15" borderId="2" xfId="0" applyFont="1" applyFill="1" applyBorder="1" applyAlignment="1">
      <alignment horizontal="center"/>
    </xf>
    <xf numFmtId="0" fontId="39" fillId="15" borderId="3" xfId="0" applyFont="1" applyFill="1" applyBorder="1" applyAlignment="1">
      <alignment horizontal="center"/>
    </xf>
    <xf numFmtId="0" fontId="24" fillId="6" borderId="30" xfId="36" applyFont="1" applyFill="1" applyBorder="1" applyAlignment="1">
      <alignment horizontal="center" vertical="center"/>
    </xf>
    <xf numFmtId="10" fontId="25" fillId="2" borderId="4" xfId="36" applyNumberFormat="1" applyFont="1" applyFill="1" applyBorder="1" applyProtection="1">
      <protection hidden="1"/>
    </xf>
    <xf numFmtId="10" fontId="25" fillId="2" borderId="4" xfId="38" applyNumberFormat="1" applyFont="1" applyFill="1" applyBorder="1" applyProtection="1">
      <protection hidden="1"/>
    </xf>
    <xf numFmtId="0" fontId="24" fillId="3" borderId="4" xfId="36" applyFont="1" applyFill="1" applyBorder="1" applyProtection="1">
      <protection hidden="1"/>
    </xf>
    <xf numFmtId="10" fontId="24" fillId="8" borderId="13" xfId="38" applyNumberFormat="1" applyFont="1" applyFill="1" applyBorder="1" applyProtection="1">
      <protection hidden="1"/>
    </xf>
    <xf numFmtId="0" fontId="39" fillId="6" borderId="10" xfId="0" applyFont="1" applyFill="1" applyBorder="1"/>
    <xf numFmtId="0" fontId="12" fillId="0" borderId="5" xfId="9" applyBorder="1" applyProtection="1">
      <protection hidden="1"/>
    </xf>
    <xf numFmtId="0" fontId="40" fillId="0" borderId="6" xfId="0" applyFont="1" applyBorder="1" applyProtection="1">
      <protection hidden="1"/>
    </xf>
    <xf numFmtId="10" fontId="12" fillId="0" borderId="4" xfId="16" applyNumberFormat="1" applyFont="1" applyFill="1" applyBorder="1" applyProtection="1">
      <protection hidden="1"/>
    </xf>
    <xf numFmtId="10" fontId="12" fillId="0" borderId="23" xfId="16" applyNumberFormat="1" applyFont="1" applyFill="1" applyBorder="1" applyProtection="1">
      <protection hidden="1"/>
    </xf>
    <xf numFmtId="9" fontId="41" fillId="15" borderId="13" xfId="16" applyFont="1" applyFill="1" applyBorder="1" applyProtection="1">
      <protection hidden="1"/>
    </xf>
    <xf numFmtId="9" fontId="41" fillId="15" borderId="14" xfId="16" applyFont="1" applyFill="1" applyBorder="1" applyProtection="1">
      <protection hidden="1"/>
    </xf>
    <xf numFmtId="0" fontId="24" fillId="8" borderId="5" xfId="7" applyNumberFormat="1" applyFont="1" applyFill="1" applyBorder="1" applyAlignment="1" applyProtection="1">
      <alignment horizontal="right"/>
      <protection hidden="1"/>
    </xf>
    <xf numFmtId="0" fontId="24" fillId="12" borderId="5" xfId="7" applyNumberFormat="1" applyFont="1" applyFill="1" applyBorder="1" applyAlignment="1" applyProtection="1">
      <alignment horizontal="right"/>
      <protection hidden="1"/>
    </xf>
    <xf numFmtId="0" fontId="24" fillId="12" borderId="6" xfId="7" applyNumberFormat="1" applyFont="1" applyFill="1" applyBorder="1" applyAlignment="1" applyProtection="1">
      <alignment horizontal="right"/>
      <protection hidden="1"/>
    </xf>
    <xf numFmtId="177" fontId="25" fillId="8" borderId="4" xfId="7" applyNumberFormat="1" applyFont="1" applyFill="1" applyBorder="1" applyAlignment="1" applyProtection="1">
      <alignment horizontal="right"/>
      <protection hidden="1"/>
    </xf>
    <xf numFmtId="177" fontId="25" fillId="12" borderId="4" xfId="7" applyNumberFormat="1" applyFont="1" applyFill="1" applyBorder="1" applyAlignment="1" applyProtection="1">
      <alignment horizontal="right"/>
      <protection hidden="1"/>
    </xf>
    <xf numFmtId="177" fontId="25" fillId="12" borderId="23" xfId="7" applyNumberFormat="1" applyFont="1" applyFill="1" applyBorder="1" applyAlignment="1" applyProtection="1">
      <alignment horizontal="right"/>
      <protection hidden="1"/>
    </xf>
    <xf numFmtId="173" fontId="24" fillId="8" borderId="4" xfId="7" applyNumberFormat="1" applyFont="1" applyFill="1" applyBorder="1" applyProtection="1">
      <protection hidden="1"/>
    </xf>
    <xf numFmtId="173" fontId="24" fillId="12" borderId="4" xfId="7" applyNumberFormat="1" applyFont="1" applyFill="1" applyBorder="1" applyProtection="1">
      <protection hidden="1"/>
    </xf>
    <xf numFmtId="173" fontId="24" fillId="12" borderId="23" xfId="7" applyNumberFormat="1" applyFont="1" applyFill="1" applyBorder="1" applyProtection="1">
      <protection hidden="1"/>
    </xf>
    <xf numFmtId="173" fontId="24" fillId="3" borderId="4" xfId="7" applyNumberFormat="1" applyFont="1" applyFill="1" applyBorder="1" applyAlignment="1" applyProtection="1">
      <alignment horizontal="center"/>
      <protection hidden="1"/>
    </xf>
    <xf numFmtId="173" fontId="24" fillId="3" borderId="23" xfId="7" applyNumberFormat="1" applyFont="1" applyFill="1" applyBorder="1" applyAlignment="1" applyProtection="1">
      <alignment horizontal="center"/>
      <protection hidden="1"/>
    </xf>
    <xf numFmtId="0" fontId="24" fillId="3" borderId="4" xfId="0" applyFont="1" applyFill="1" applyBorder="1" applyProtection="1">
      <protection hidden="1"/>
    </xf>
    <xf numFmtId="0" fontId="24" fillId="3" borderId="23" xfId="0" applyFont="1" applyFill="1" applyBorder="1" applyProtection="1">
      <protection hidden="1"/>
    </xf>
    <xf numFmtId="173" fontId="25" fillId="0" borderId="4" xfId="7" applyNumberFormat="1" applyFont="1" applyBorder="1" applyProtection="1">
      <protection hidden="1"/>
    </xf>
    <xf numFmtId="173" fontId="25" fillId="0" borderId="23" xfId="7" applyNumberFormat="1" applyFont="1" applyBorder="1" applyProtection="1">
      <protection hidden="1"/>
    </xf>
    <xf numFmtId="173" fontId="25" fillId="3" borderId="4" xfId="7" applyNumberFormat="1" applyFont="1" applyFill="1" applyBorder="1" applyProtection="1">
      <protection hidden="1"/>
    </xf>
    <xf numFmtId="173" fontId="25" fillId="3" borderId="23" xfId="7" applyNumberFormat="1" applyFont="1" applyFill="1" applyBorder="1" applyProtection="1">
      <protection hidden="1"/>
    </xf>
    <xf numFmtId="173" fontId="24" fillId="3" borderId="4" xfId="7" applyNumberFormat="1" applyFont="1" applyFill="1" applyBorder="1" applyProtection="1">
      <protection hidden="1"/>
    </xf>
    <xf numFmtId="173" fontId="24" fillId="3" borderId="23" xfId="7" applyNumberFormat="1" applyFont="1" applyFill="1" applyBorder="1" applyProtection="1">
      <protection hidden="1"/>
    </xf>
    <xf numFmtId="173" fontId="24" fillId="3" borderId="13" xfId="7" applyNumberFormat="1" applyFont="1" applyFill="1" applyBorder="1" applyProtection="1">
      <protection hidden="1"/>
    </xf>
    <xf numFmtId="173" fontId="24" fillId="3" borderId="14" xfId="7" applyNumberFormat="1" applyFont="1" applyFill="1" applyBorder="1" applyProtection="1">
      <protection hidden="1"/>
    </xf>
    <xf numFmtId="0" fontId="25" fillId="0" borderId="16" xfId="0" applyFont="1" applyBorder="1" applyProtection="1">
      <protection hidden="1"/>
    </xf>
    <xf numFmtId="10" fontId="25" fillId="0" borderId="4" xfId="0" applyNumberFormat="1" applyFont="1" applyBorder="1" applyProtection="1">
      <protection hidden="1"/>
    </xf>
    <xf numFmtId="10" fontId="25" fillId="0" borderId="4" xfId="16" applyNumberFormat="1" applyFont="1" applyBorder="1" applyProtection="1">
      <protection hidden="1"/>
    </xf>
    <xf numFmtId="0" fontId="25" fillId="8" borderId="16" xfId="0" applyFont="1" applyFill="1" applyBorder="1" applyProtection="1">
      <protection hidden="1"/>
    </xf>
    <xf numFmtId="10" fontId="25" fillId="8" borderId="4" xfId="16" applyNumberFormat="1" applyFont="1" applyFill="1" applyBorder="1" applyProtection="1">
      <protection hidden="1"/>
    </xf>
    <xf numFmtId="2" fontId="25" fillId="0" borderId="4" xfId="16" applyNumberFormat="1" applyFont="1" applyFill="1" applyBorder="1" applyProtection="1">
      <protection hidden="1"/>
    </xf>
    <xf numFmtId="2" fontId="25" fillId="0" borderId="23" xfId="16" applyNumberFormat="1" applyFont="1" applyFill="1" applyBorder="1" applyProtection="1">
      <protection hidden="1"/>
    </xf>
    <xf numFmtId="173" fontId="25" fillId="3" borderId="4" xfId="37" applyNumberFormat="1" applyFont="1" applyFill="1" applyBorder="1" applyProtection="1">
      <protection hidden="1"/>
    </xf>
    <xf numFmtId="173" fontId="25" fillId="3" borderId="23" xfId="37" applyNumberFormat="1" applyFont="1" applyFill="1" applyBorder="1" applyProtection="1">
      <protection hidden="1"/>
    </xf>
    <xf numFmtId="173" fontId="25" fillId="0" borderId="13" xfId="37" applyNumberFormat="1" applyFont="1" applyFill="1" applyBorder="1" applyProtection="1">
      <protection hidden="1"/>
    </xf>
    <xf numFmtId="173" fontId="25" fillId="0" borderId="14" xfId="37" applyNumberFormat="1" applyFont="1" applyFill="1" applyBorder="1" applyProtection="1">
      <protection hidden="1"/>
    </xf>
    <xf numFmtId="0" fontId="25" fillId="0" borderId="53" xfId="36" applyFont="1" applyBorder="1" applyProtection="1">
      <protection hidden="1"/>
    </xf>
    <xf numFmtId="10" fontId="25" fillId="0" borderId="5" xfId="36" applyNumberFormat="1" applyFont="1" applyBorder="1" applyProtection="1">
      <protection hidden="1"/>
    </xf>
    <xf numFmtId="173" fontId="25" fillId="0" borderId="5" xfId="37" applyNumberFormat="1" applyFont="1" applyFill="1" applyBorder="1" applyProtection="1">
      <protection hidden="1"/>
    </xf>
    <xf numFmtId="173" fontId="25" fillId="0" borderId="6" xfId="37" applyNumberFormat="1" applyFont="1" applyFill="1" applyBorder="1" applyProtection="1">
      <protection hidden="1"/>
    </xf>
    <xf numFmtId="0" fontId="25" fillId="0" borderId="16" xfId="36" applyFont="1" applyBorder="1" applyProtection="1">
      <protection hidden="1"/>
    </xf>
    <xf numFmtId="9" fontId="25" fillId="0" borderId="4" xfId="36" applyNumberFormat="1" applyFont="1" applyBorder="1" applyProtection="1">
      <protection hidden="1"/>
    </xf>
    <xf numFmtId="173" fontId="25" fillId="0" borderId="4" xfId="37" applyNumberFormat="1" applyFont="1" applyFill="1" applyBorder="1" applyProtection="1">
      <protection hidden="1"/>
    </xf>
    <xf numFmtId="173" fontId="25" fillId="0" borderId="23" xfId="37" applyNumberFormat="1" applyFont="1" applyFill="1" applyBorder="1" applyProtection="1">
      <protection hidden="1"/>
    </xf>
    <xf numFmtId="10" fontId="25" fillId="0" borderId="4" xfId="36" applyNumberFormat="1" applyFont="1" applyBorder="1" applyProtection="1">
      <protection hidden="1"/>
    </xf>
    <xf numFmtId="173" fontId="24" fillId="3" borderId="13" xfId="37" applyNumberFormat="1" applyFont="1" applyFill="1" applyBorder="1" applyProtection="1">
      <protection hidden="1"/>
    </xf>
    <xf numFmtId="173" fontId="24" fillId="3" borderId="14" xfId="37" applyNumberFormat="1" applyFont="1" applyFill="1" applyBorder="1" applyProtection="1">
      <protection hidden="1"/>
    </xf>
    <xf numFmtId="166" fontId="31" fillId="0" borderId="4" xfId="56" applyFont="1" applyFill="1" applyBorder="1" applyAlignment="1" applyProtection="1">
      <alignment horizontal="left" vertical="center" wrapText="1"/>
      <protection hidden="1"/>
    </xf>
    <xf numFmtId="166" fontId="25" fillId="0" borderId="4" xfId="55" applyNumberFormat="1" applyFont="1" applyBorder="1" applyAlignment="1" applyProtection="1">
      <alignment horizontal="left"/>
      <protection hidden="1"/>
    </xf>
    <xf numFmtId="166" fontId="25" fillId="0" borderId="23" xfId="55" applyNumberFormat="1" applyFont="1" applyBorder="1" applyAlignment="1" applyProtection="1">
      <alignment horizontal="left"/>
      <protection hidden="1"/>
    </xf>
    <xf numFmtId="166" fontId="25" fillId="0" borderId="4" xfId="56" applyFont="1" applyFill="1" applyBorder="1" applyAlignment="1" applyProtection="1">
      <alignment horizontal="left" vertical="center"/>
      <protection hidden="1"/>
    </xf>
    <xf numFmtId="166" fontId="25" fillId="0" borderId="13" xfId="56" applyFont="1" applyFill="1" applyBorder="1" applyAlignment="1" applyProtection="1">
      <alignment horizontal="left" vertical="center"/>
      <protection hidden="1"/>
    </xf>
    <xf numFmtId="166" fontId="31" fillId="0" borderId="13" xfId="56" applyFont="1" applyFill="1" applyBorder="1" applyAlignment="1" applyProtection="1">
      <alignment horizontal="left" vertical="center" wrapText="1"/>
      <protection hidden="1"/>
    </xf>
    <xf numFmtId="166" fontId="25" fillId="0" borderId="13" xfId="55" applyNumberFormat="1" applyFont="1" applyBorder="1" applyAlignment="1" applyProtection="1">
      <alignment horizontal="left"/>
      <protection hidden="1"/>
    </xf>
    <xf numFmtId="166" fontId="25" fillId="0" borderId="14" xfId="55" applyNumberFormat="1" applyFont="1" applyBorder="1" applyAlignment="1" applyProtection="1">
      <alignment horizontal="left"/>
      <protection hidden="1"/>
    </xf>
    <xf numFmtId="177" fontId="25" fillId="2" borderId="4" xfId="7" applyNumberFormat="1" applyFont="1" applyFill="1" applyBorder="1" applyAlignment="1" applyProtection="1">
      <alignment vertical="center"/>
      <protection hidden="1"/>
    </xf>
    <xf numFmtId="177" fontId="25" fillId="2" borderId="23" xfId="7" applyNumberFormat="1" applyFont="1" applyFill="1" applyBorder="1" applyAlignment="1" applyProtection="1">
      <alignment vertical="center"/>
      <protection hidden="1"/>
    </xf>
    <xf numFmtId="177" fontId="25" fillId="2" borderId="13" xfId="7" applyNumberFormat="1" applyFont="1" applyFill="1" applyBorder="1" applyAlignment="1" applyProtection="1">
      <alignment vertical="center"/>
      <protection hidden="1"/>
    </xf>
    <xf numFmtId="177" fontId="25" fillId="2" borderId="14" xfId="7" applyNumberFormat="1" applyFont="1" applyFill="1" applyBorder="1" applyAlignment="1" applyProtection="1">
      <alignment vertical="center"/>
      <protection hidden="1"/>
    </xf>
    <xf numFmtId="0" fontId="24" fillId="2" borderId="4" xfId="34" applyFont="1" applyFill="1" applyBorder="1" applyAlignment="1" applyProtection="1">
      <alignment horizontal="center" vertical="center"/>
      <protection hidden="1"/>
    </xf>
    <xf numFmtId="10" fontId="24" fillId="2" borderId="4" xfId="34" applyNumberFormat="1" applyFont="1" applyFill="1" applyBorder="1" applyAlignment="1" applyProtection="1">
      <alignment horizontal="center" vertical="center"/>
      <protection hidden="1"/>
    </xf>
    <xf numFmtId="10" fontId="24" fillId="2" borderId="23" xfId="34" applyNumberFormat="1" applyFont="1" applyFill="1" applyBorder="1" applyAlignment="1" applyProtection="1">
      <alignment horizontal="center" vertical="center"/>
      <protection hidden="1"/>
    </xf>
    <xf numFmtId="0" fontId="24" fillId="2" borderId="23" xfId="34" applyFont="1" applyFill="1" applyBorder="1" applyAlignment="1" applyProtection="1">
      <alignment horizontal="center" vertical="center"/>
      <protection hidden="1"/>
    </xf>
    <xf numFmtId="171" fontId="17" fillId="3" borderId="23" xfId="19" applyNumberFormat="1" applyFont="1" applyFill="1" applyBorder="1" applyAlignment="1" applyProtection="1">
      <alignment horizontal="center" vertical="center" wrapText="1"/>
      <protection hidden="1"/>
    </xf>
    <xf numFmtId="171" fontId="17" fillId="3" borderId="14" xfId="19" applyNumberFormat="1" applyFont="1" applyFill="1" applyBorder="1" applyAlignment="1" applyProtection="1">
      <alignment horizontal="center" vertical="center" wrapText="1"/>
      <protection hidden="1"/>
    </xf>
    <xf numFmtId="0" fontId="25" fillId="0" borderId="0" xfId="21" applyFont="1" applyAlignment="1" applyProtection="1">
      <alignment horizontal="justify" vertical="top" wrapText="1"/>
      <protection locked="0"/>
    </xf>
    <xf numFmtId="0" fontId="25" fillId="0" borderId="0" xfId="21" applyFont="1" applyAlignment="1" applyProtection="1">
      <alignment horizontal="justify" vertical="top"/>
      <protection locked="0"/>
    </xf>
    <xf numFmtId="0" fontId="25" fillId="17" borderId="0" xfId="21" applyFont="1" applyFill="1" applyAlignment="1" applyProtection="1">
      <alignment vertical="center"/>
      <protection locked="0"/>
    </xf>
    <xf numFmtId="169" fontId="25" fillId="0" borderId="4" xfId="7" applyFont="1" applyFill="1" applyBorder="1" applyAlignment="1" applyProtection="1">
      <alignment vertical="center"/>
      <protection locked="0"/>
    </xf>
    <xf numFmtId="10" fontId="25" fillId="0" borderId="0" xfId="16" applyNumberFormat="1" applyFont="1" applyFill="1" applyBorder="1" applyAlignment="1" applyProtection="1">
      <alignment vertical="center"/>
      <protection locked="0"/>
    </xf>
    <xf numFmtId="0" fontId="28" fillId="0" borderId="0" xfId="9" applyFont="1" applyAlignment="1" applyProtection="1">
      <alignment horizontal="center" vertical="center" wrapText="1"/>
      <protection locked="0"/>
    </xf>
    <xf numFmtId="10" fontId="24" fillId="0" borderId="0" xfId="16" applyNumberFormat="1" applyFont="1" applyFill="1" applyBorder="1" applyAlignment="1" applyProtection="1">
      <alignment vertical="center"/>
      <protection locked="0"/>
    </xf>
    <xf numFmtId="177" fontId="25" fillId="17" borderId="0" xfId="21" applyNumberFormat="1" applyFont="1" applyFill="1" applyAlignment="1" applyProtection="1">
      <alignment vertical="center"/>
      <protection locked="0"/>
    </xf>
    <xf numFmtId="177" fontId="24" fillId="17" borderId="0" xfId="21" applyNumberFormat="1" applyFont="1" applyFill="1" applyAlignment="1" applyProtection="1">
      <alignment vertical="center"/>
      <protection locked="0"/>
    </xf>
    <xf numFmtId="0" fontId="25" fillId="17" borderId="0" xfId="21" applyFont="1" applyFill="1" applyAlignment="1" applyProtection="1">
      <alignment vertical="center"/>
      <protection hidden="1"/>
    </xf>
    <xf numFmtId="10" fontId="25" fillId="17" borderId="0" xfId="16" applyNumberFormat="1" applyFont="1" applyFill="1" applyAlignment="1" applyProtection="1">
      <alignment vertical="center"/>
      <protection hidden="1"/>
    </xf>
    <xf numFmtId="0" fontId="25" fillId="17" borderId="4" xfId="21" applyFont="1" applyFill="1" applyBorder="1" applyAlignment="1" applyProtection="1">
      <alignment vertical="center"/>
      <protection hidden="1"/>
    </xf>
    <xf numFmtId="0" fontId="25" fillId="17" borderId="4" xfId="21" applyFont="1" applyFill="1" applyBorder="1" applyAlignment="1" applyProtection="1">
      <alignment vertical="center" wrapText="1"/>
      <protection hidden="1"/>
    </xf>
    <xf numFmtId="10" fontId="25" fillId="17" borderId="4" xfId="16" applyNumberFormat="1" applyFont="1" applyFill="1" applyBorder="1" applyAlignment="1" applyProtection="1">
      <alignment vertical="center"/>
      <protection hidden="1"/>
    </xf>
    <xf numFmtId="10" fontId="25" fillId="17" borderId="4" xfId="21" applyNumberFormat="1" applyFont="1" applyFill="1" applyBorder="1" applyAlignment="1" applyProtection="1">
      <alignment vertical="center"/>
      <protection hidden="1"/>
    </xf>
    <xf numFmtId="0" fontId="28" fillId="17" borderId="4" xfId="9" applyFont="1" applyFill="1" applyBorder="1" applyAlignment="1" applyProtection="1">
      <alignment horizontal="center" vertical="center" wrapText="1"/>
      <protection hidden="1"/>
    </xf>
    <xf numFmtId="0" fontId="28" fillId="15" borderId="16" xfId="9" applyFont="1" applyFill="1" applyBorder="1" applyAlignment="1" applyProtection="1">
      <alignment horizontal="center" vertical="center" wrapText="1"/>
      <protection hidden="1"/>
    </xf>
    <xf numFmtId="0" fontId="25" fillId="0" borderId="16" xfId="21" applyFont="1" applyBorder="1" applyAlignment="1" applyProtection="1">
      <alignment vertical="center"/>
      <protection hidden="1"/>
    </xf>
    <xf numFmtId="0" fontId="28" fillId="15" borderId="23" xfId="9" applyFont="1" applyFill="1" applyBorder="1" applyAlignment="1" applyProtection="1">
      <alignment horizontal="center" vertical="center" wrapText="1"/>
      <protection hidden="1"/>
    </xf>
    <xf numFmtId="177" fontId="25" fillId="0" borderId="23" xfId="21" applyNumberFormat="1" applyFont="1" applyBorder="1" applyAlignment="1" applyProtection="1">
      <alignment vertical="center"/>
      <protection hidden="1"/>
    </xf>
    <xf numFmtId="177" fontId="24" fillId="15" borderId="14" xfId="21" applyNumberFormat="1" applyFont="1" applyFill="1" applyBorder="1" applyAlignment="1" applyProtection="1">
      <alignment vertical="center"/>
      <protection hidden="1"/>
    </xf>
    <xf numFmtId="0" fontId="28" fillId="15" borderId="4" xfId="9" applyFont="1" applyFill="1" applyBorder="1" applyAlignment="1" applyProtection="1">
      <alignment horizontal="center" vertical="center" wrapText="1"/>
      <protection hidden="1"/>
    </xf>
    <xf numFmtId="0" fontId="25" fillId="0" borderId="4" xfId="21" applyFont="1" applyBorder="1" applyAlignment="1" applyProtection="1">
      <alignment vertical="center"/>
      <protection hidden="1"/>
    </xf>
    <xf numFmtId="177" fontId="25" fillId="0" borderId="4" xfId="21" applyNumberFormat="1" applyFont="1" applyBorder="1" applyAlignment="1" applyProtection="1">
      <alignment vertical="center"/>
      <protection hidden="1"/>
    </xf>
    <xf numFmtId="10" fontId="25" fillId="0" borderId="4" xfId="21" applyNumberFormat="1" applyFont="1" applyBorder="1" applyAlignment="1" applyProtection="1">
      <alignment vertical="center"/>
      <protection hidden="1"/>
    </xf>
    <xf numFmtId="10" fontId="24" fillId="15" borderId="4" xfId="16" applyNumberFormat="1" applyFont="1" applyFill="1" applyBorder="1" applyAlignment="1" applyProtection="1">
      <alignment vertical="center"/>
      <protection hidden="1"/>
    </xf>
    <xf numFmtId="0" fontId="32" fillId="0" borderId="0" xfId="57" applyAlignment="1" applyProtection="1">
      <alignment horizontal="left" vertical="justify"/>
      <protection locked="0"/>
    </xf>
    <xf numFmtId="169" fontId="14" fillId="6" borderId="4" xfId="7" applyFont="1" applyFill="1" applyBorder="1" applyAlignment="1" applyProtection="1">
      <alignment vertical="center" wrapText="1"/>
      <protection locked="0"/>
    </xf>
    <xf numFmtId="169" fontId="13" fillId="0" borderId="4" xfId="7" applyFont="1" applyFill="1" applyBorder="1" applyAlignment="1" applyProtection="1">
      <alignment vertical="center" wrapText="1"/>
      <protection locked="0"/>
    </xf>
    <xf numFmtId="169" fontId="14" fillId="7" borderId="4" xfId="7" applyFont="1" applyFill="1" applyBorder="1" applyAlignment="1" applyProtection="1">
      <alignment vertical="center" wrapText="1"/>
      <protection locked="0"/>
    </xf>
    <xf numFmtId="0" fontId="24" fillId="0" borderId="0" xfId="48" applyFont="1" applyAlignment="1" applyProtection="1">
      <alignment horizontal="right" vertical="justify"/>
      <protection locked="0"/>
    </xf>
    <xf numFmtId="172" fontId="24" fillId="0" borderId="0" xfId="49" applyNumberFormat="1" applyFont="1" applyBorder="1" applyAlignment="1" applyProtection="1">
      <alignment horizontal="right" vertical="justify"/>
      <protection locked="0"/>
    </xf>
    <xf numFmtId="0" fontId="25" fillId="0" borderId="0" xfId="48" applyFont="1" applyAlignment="1" applyProtection="1">
      <alignment horizontal="justify" vertical="justify"/>
      <protection locked="0"/>
    </xf>
    <xf numFmtId="0" fontId="13" fillId="0" borderId="0" xfId="0" applyFont="1" applyProtection="1">
      <protection locked="0"/>
    </xf>
    <xf numFmtId="0" fontId="14" fillId="3" borderId="1" xfId="0" applyFont="1" applyFill="1" applyBorder="1" applyAlignment="1" applyProtection="1">
      <alignment horizontal="center" vertical="center" wrapText="1"/>
      <protection locked="0"/>
    </xf>
    <xf numFmtId="0" fontId="14" fillId="3" borderId="3" xfId="0" applyFont="1" applyFill="1" applyBorder="1" applyAlignment="1" applyProtection="1">
      <alignment horizontal="center" vertical="center" wrapText="1"/>
      <protection locked="0"/>
    </xf>
    <xf numFmtId="0" fontId="14" fillId="10" borderId="13"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3" fillId="0" borderId="4" xfId="0" applyFont="1" applyBorder="1" applyAlignment="1" applyProtection="1">
      <alignment horizontal="center" vertical="center"/>
      <protection locked="0"/>
    </xf>
    <xf numFmtId="0" fontId="13" fillId="0" borderId="23" xfId="0" applyFont="1" applyBorder="1" applyAlignment="1" applyProtection="1">
      <alignment horizontal="center" vertical="center"/>
      <protection locked="0"/>
    </xf>
    <xf numFmtId="0" fontId="13" fillId="0" borderId="0" xfId="0" applyFont="1" applyAlignment="1" applyProtection="1">
      <alignment horizontal="left"/>
      <protection locked="0"/>
    </xf>
    <xf numFmtId="0" fontId="13" fillId="0" borderId="13"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3" fillId="0" borderId="0" xfId="0" applyFont="1" applyAlignment="1" applyProtection="1">
      <alignment wrapText="1"/>
      <protection locked="0"/>
    </xf>
    <xf numFmtId="171" fontId="15" fillId="0" borderId="0" xfId="9" applyNumberFormat="1" applyFont="1" applyAlignment="1">
      <alignment vertical="center"/>
    </xf>
    <xf numFmtId="0" fontId="13" fillId="0" borderId="0" xfId="9" applyFont="1" applyAlignment="1">
      <alignment vertical="center"/>
    </xf>
    <xf numFmtId="0" fontId="25" fillId="0" borderId="4" xfId="21" applyFont="1" applyBorder="1" applyAlignment="1" applyProtection="1">
      <alignment horizontal="justify" vertical="center"/>
      <protection locked="0"/>
    </xf>
    <xf numFmtId="183" fontId="16" fillId="0" borderId="4" xfId="9" applyNumberFormat="1" applyFont="1" applyBorder="1" applyAlignment="1" applyProtection="1">
      <alignment horizontal="center" vertical="center" wrapText="1"/>
      <protection locked="0"/>
    </xf>
    <xf numFmtId="1" fontId="16" fillId="0" borderId="4" xfId="9" applyNumberFormat="1" applyFont="1" applyBorder="1" applyAlignment="1" applyProtection="1">
      <alignment horizontal="center" vertical="center" wrapText="1"/>
      <protection locked="0"/>
    </xf>
    <xf numFmtId="2" fontId="16" fillId="0" borderId="4" xfId="16" applyNumberFormat="1" applyFont="1" applyFill="1" applyBorder="1" applyAlignment="1" applyProtection="1">
      <alignment horizontal="center" vertical="center" wrapText="1"/>
      <protection locked="0"/>
    </xf>
    <xf numFmtId="177" fontId="13" fillId="0" borderId="19" xfId="7" applyNumberFormat="1" applyFont="1" applyBorder="1" applyAlignment="1" applyProtection="1">
      <alignment vertical="center"/>
      <protection locked="0"/>
    </xf>
    <xf numFmtId="0" fontId="24" fillId="6" borderId="71" xfId="28" applyFont="1" applyFill="1" applyBorder="1" applyAlignment="1" applyProtection="1">
      <alignment vertical="center"/>
      <protection locked="0"/>
    </xf>
    <xf numFmtId="0" fontId="24" fillId="6" borderId="58" xfId="28" applyFont="1" applyFill="1" applyBorder="1" applyAlignment="1" applyProtection="1">
      <alignment vertical="center"/>
      <protection locked="0"/>
    </xf>
    <xf numFmtId="177" fontId="25" fillId="0" borderId="4" xfId="7" applyNumberFormat="1" applyFont="1" applyFill="1" applyBorder="1" applyAlignment="1" applyProtection="1">
      <alignment vertical="center"/>
      <protection locked="0"/>
    </xf>
    <xf numFmtId="177" fontId="25" fillId="0" borderId="4" xfId="7" applyNumberFormat="1" applyFont="1" applyFill="1" applyBorder="1" applyAlignment="1" applyProtection="1">
      <alignment horizontal="right" vertical="center"/>
      <protection locked="0"/>
    </xf>
    <xf numFmtId="177" fontId="13" fillId="0" borderId="23" xfId="7" applyNumberFormat="1" applyFont="1" applyFill="1" applyBorder="1" applyAlignment="1" applyProtection="1">
      <alignment horizontal="center"/>
    </xf>
    <xf numFmtId="177" fontId="13" fillId="0" borderId="14" xfId="7" applyNumberFormat="1" applyFont="1" applyFill="1" applyBorder="1" applyAlignment="1" applyProtection="1">
      <alignment horizontal="center"/>
    </xf>
    <xf numFmtId="0" fontId="25" fillId="0" borderId="0" xfId="21" applyFont="1" applyAlignment="1" applyProtection="1">
      <alignment horizontal="center" vertical="center"/>
      <protection locked="0"/>
    </xf>
    <xf numFmtId="0" fontId="14" fillId="6" borderId="9" xfId="30" applyFont="1" applyFill="1" applyBorder="1" applyAlignment="1" applyProtection="1">
      <alignment horizontal="left" vertical="center" wrapText="1"/>
      <protection locked="0"/>
    </xf>
    <xf numFmtId="0" fontId="14" fillId="6" borderId="0" xfId="30" applyFont="1" applyFill="1" applyAlignment="1" applyProtection="1">
      <alignment horizontal="left" vertical="center" wrapText="1"/>
      <protection locked="0"/>
    </xf>
    <xf numFmtId="0" fontId="17" fillId="3" borderId="53" xfId="9" applyFont="1" applyFill="1" applyBorder="1" applyAlignment="1" applyProtection="1">
      <alignment horizontal="center" vertical="center" wrapText="1"/>
      <protection locked="0"/>
    </xf>
    <xf numFmtId="0" fontId="17" fillId="3" borderId="5" xfId="9" applyFont="1" applyFill="1" applyBorder="1" applyAlignment="1" applyProtection="1">
      <alignment horizontal="center" vertical="center" wrapText="1"/>
      <protection locked="0"/>
    </xf>
    <xf numFmtId="0" fontId="17" fillId="3" borderId="4" xfId="9" applyFont="1" applyFill="1" applyBorder="1" applyAlignment="1" applyProtection="1">
      <alignment horizontal="center" vertical="center" wrapText="1"/>
      <protection locked="0"/>
    </xf>
    <xf numFmtId="0" fontId="14" fillId="0" borderId="0" xfId="9" applyFont="1" applyAlignment="1" applyProtection="1">
      <alignment horizontal="center" vertical="center" wrapText="1"/>
      <protection locked="0"/>
    </xf>
    <xf numFmtId="0" fontId="14" fillId="6" borderId="1" xfId="30" applyFont="1" applyFill="1" applyBorder="1" applyAlignment="1" applyProtection="1">
      <alignment horizontal="center" vertical="center" wrapText="1"/>
      <protection locked="0"/>
    </xf>
    <xf numFmtId="0" fontId="14" fillId="6" borderId="2" xfId="30" applyFont="1" applyFill="1" applyBorder="1" applyAlignment="1" applyProtection="1">
      <alignment horizontal="center" vertical="center" wrapText="1"/>
      <protection locked="0"/>
    </xf>
    <xf numFmtId="0" fontId="14" fillId="6" borderId="3" xfId="30" applyFont="1" applyFill="1" applyBorder="1" applyAlignment="1" applyProtection="1">
      <alignment horizontal="center" vertical="center" wrapText="1"/>
      <protection locked="0"/>
    </xf>
    <xf numFmtId="0" fontId="46" fillId="0" borderId="0" xfId="9" applyFont="1" applyAlignment="1" applyProtection="1">
      <alignment vertical="center"/>
      <protection locked="0"/>
    </xf>
    <xf numFmtId="0" fontId="46" fillId="0" borderId="0" xfId="9" applyFont="1" applyAlignment="1" applyProtection="1">
      <alignment vertical="center" wrapText="1"/>
      <protection hidden="1"/>
    </xf>
    <xf numFmtId="0" fontId="14" fillId="6" borderId="9" xfId="30" applyFont="1" applyFill="1" applyBorder="1" applyAlignment="1" applyProtection="1">
      <alignment vertical="center" wrapText="1"/>
      <protection locked="0"/>
    </xf>
    <xf numFmtId="0" fontId="13" fillId="0" borderId="0" xfId="30" applyAlignment="1" applyProtection="1">
      <alignment vertical="center" wrapText="1"/>
      <protection locked="0" hidden="1"/>
    </xf>
    <xf numFmtId="0" fontId="25" fillId="0" borderId="0" xfId="21" applyFont="1" applyAlignment="1" applyProtection="1">
      <alignment vertical="center"/>
      <protection hidden="1"/>
    </xf>
    <xf numFmtId="0" fontId="25" fillId="0" borderId="0" xfId="45" applyProtection="1">
      <protection locked="0"/>
    </xf>
    <xf numFmtId="0" fontId="32" fillId="0" borderId="0" xfId="57" applyProtection="1">
      <protection locked="0"/>
    </xf>
    <xf numFmtId="0" fontId="29" fillId="0" borderId="30" xfId="45" applyFont="1" applyBorder="1" applyAlignment="1" applyProtection="1">
      <alignment horizontal="center" vertical="center" wrapText="1"/>
      <protection locked="0"/>
    </xf>
    <xf numFmtId="0" fontId="29" fillId="0" borderId="31" xfId="45" applyFont="1" applyBorder="1" applyAlignment="1" applyProtection="1">
      <alignment horizontal="center" vertical="center" wrapText="1"/>
      <protection locked="0"/>
    </xf>
    <xf numFmtId="0" fontId="30" fillId="0" borderId="31" xfId="45" applyFont="1" applyBorder="1" applyAlignment="1" applyProtection="1">
      <alignment horizontal="center" vertical="center" wrapText="1"/>
      <protection locked="0"/>
    </xf>
    <xf numFmtId="179" fontId="18" fillId="3" borderId="51" xfId="45" applyNumberFormat="1" applyFont="1" applyFill="1" applyBorder="1" applyAlignment="1" applyProtection="1">
      <alignment horizontal="center" vertical="top" wrapText="1"/>
      <protection locked="0"/>
    </xf>
    <xf numFmtId="179" fontId="18" fillId="3" borderId="13" xfId="45" applyNumberFormat="1" applyFont="1" applyFill="1" applyBorder="1" applyAlignment="1" applyProtection="1">
      <alignment horizontal="center" vertical="center" wrapText="1"/>
      <protection locked="0"/>
    </xf>
    <xf numFmtId="0" fontId="24" fillId="0" borderId="16" xfId="45" applyFont="1" applyBorder="1" applyAlignment="1" applyProtection="1">
      <alignment horizontal="left" vertical="center" wrapText="1"/>
      <protection locked="0"/>
    </xf>
    <xf numFmtId="179" fontId="13" fillId="0" borderId="4" xfId="45" applyNumberFormat="1" applyFont="1" applyBorder="1" applyAlignment="1" applyProtection="1">
      <alignment horizontal="left" vertical="center" wrapText="1"/>
      <protection locked="0"/>
    </xf>
    <xf numFmtId="14" fontId="13" fillId="0" borderId="4" xfId="45" applyNumberFormat="1" applyFont="1" applyBorder="1" applyAlignment="1" applyProtection="1">
      <alignment horizontal="left" vertical="center" wrapText="1"/>
      <protection locked="0"/>
    </xf>
    <xf numFmtId="180" fontId="24" fillId="0" borderId="4" xfId="45" applyNumberFormat="1" applyFont="1" applyBorder="1" applyAlignment="1" applyProtection="1">
      <alignment horizontal="center" vertical="center"/>
      <protection locked="0"/>
    </xf>
    <xf numFmtId="9" fontId="14" fillId="0" borderId="4" xfId="46" applyNumberFormat="1" applyFont="1" applyFill="1" applyBorder="1" applyAlignment="1" applyProtection="1">
      <alignment horizontal="center" vertical="center"/>
      <protection locked="0"/>
    </xf>
    <xf numFmtId="180" fontId="14" fillId="0" borderId="4" xfId="45" applyNumberFormat="1" applyFont="1" applyBorder="1" applyAlignment="1" applyProtection="1">
      <alignment horizontal="center" vertical="center"/>
      <protection locked="0"/>
    </xf>
    <xf numFmtId="10" fontId="14" fillId="0" borderId="4" xfId="47" applyNumberFormat="1" applyFont="1" applyFill="1" applyBorder="1" applyAlignment="1" applyProtection="1">
      <alignment horizontal="center" vertical="center"/>
      <protection locked="0"/>
    </xf>
    <xf numFmtId="10" fontId="14" fillId="0" borderId="23" xfId="47" applyNumberFormat="1" applyFont="1" applyFill="1" applyBorder="1" applyAlignment="1" applyProtection="1">
      <alignment horizontal="center" vertical="center"/>
      <protection locked="0"/>
    </xf>
    <xf numFmtId="0" fontId="24" fillId="0" borderId="51" xfId="45" applyFont="1" applyBorder="1" applyAlignment="1" applyProtection="1">
      <alignment horizontal="left" vertical="center" wrapText="1"/>
      <protection locked="0"/>
    </xf>
    <xf numFmtId="179" fontId="13" fillId="0" borderId="13" xfId="45" applyNumberFormat="1" applyFont="1" applyBorder="1" applyAlignment="1" applyProtection="1">
      <alignment horizontal="left" vertical="center" wrapText="1"/>
      <protection locked="0"/>
    </xf>
    <xf numFmtId="180" fontId="24" fillId="0" borderId="13" xfId="45" applyNumberFormat="1" applyFont="1" applyBorder="1" applyAlignment="1" applyProtection="1">
      <alignment horizontal="center" vertical="center"/>
      <protection locked="0"/>
    </xf>
    <xf numFmtId="9" fontId="14" fillId="0" borderId="13" xfId="46" applyNumberFormat="1" applyFont="1" applyFill="1" applyBorder="1" applyAlignment="1" applyProtection="1">
      <alignment horizontal="center" vertical="center"/>
      <protection locked="0"/>
    </xf>
    <xf numFmtId="180" fontId="14" fillId="0" borderId="13" xfId="45" applyNumberFormat="1" applyFont="1" applyBorder="1" applyAlignment="1" applyProtection="1">
      <alignment horizontal="center" vertical="center"/>
      <protection locked="0"/>
    </xf>
    <xf numFmtId="10" fontId="14" fillId="0" borderId="13" xfId="47" applyNumberFormat="1" applyFont="1" applyFill="1" applyBorder="1" applyAlignment="1" applyProtection="1">
      <alignment horizontal="center" vertical="center"/>
      <protection locked="0"/>
    </xf>
    <xf numFmtId="10" fontId="14" fillId="0" borderId="14" xfId="47" applyNumberFormat="1" applyFont="1" applyFill="1" applyBorder="1" applyAlignment="1" applyProtection="1">
      <alignment horizontal="center" vertical="center"/>
      <protection locked="0"/>
    </xf>
    <xf numFmtId="0" fontId="24" fillId="0" borderId="0" xfId="45" applyFont="1" applyAlignment="1" applyProtection="1">
      <alignment horizontal="left" vertical="center" wrapText="1"/>
      <protection locked="0"/>
    </xf>
    <xf numFmtId="179" fontId="13" fillId="0" borderId="0" xfId="45" applyNumberFormat="1" applyFont="1" applyAlignment="1" applyProtection="1">
      <alignment horizontal="left" vertical="center" wrapText="1"/>
      <protection locked="0"/>
    </xf>
    <xf numFmtId="180" fontId="24" fillId="0" borderId="0" xfId="45" applyNumberFormat="1" applyFont="1" applyAlignment="1" applyProtection="1">
      <alignment horizontal="center" vertical="center"/>
      <protection locked="0"/>
    </xf>
    <xf numFmtId="9" fontId="14" fillId="0" borderId="0" xfId="46" applyNumberFormat="1" applyFont="1" applyFill="1" applyBorder="1" applyAlignment="1" applyProtection="1">
      <alignment horizontal="center" vertical="center"/>
      <protection locked="0"/>
    </xf>
    <xf numFmtId="180" fontId="14" fillId="0" borderId="0" xfId="45" applyNumberFormat="1" applyFont="1" applyAlignment="1" applyProtection="1">
      <alignment horizontal="center" vertical="center"/>
      <protection locked="0"/>
    </xf>
    <xf numFmtId="10" fontId="14" fillId="0" borderId="0" xfId="47" applyNumberFormat="1" applyFont="1" applyFill="1" applyBorder="1" applyAlignment="1" applyProtection="1">
      <alignment horizontal="center" vertical="center"/>
      <protection locked="0"/>
    </xf>
    <xf numFmtId="9" fontId="13" fillId="0" borderId="4" xfId="14" applyNumberFormat="1" applyBorder="1" applyAlignment="1" applyProtection="1">
      <alignment horizontal="center" vertical="center"/>
      <protection locked="0"/>
    </xf>
    <xf numFmtId="0" fontId="13" fillId="0" borderId="4" xfId="14" applyBorder="1" applyAlignment="1" applyProtection="1">
      <alignment horizontal="center" vertical="center" wrapText="1"/>
      <protection locked="0"/>
    </xf>
    <xf numFmtId="1" fontId="14" fillId="0" borderId="4" xfId="14" applyNumberFormat="1" applyFont="1" applyBorder="1" applyAlignment="1" applyProtection="1">
      <alignment horizontal="center" vertical="center" wrapText="1"/>
      <protection locked="0"/>
    </xf>
    <xf numFmtId="1" fontId="14" fillId="0" borderId="23" xfId="14" applyNumberFormat="1" applyFont="1" applyBorder="1" applyAlignment="1" applyProtection="1">
      <alignment horizontal="center" vertical="center" wrapText="1"/>
      <protection locked="0"/>
    </xf>
    <xf numFmtId="1" fontId="13" fillId="0" borderId="4" xfId="14" applyNumberFormat="1" applyBorder="1" applyAlignment="1" applyProtection="1">
      <alignment horizontal="center" vertical="center"/>
      <protection locked="0"/>
    </xf>
    <xf numFmtId="171" fontId="13" fillId="0" borderId="16" xfId="14" applyNumberFormat="1" applyBorder="1" applyAlignment="1" applyProtection="1">
      <alignment vertical="center"/>
      <protection locked="0"/>
    </xf>
    <xf numFmtId="171" fontId="13" fillId="0" borderId="4" xfId="14" applyNumberFormat="1" applyBorder="1" applyAlignment="1" applyProtection="1">
      <alignment vertical="center"/>
      <protection locked="0"/>
    </xf>
    <xf numFmtId="170" fontId="13" fillId="0" borderId="4" xfId="14" applyNumberFormat="1" applyBorder="1" applyAlignment="1" applyProtection="1">
      <alignment vertical="center"/>
      <protection locked="0"/>
    </xf>
    <xf numFmtId="170" fontId="13" fillId="0" borderId="23" xfId="14" applyNumberFormat="1" applyBorder="1" applyAlignment="1" applyProtection="1">
      <alignment vertical="center"/>
      <protection locked="0"/>
    </xf>
    <xf numFmtId="2" fontId="14" fillId="0" borderId="4" xfId="14" applyNumberFormat="1" applyFont="1" applyBorder="1" applyAlignment="1" applyProtection="1">
      <alignment horizontal="center" vertical="center" wrapText="1"/>
      <protection locked="0"/>
    </xf>
    <xf numFmtId="183" fontId="14" fillId="0" borderId="4" xfId="14" applyNumberFormat="1" applyFont="1" applyBorder="1" applyAlignment="1" applyProtection="1">
      <alignment horizontal="center" vertical="center" wrapText="1"/>
      <protection locked="0"/>
    </xf>
    <xf numFmtId="183" fontId="14" fillId="0" borderId="23" xfId="14" applyNumberFormat="1" applyFont="1" applyBorder="1" applyAlignment="1" applyProtection="1">
      <alignment horizontal="center" vertical="center" wrapText="1"/>
      <protection locked="0"/>
    </xf>
    <xf numFmtId="183" fontId="27" fillId="0" borderId="4" xfId="9" applyNumberFormat="1" applyFont="1" applyBorder="1" applyAlignment="1" applyProtection="1">
      <alignment horizontal="center" vertical="center"/>
      <protection locked="0"/>
    </xf>
    <xf numFmtId="171" fontId="13" fillId="0" borderId="16" xfId="9" applyNumberFormat="1" applyFont="1" applyBorder="1" applyAlignment="1" applyProtection="1">
      <alignment vertical="center"/>
      <protection locked="0"/>
    </xf>
    <xf numFmtId="171" fontId="13" fillId="0" borderId="4" xfId="9" applyNumberFormat="1" applyFont="1" applyBorder="1" applyAlignment="1" applyProtection="1">
      <alignment vertical="center"/>
      <protection locked="0"/>
    </xf>
    <xf numFmtId="2" fontId="16" fillId="0" borderId="4" xfId="7" applyNumberFormat="1" applyFont="1" applyFill="1" applyBorder="1" applyAlignment="1" applyProtection="1">
      <alignment horizontal="center" vertical="center" wrapText="1"/>
      <protection locked="0"/>
    </xf>
    <xf numFmtId="177" fontId="13" fillId="0" borderId="16" xfId="9" applyNumberFormat="1" applyFont="1" applyBorder="1" applyAlignment="1" applyProtection="1">
      <alignment vertical="center"/>
      <protection locked="0"/>
    </xf>
    <xf numFmtId="0" fontId="27" fillId="0" borderId="4" xfId="27" applyFont="1" applyBorder="1" applyAlignment="1" applyProtection="1">
      <alignment horizontal="center" vertical="center" wrapText="1"/>
      <protection locked="0"/>
    </xf>
    <xf numFmtId="177" fontId="27" fillId="0" borderId="4" xfId="7" applyNumberFormat="1" applyFont="1" applyFill="1" applyBorder="1" applyAlignment="1" applyProtection="1">
      <alignment horizontal="center" vertical="center" wrapText="1"/>
      <protection locked="0"/>
    </xf>
    <xf numFmtId="3" fontId="27" fillId="0" borderId="4" xfId="9" applyNumberFormat="1" applyFont="1" applyBorder="1" applyAlignment="1" applyProtection="1">
      <alignment horizontal="center" vertical="center" wrapText="1"/>
      <protection locked="0"/>
    </xf>
    <xf numFmtId="9" fontId="13" fillId="0" borderId="23" xfId="16" applyFont="1" applyFill="1" applyBorder="1" applyAlignment="1" applyProtection="1">
      <alignment vertical="center"/>
      <protection hidden="1"/>
    </xf>
    <xf numFmtId="9" fontId="13" fillId="0" borderId="14" xfId="16" applyFont="1" applyFill="1" applyBorder="1" applyAlignment="1" applyProtection="1">
      <alignment vertical="center"/>
      <protection hidden="1"/>
    </xf>
    <xf numFmtId="171" fontId="17" fillId="0" borderId="24" xfId="8" applyNumberFormat="1" applyFont="1" applyFill="1" applyBorder="1" applyAlignment="1" applyProtection="1">
      <alignment horizontal="right" vertical="center" wrapText="1"/>
      <protection locked="0"/>
    </xf>
    <xf numFmtId="171" fontId="16" fillId="0" borderId="23" xfId="8" applyNumberFormat="1" applyFont="1" applyFill="1" applyBorder="1" applyAlignment="1" applyProtection="1">
      <alignment horizontal="right" vertical="center" wrapText="1"/>
      <protection locked="0"/>
    </xf>
    <xf numFmtId="171" fontId="17" fillId="0" borderId="14" xfId="8" applyNumberFormat="1" applyFont="1" applyFill="1" applyBorder="1" applyAlignment="1" applyProtection="1">
      <alignment horizontal="right" vertical="center" wrapText="1"/>
      <protection locked="0"/>
    </xf>
    <xf numFmtId="9" fontId="17" fillId="0" borderId="4" xfId="9" applyNumberFormat="1" applyFont="1" applyBorder="1" applyAlignment="1" applyProtection="1">
      <alignment horizontal="right" vertical="center" wrapText="1"/>
      <protection locked="0"/>
    </xf>
    <xf numFmtId="9" fontId="17" fillId="0" borderId="4" xfId="9" applyNumberFormat="1" applyFont="1" applyBorder="1" applyAlignment="1" applyProtection="1">
      <alignment vertical="center" wrapText="1"/>
      <protection locked="0"/>
    </xf>
    <xf numFmtId="175" fontId="13" fillId="0" borderId="4" xfId="9" applyNumberFormat="1" applyFont="1" applyBorder="1" applyAlignment="1">
      <alignment vertical="center"/>
    </xf>
    <xf numFmtId="175" fontId="13" fillId="0" borderId="23" xfId="9" applyNumberFormat="1" applyFont="1" applyBorder="1" applyAlignment="1">
      <alignment vertical="center"/>
    </xf>
    <xf numFmtId="171" fontId="27" fillId="0" borderId="4" xfId="9" applyNumberFormat="1" applyFont="1" applyBorder="1" applyAlignment="1" applyProtection="1">
      <alignment horizontal="center" vertical="center" wrapText="1"/>
      <protection locked="0"/>
    </xf>
    <xf numFmtId="0" fontId="13" fillId="0" borderId="4" xfId="9" applyFont="1" applyBorder="1" applyAlignment="1">
      <alignment vertical="center"/>
    </xf>
    <xf numFmtId="171" fontId="13" fillId="0" borderId="13" xfId="9" applyNumberFormat="1" applyFont="1" applyBorder="1" applyAlignment="1" applyProtection="1">
      <alignment vertical="center"/>
      <protection locked="0"/>
    </xf>
    <xf numFmtId="0" fontId="13" fillId="0" borderId="13" xfId="9" applyFont="1" applyBorder="1" applyAlignment="1">
      <alignment vertical="center"/>
    </xf>
    <xf numFmtId="175" fontId="13" fillId="0" borderId="14" xfId="9" applyNumberFormat="1" applyFont="1" applyBorder="1" applyAlignment="1">
      <alignment vertical="center"/>
    </xf>
    <xf numFmtId="0" fontId="16" fillId="0" borderId="18" xfId="9" applyFont="1" applyBorder="1" applyAlignment="1" applyProtection="1">
      <alignment horizontal="left" vertical="center" wrapText="1"/>
      <protection locked="0"/>
    </xf>
    <xf numFmtId="0" fontId="16" fillId="0" borderId="7" xfId="9" applyFont="1" applyBorder="1" applyAlignment="1" applyProtection="1">
      <alignment horizontal="center" vertical="center" wrapText="1"/>
      <protection locked="0"/>
    </xf>
    <xf numFmtId="182" fontId="27" fillId="0" borderId="7" xfId="9" applyNumberFormat="1" applyFont="1" applyBorder="1" applyAlignment="1" applyProtection="1">
      <alignment horizontal="center" vertical="center"/>
      <protection locked="0"/>
    </xf>
    <xf numFmtId="171" fontId="16" fillId="0" borderId="8" xfId="8" applyNumberFormat="1" applyFont="1" applyFill="1" applyBorder="1" applyAlignment="1" applyProtection="1">
      <alignment horizontal="right" vertical="center" wrapText="1"/>
      <protection locked="0"/>
    </xf>
    <xf numFmtId="177" fontId="13" fillId="0" borderId="16" xfId="7" applyNumberFormat="1" applyFont="1" applyFill="1" applyBorder="1" applyAlignment="1" applyProtection="1">
      <alignment vertical="center"/>
      <protection locked="0"/>
    </xf>
    <xf numFmtId="177" fontId="13" fillId="0" borderId="51" xfId="7" applyNumberFormat="1" applyFont="1" applyFill="1" applyBorder="1" applyAlignment="1" applyProtection="1">
      <alignment vertical="center"/>
      <protection locked="0"/>
    </xf>
    <xf numFmtId="177" fontId="13" fillId="0" borderId="13" xfId="7" applyNumberFormat="1" applyFont="1" applyFill="1" applyBorder="1" applyAlignment="1" applyProtection="1">
      <alignment vertical="center"/>
      <protection locked="0"/>
    </xf>
    <xf numFmtId="177" fontId="13" fillId="0" borderId="14" xfId="7" applyNumberFormat="1" applyFont="1" applyFill="1" applyBorder="1" applyAlignment="1" applyProtection="1">
      <alignment vertical="center"/>
      <protection locked="0"/>
    </xf>
    <xf numFmtId="2" fontId="27" fillId="0" borderId="4" xfId="9" applyNumberFormat="1" applyFont="1" applyBorder="1" applyAlignment="1" applyProtection="1">
      <alignment horizontal="center" vertical="center"/>
      <protection locked="0"/>
    </xf>
    <xf numFmtId="177" fontId="13" fillId="0" borderId="19" xfId="7" applyNumberFormat="1" applyFont="1" applyFill="1" applyBorder="1" applyAlignment="1" applyProtection="1">
      <alignment vertical="center"/>
      <protection locked="0"/>
    </xf>
    <xf numFmtId="171" fontId="17" fillId="0" borderId="23" xfId="8" applyNumberFormat="1" applyFont="1" applyFill="1" applyBorder="1" applyAlignment="1" applyProtection="1">
      <alignment horizontal="right" vertical="center" wrapText="1"/>
      <protection locked="0"/>
    </xf>
    <xf numFmtId="177" fontId="16" fillId="0" borderId="23" xfId="7" applyNumberFormat="1" applyFont="1" applyFill="1" applyBorder="1" applyAlignment="1" applyProtection="1">
      <alignment horizontal="right" vertical="center" wrapText="1"/>
      <protection locked="0"/>
    </xf>
    <xf numFmtId="171" fontId="27" fillId="0" borderId="13" xfId="9" applyNumberFormat="1" applyFont="1" applyBorder="1" applyAlignment="1" applyProtection="1">
      <alignment horizontal="center" vertical="center" wrapText="1"/>
      <protection locked="0"/>
    </xf>
    <xf numFmtId="175" fontId="13" fillId="0" borderId="13" xfId="9" applyNumberFormat="1" applyFont="1" applyBorder="1" applyAlignment="1">
      <alignment vertical="center"/>
    </xf>
    <xf numFmtId="0" fontId="13" fillId="0" borderId="54" xfId="9" applyFont="1" applyBorder="1" applyProtection="1">
      <protection locked="0"/>
    </xf>
    <xf numFmtId="0" fontId="13" fillId="0" borderId="61" xfId="9" applyFont="1" applyBorder="1" applyProtection="1">
      <protection locked="0"/>
    </xf>
    <xf numFmtId="0" fontId="13" fillId="0" borderId="57" xfId="9" applyFont="1" applyBorder="1" applyProtection="1">
      <protection locked="0"/>
    </xf>
    <xf numFmtId="0" fontId="14" fillId="6" borderId="0" xfId="30" applyFont="1" applyFill="1" applyAlignment="1" applyProtection="1">
      <alignment vertical="center" wrapText="1"/>
      <protection locked="0"/>
    </xf>
    <xf numFmtId="0" fontId="13" fillId="0" borderId="53" xfId="30" applyBorder="1" applyAlignment="1" applyProtection="1">
      <alignment vertical="center" wrapText="1"/>
      <protection locked="0"/>
    </xf>
    <xf numFmtId="0" fontId="13" fillId="0" borderId="5" xfId="30" applyBorder="1" applyAlignment="1" applyProtection="1">
      <alignment vertical="center" wrapText="1"/>
      <protection locked="0"/>
    </xf>
    <xf numFmtId="177" fontId="13" fillId="0" borderId="5" xfId="7" applyNumberFormat="1" applyFont="1" applyFill="1" applyBorder="1" applyAlignment="1" applyProtection="1">
      <alignment vertical="center" wrapText="1"/>
      <protection locked="0"/>
    </xf>
    <xf numFmtId="0" fontId="13" fillId="0" borderId="18" xfId="30" applyBorder="1" applyAlignment="1" applyProtection="1">
      <alignment vertical="center" wrapText="1"/>
      <protection locked="0"/>
    </xf>
    <xf numFmtId="0" fontId="13" fillId="0" borderId="7" xfId="30" applyBorder="1" applyAlignment="1" applyProtection="1">
      <alignment vertical="center" wrapText="1"/>
      <protection locked="0"/>
    </xf>
    <xf numFmtId="177" fontId="13" fillId="0" borderId="7" xfId="7" applyNumberFormat="1" applyFont="1" applyFill="1" applyBorder="1" applyAlignment="1" applyProtection="1">
      <alignment vertical="center" wrapText="1"/>
      <protection locked="0"/>
    </xf>
    <xf numFmtId="177" fontId="13" fillId="0" borderId="8" xfId="7" applyNumberFormat="1" applyFont="1" applyFill="1" applyBorder="1" applyAlignment="1" applyProtection="1">
      <alignment vertical="center" wrapText="1"/>
      <protection locked="0"/>
    </xf>
    <xf numFmtId="177" fontId="14" fillId="6" borderId="24" xfId="7" applyNumberFormat="1" applyFont="1" applyFill="1" applyBorder="1" applyAlignment="1" applyProtection="1">
      <alignment horizontal="left" vertical="top" wrapText="1"/>
      <protection locked="0"/>
    </xf>
    <xf numFmtId="9" fontId="14" fillId="6" borderId="4" xfId="30" applyNumberFormat="1" applyFont="1" applyFill="1" applyBorder="1" applyAlignment="1" applyProtection="1">
      <alignment vertical="center" wrapText="1"/>
      <protection locked="0"/>
    </xf>
    <xf numFmtId="177" fontId="14" fillId="6" borderId="23" xfId="7" applyNumberFormat="1" applyFont="1" applyFill="1" applyBorder="1" applyAlignment="1" applyProtection="1">
      <alignment horizontal="left" vertical="top" wrapText="1"/>
      <protection locked="0"/>
    </xf>
    <xf numFmtId="177" fontId="14" fillId="6" borderId="14" xfId="7" applyNumberFormat="1" applyFont="1" applyFill="1" applyBorder="1" applyAlignment="1" applyProtection="1">
      <alignment horizontal="left" vertical="top" wrapText="1"/>
      <protection locked="0"/>
    </xf>
    <xf numFmtId="177" fontId="13" fillId="0" borderId="6" xfId="7" applyNumberFormat="1" applyFont="1" applyFill="1" applyBorder="1" applyAlignment="1" applyProtection="1">
      <alignment vertical="center" wrapText="1"/>
      <protection locked="0"/>
    </xf>
    <xf numFmtId="0" fontId="14" fillId="7" borderId="53" xfId="9" applyFont="1" applyFill="1" applyBorder="1" applyAlignment="1" applyProtection="1">
      <alignment horizontal="left" vertical="center" wrapText="1"/>
      <protection locked="0"/>
    </xf>
    <xf numFmtId="0" fontId="14" fillId="7" borderId="5" xfId="9" applyFont="1" applyFill="1" applyBorder="1" applyAlignment="1" applyProtection="1">
      <alignment horizontal="left" vertical="center" wrapText="1"/>
      <protection locked="0"/>
    </xf>
    <xf numFmtId="0" fontId="14" fillId="0" borderId="4" xfId="9" applyFont="1" applyBorder="1" applyAlignment="1" applyProtection="1">
      <alignment horizontal="center" vertical="center" wrapText="1"/>
      <protection locked="0"/>
    </xf>
    <xf numFmtId="0" fontId="14" fillId="0" borderId="13" xfId="9" applyFont="1" applyBorder="1" applyAlignment="1" applyProtection="1">
      <alignment horizontal="center" vertical="center" wrapText="1"/>
      <protection locked="0"/>
    </xf>
    <xf numFmtId="0" fontId="14" fillId="0" borderId="5" xfId="9" applyFont="1" applyBorder="1" applyAlignment="1" applyProtection="1">
      <alignment horizontal="center" vertical="center" wrapText="1"/>
      <protection locked="0"/>
    </xf>
    <xf numFmtId="0" fontId="14" fillId="0" borderId="2" xfId="9" applyFont="1" applyBorder="1" applyAlignment="1" applyProtection="1">
      <alignment horizontal="center" vertical="center" wrapText="1"/>
      <protection locked="0"/>
    </xf>
    <xf numFmtId="177" fontId="14" fillId="0" borderId="0" xfId="9" applyNumberFormat="1" applyFont="1" applyAlignment="1" applyProtection="1">
      <alignment horizontal="center" vertical="center"/>
      <protection locked="0"/>
    </xf>
    <xf numFmtId="0" fontId="14" fillId="0" borderId="0" xfId="9" applyFont="1" applyAlignment="1" applyProtection="1">
      <alignment horizontal="center" vertical="center"/>
      <protection locked="0"/>
    </xf>
    <xf numFmtId="0" fontId="13" fillId="0" borderId="0" xfId="9" applyFont="1" applyAlignment="1" applyProtection="1">
      <alignment horizontal="justify" vertical="top" wrapText="1"/>
      <protection locked="0"/>
    </xf>
    <xf numFmtId="0" fontId="14" fillId="0" borderId="0" xfId="9" applyFont="1" applyAlignment="1" applyProtection="1">
      <alignment horizontal="left" vertical="center" wrapText="1"/>
      <protection locked="0"/>
    </xf>
    <xf numFmtId="173" fontId="25" fillId="0" borderId="3" xfId="19" applyNumberFormat="1" applyFont="1" applyFill="1" applyBorder="1" applyAlignment="1" applyProtection="1">
      <alignment vertical="center"/>
      <protection locked="0"/>
    </xf>
    <xf numFmtId="0" fontId="25" fillId="0" borderId="3" xfId="21" applyFont="1" applyBorder="1" applyAlignment="1" applyProtection="1">
      <alignment vertical="center"/>
      <protection locked="0"/>
    </xf>
    <xf numFmtId="1" fontId="16" fillId="0" borderId="4" xfId="20" applyNumberFormat="1" applyFont="1" applyFill="1" applyBorder="1" applyAlignment="1" applyProtection="1">
      <alignment vertical="center" wrapText="1"/>
      <protection locked="0"/>
    </xf>
    <xf numFmtId="1" fontId="16" fillId="0" borderId="4" xfId="24" applyNumberFormat="1" applyFont="1" applyFill="1" applyBorder="1" applyAlignment="1" applyProtection="1">
      <alignment vertical="center" wrapText="1"/>
      <protection locked="0"/>
    </xf>
    <xf numFmtId="0" fontId="16" fillId="0" borderId="4" xfId="48" applyFont="1" applyBorder="1" applyAlignment="1" applyProtection="1">
      <alignment horizontal="left" vertical="center" wrapText="1"/>
      <protection locked="0"/>
    </xf>
    <xf numFmtId="172" fontId="25" fillId="0" borderId="0" xfId="49" applyNumberFormat="1" applyFont="1" applyAlignment="1" applyProtection="1">
      <alignment horizontal="justify" vertical="justify"/>
      <protection locked="0"/>
    </xf>
    <xf numFmtId="0" fontId="25" fillId="0" borderId="4" xfId="48" applyFont="1" applyBorder="1" applyAlignment="1" applyProtection="1">
      <alignment horizontal="left" vertical="center" wrapText="1"/>
      <protection locked="0"/>
    </xf>
    <xf numFmtId="172" fontId="25" fillId="0" borderId="4" xfId="49" applyNumberFormat="1" applyFont="1" applyFill="1" applyBorder="1" applyAlignment="1" applyProtection="1">
      <alignment horizontal="left" vertical="center"/>
      <protection locked="0"/>
    </xf>
    <xf numFmtId="172" fontId="25" fillId="0" borderId="4" xfId="49" applyNumberFormat="1" applyFont="1" applyFill="1" applyBorder="1" applyAlignment="1" applyProtection="1">
      <alignment horizontal="left" vertical="top" wrapText="1"/>
      <protection locked="0"/>
    </xf>
    <xf numFmtId="0" fontId="25" fillId="0" borderId="4" xfId="48" applyFont="1" applyBorder="1" applyAlignment="1" applyProtection="1">
      <alignment horizontal="left" vertical="top" wrapText="1"/>
      <protection locked="0"/>
    </xf>
    <xf numFmtId="172" fontId="25" fillId="0" borderId="4" xfId="49" applyNumberFormat="1" applyFont="1" applyFill="1" applyBorder="1" applyAlignment="1" applyProtection="1">
      <alignment horizontal="left" vertical="top"/>
      <protection locked="0"/>
    </xf>
    <xf numFmtId="172" fontId="24" fillId="6" borderId="4" xfId="49" applyNumberFormat="1" applyFont="1" applyFill="1" applyBorder="1" applyAlignment="1" applyProtection="1">
      <alignment horizontal="right" vertical="top" wrapText="1"/>
      <protection locked="0"/>
    </xf>
    <xf numFmtId="172" fontId="24" fillId="9" borderId="4" xfId="49" applyNumberFormat="1" applyFont="1" applyFill="1" applyBorder="1" applyAlignment="1" applyProtection="1">
      <alignment horizontal="right" vertical="top" wrapText="1"/>
      <protection locked="0"/>
    </xf>
    <xf numFmtId="0" fontId="24" fillId="0" borderId="0" xfId="48" applyFont="1" applyAlignment="1" applyProtection="1">
      <alignment horizontal="center" vertical="center" wrapText="1"/>
      <protection locked="0"/>
    </xf>
    <xf numFmtId="172" fontId="24" fillId="0" borderId="0" xfId="49" applyNumberFormat="1" applyFont="1" applyFill="1" applyBorder="1" applyAlignment="1" applyProtection="1">
      <alignment horizontal="center" vertical="center" wrapText="1"/>
      <protection locked="0"/>
    </xf>
    <xf numFmtId="0" fontId="13" fillId="2" borderId="0" xfId="9" applyFont="1" applyFill="1" applyProtection="1">
      <protection locked="0"/>
    </xf>
    <xf numFmtId="0" fontId="13" fillId="2" borderId="0" xfId="9" applyFont="1" applyFill="1" applyAlignment="1" applyProtection="1">
      <alignment horizontal="center" vertical="center"/>
      <protection locked="0"/>
    </xf>
    <xf numFmtId="177" fontId="13" fillId="0" borderId="4" xfId="7" applyNumberFormat="1" applyFont="1" applyBorder="1" applyAlignment="1" applyProtection="1">
      <alignment horizontal="center" vertical="center" wrapText="1"/>
      <protection locked="0"/>
    </xf>
    <xf numFmtId="173" fontId="13" fillId="0" borderId="4" xfId="30" applyNumberFormat="1" applyBorder="1" applyAlignment="1" applyProtection="1">
      <alignment horizontal="center" vertical="center" wrapText="1"/>
      <protection locked="0"/>
    </xf>
    <xf numFmtId="177" fontId="13" fillId="0" borderId="23" xfId="30" applyNumberFormat="1" applyBorder="1" applyAlignment="1" applyProtection="1">
      <alignment horizontal="center" vertical="center" wrapText="1"/>
      <protection locked="0"/>
    </xf>
    <xf numFmtId="0" fontId="13" fillId="0" borderId="51" xfId="30" applyBorder="1" applyAlignment="1" applyProtection="1">
      <alignment vertical="center" wrapText="1"/>
      <protection locked="0"/>
    </xf>
    <xf numFmtId="177" fontId="13" fillId="0" borderId="13" xfId="7" applyNumberFormat="1" applyFont="1" applyBorder="1" applyAlignment="1" applyProtection="1">
      <alignment horizontal="center" vertical="center" wrapText="1"/>
      <protection locked="0"/>
    </xf>
    <xf numFmtId="9" fontId="13" fillId="0" borderId="13" xfId="30" applyNumberFormat="1" applyBorder="1" applyAlignment="1" applyProtection="1">
      <alignment horizontal="center" vertical="center" wrapText="1"/>
      <protection locked="0"/>
    </xf>
    <xf numFmtId="173" fontId="13" fillId="0" borderId="13" xfId="30" applyNumberFormat="1" applyBorder="1" applyAlignment="1" applyProtection="1">
      <alignment horizontal="center" vertical="center" wrapText="1"/>
      <protection locked="0"/>
    </xf>
    <xf numFmtId="177" fontId="13" fillId="0" borderId="14" xfId="30" applyNumberFormat="1" applyBorder="1" applyAlignment="1" applyProtection="1">
      <alignment horizontal="center" vertical="center" wrapText="1"/>
      <protection locked="0"/>
    </xf>
    <xf numFmtId="0" fontId="14" fillId="6" borderId="16" xfId="30" applyFont="1" applyFill="1" applyBorder="1" applyAlignment="1" applyProtection="1">
      <alignment horizontal="right" vertical="center" wrapText="1"/>
      <protection locked="0"/>
    </xf>
    <xf numFmtId="0" fontId="14" fillId="3" borderId="16" xfId="30" applyFont="1" applyFill="1" applyBorder="1" applyAlignment="1" applyProtection="1">
      <alignment horizontal="center" vertical="center" wrapText="1"/>
      <protection locked="0"/>
    </xf>
    <xf numFmtId="0" fontId="14" fillId="3" borderId="4" xfId="30" applyFont="1" applyFill="1" applyBorder="1" applyAlignment="1" applyProtection="1">
      <alignment horizontal="center" vertical="center" wrapText="1"/>
      <protection locked="0"/>
    </xf>
    <xf numFmtId="0" fontId="14" fillId="3" borderId="23" xfId="30" applyFont="1" applyFill="1" applyBorder="1" applyAlignment="1" applyProtection="1">
      <alignment horizontal="center" vertical="center" wrapText="1"/>
      <protection locked="0"/>
    </xf>
    <xf numFmtId="177" fontId="13" fillId="0" borderId="7" xfId="7" applyNumberFormat="1" applyFont="1" applyBorder="1" applyAlignment="1" applyProtection="1">
      <alignment horizontal="center" vertical="center" wrapText="1"/>
      <protection locked="0"/>
    </xf>
    <xf numFmtId="173" fontId="13" fillId="0" borderId="7" xfId="30" applyNumberFormat="1" applyBorder="1" applyAlignment="1" applyProtection="1">
      <alignment horizontal="center" vertical="center" wrapText="1"/>
      <protection locked="0"/>
    </xf>
    <xf numFmtId="177" fontId="13" fillId="0" borderId="8" xfId="30" applyNumberFormat="1" applyBorder="1" applyAlignment="1" applyProtection="1">
      <alignment horizontal="center" vertical="center" wrapText="1"/>
      <protection locked="0"/>
    </xf>
    <xf numFmtId="0" fontId="14" fillId="6" borderId="30" xfId="30" applyFont="1" applyFill="1" applyBorder="1" applyAlignment="1" applyProtection="1">
      <alignment horizontal="right" vertical="center" wrapText="1"/>
      <protection locked="0"/>
    </xf>
    <xf numFmtId="0" fontId="13" fillId="0" borderId="4" xfId="9" applyFont="1" applyBorder="1" applyProtection="1">
      <protection locked="0"/>
    </xf>
    <xf numFmtId="177" fontId="13" fillId="0" borderId="1" xfId="7" applyNumberFormat="1" applyFont="1" applyFill="1" applyBorder="1" applyAlignment="1" applyProtection="1">
      <alignment horizontal="center" vertical="center" wrapText="1"/>
      <protection locked="0"/>
    </xf>
    <xf numFmtId="9" fontId="13" fillId="0" borderId="2" xfId="30" applyNumberFormat="1" applyBorder="1" applyAlignment="1" applyProtection="1">
      <alignment horizontal="center" vertical="center" wrapText="1"/>
      <protection locked="0"/>
    </xf>
    <xf numFmtId="173" fontId="13" fillId="0" borderId="2" xfId="30" applyNumberFormat="1" applyBorder="1" applyAlignment="1" applyProtection="1">
      <alignment horizontal="center" vertical="center" wrapText="1"/>
      <protection locked="0"/>
    </xf>
    <xf numFmtId="177" fontId="13" fillId="0" borderId="3" xfId="30" applyNumberFormat="1" applyBorder="1" applyAlignment="1" applyProtection="1">
      <alignment horizontal="center" vertical="center" wrapText="1"/>
      <protection locked="0"/>
    </xf>
    <xf numFmtId="9" fontId="13" fillId="0" borderId="5" xfId="30" applyNumberFormat="1" applyBorder="1" applyAlignment="1" applyProtection="1">
      <alignment horizontal="center" vertical="center" wrapText="1"/>
      <protection locked="0"/>
    </xf>
    <xf numFmtId="173" fontId="13" fillId="0" borderId="5" xfId="30" applyNumberFormat="1" applyBorder="1" applyAlignment="1" applyProtection="1">
      <alignment horizontal="center" vertical="center" wrapText="1"/>
      <protection locked="0"/>
    </xf>
    <xf numFmtId="177" fontId="13" fillId="0" borderId="6" xfId="30" applyNumberFormat="1" applyBorder="1" applyAlignment="1" applyProtection="1">
      <alignment horizontal="center" vertical="center" wrapText="1"/>
      <protection locked="0"/>
    </xf>
    <xf numFmtId="0" fontId="24" fillId="0" borderId="53" xfId="45" applyFont="1" applyBorder="1" applyAlignment="1" applyProtection="1">
      <alignment horizontal="left" vertical="center" wrapText="1"/>
      <protection locked="0"/>
    </xf>
    <xf numFmtId="179" fontId="13" fillId="0" borderId="5" xfId="45" applyNumberFormat="1" applyFont="1" applyBorder="1" applyAlignment="1" applyProtection="1">
      <alignment horizontal="left" vertical="center" wrapText="1"/>
      <protection locked="0"/>
    </xf>
    <xf numFmtId="14" fontId="13" fillId="0" borderId="5" xfId="45" applyNumberFormat="1" applyFont="1" applyBorder="1" applyAlignment="1" applyProtection="1">
      <alignment horizontal="left" vertical="center" wrapText="1"/>
      <protection locked="0"/>
    </xf>
    <xf numFmtId="180" fontId="24" fillId="0" borderId="5" xfId="45" applyNumberFormat="1" applyFont="1" applyBorder="1" applyAlignment="1" applyProtection="1">
      <alignment horizontal="center" vertical="center"/>
      <protection locked="0"/>
    </xf>
    <xf numFmtId="9" fontId="14" fillId="0" borderId="5" xfId="46" applyNumberFormat="1" applyFont="1" applyFill="1" applyBorder="1" applyAlignment="1" applyProtection="1">
      <alignment horizontal="center" vertical="center"/>
      <protection locked="0"/>
    </xf>
    <xf numFmtId="180" fontId="14" fillId="0" borderId="5" xfId="45" applyNumberFormat="1" applyFont="1" applyBorder="1" applyAlignment="1" applyProtection="1">
      <alignment horizontal="center" vertical="center"/>
      <protection locked="0"/>
    </xf>
    <xf numFmtId="10" fontId="14" fillId="0" borderId="5" xfId="47" applyNumberFormat="1" applyFont="1" applyFill="1" applyBorder="1" applyAlignment="1" applyProtection="1">
      <alignment horizontal="center" vertical="center"/>
      <protection locked="0"/>
    </xf>
    <xf numFmtId="10" fontId="14" fillId="0" borderId="6" xfId="47" applyNumberFormat="1" applyFont="1" applyFill="1" applyBorder="1" applyAlignment="1" applyProtection="1">
      <alignment horizontal="center" vertical="center"/>
      <protection locked="0"/>
    </xf>
    <xf numFmtId="175" fontId="14" fillId="0" borderId="5" xfId="46" applyNumberFormat="1" applyFont="1" applyFill="1" applyBorder="1" applyAlignment="1" applyProtection="1">
      <alignment horizontal="center" vertical="center"/>
      <protection locked="0"/>
    </xf>
    <xf numFmtId="177" fontId="13" fillId="0" borderId="53" xfId="7" applyNumberFormat="1" applyFont="1" applyFill="1" applyBorder="1" applyAlignment="1" applyProtection="1">
      <alignment horizontal="center" vertical="center" wrapText="1"/>
      <protection locked="0"/>
    </xf>
    <xf numFmtId="0" fontId="13" fillId="0" borderId="5" xfId="9" applyFont="1" applyBorder="1" applyAlignment="1" applyProtection="1">
      <alignment horizontal="left" vertical="top" wrapText="1"/>
      <protection locked="0"/>
    </xf>
    <xf numFmtId="177" fontId="13" fillId="0" borderId="6" xfId="7" applyNumberFormat="1" applyFont="1" applyFill="1" applyBorder="1" applyAlignment="1" applyProtection="1">
      <alignment horizontal="center" vertical="center" wrapText="1"/>
      <protection locked="0"/>
    </xf>
    <xf numFmtId="0" fontId="13" fillId="0" borderId="4" xfId="9" applyFont="1" applyBorder="1" applyAlignment="1" applyProtection="1">
      <alignment horizontal="left" vertical="top" wrapText="1"/>
      <protection locked="0"/>
    </xf>
    <xf numFmtId="9" fontId="13" fillId="0" borderId="58" xfId="30" applyNumberFormat="1" applyBorder="1" applyAlignment="1">
      <alignment vertical="center" wrapText="1"/>
    </xf>
    <xf numFmtId="0" fontId="13" fillId="0" borderId="58" xfId="30" applyBorder="1" applyAlignment="1">
      <alignment vertical="center" wrapText="1"/>
    </xf>
    <xf numFmtId="0" fontId="16" fillId="0" borderId="4" xfId="21" applyFont="1" applyBorder="1" applyAlignment="1" applyProtection="1">
      <alignment horizontal="left" vertical="center"/>
      <protection locked="0"/>
    </xf>
    <xf numFmtId="169" fontId="16" fillId="0" borderId="23" xfId="7" applyFont="1" applyFill="1" applyBorder="1" applyAlignment="1" applyProtection="1">
      <alignment horizontal="left" vertical="center"/>
      <protection hidden="1"/>
    </xf>
    <xf numFmtId="0" fontId="13" fillId="0" borderId="4" xfId="9" applyFont="1" applyBorder="1" applyAlignment="1" applyProtection="1">
      <alignment horizontal="center" vertical="center"/>
      <protection locked="0"/>
    </xf>
    <xf numFmtId="0" fontId="25" fillId="17" borderId="20" xfId="21" applyFont="1" applyFill="1" applyBorder="1" applyAlignment="1" applyProtection="1">
      <alignment vertical="center"/>
      <protection locked="0"/>
    </xf>
    <xf numFmtId="0" fontId="25" fillId="17" borderId="21" xfId="21" applyFont="1" applyFill="1" applyBorder="1" applyAlignment="1" applyProtection="1">
      <alignment vertical="center"/>
      <protection locked="0"/>
    </xf>
    <xf numFmtId="0" fontId="25" fillId="17" borderId="9" xfId="21" applyFont="1" applyFill="1" applyBorder="1" applyAlignment="1" applyProtection="1">
      <alignment vertical="center"/>
      <protection locked="0"/>
    </xf>
    <xf numFmtId="0" fontId="25" fillId="17" borderId="22" xfId="21" applyFont="1" applyFill="1" applyBorder="1" applyAlignment="1" applyProtection="1">
      <alignment vertical="center"/>
      <protection locked="0"/>
    </xf>
    <xf numFmtId="0" fontId="25" fillId="17" borderId="12" xfId="21" applyFont="1" applyFill="1" applyBorder="1" applyAlignment="1" applyProtection="1">
      <alignment vertical="center"/>
      <protection locked="0"/>
    </xf>
    <xf numFmtId="0" fontId="44" fillId="0" borderId="0" xfId="57" applyFont="1" applyAlignment="1" applyProtection="1">
      <alignment vertical="center"/>
      <protection locked="0"/>
    </xf>
    <xf numFmtId="171" fontId="44" fillId="0" borderId="0" xfId="57" applyNumberFormat="1" applyFont="1" applyAlignment="1" applyProtection="1">
      <alignment vertical="center"/>
      <protection locked="0"/>
    </xf>
    <xf numFmtId="0" fontId="13" fillId="0" borderId="14" xfId="9" applyFont="1" applyBorder="1" applyAlignment="1">
      <alignment horizontal="center" vertical="center"/>
    </xf>
    <xf numFmtId="0" fontId="13" fillId="0" borderId="14" xfId="9" applyFont="1" applyBorder="1" applyAlignment="1" applyProtection="1">
      <alignment horizontal="center" vertical="center"/>
      <protection locked="0"/>
    </xf>
    <xf numFmtId="0" fontId="13" fillId="0" borderId="13" xfId="9" applyFont="1" applyBorder="1" applyAlignment="1" applyProtection="1">
      <alignment horizontal="center" vertical="center"/>
      <protection locked="0"/>
    </xf>
    <xf numFmtId="0" fontId="44" fillId="0" borderId="0" xfId="57" applyFont="1"/>
    <xf numFmtId="0" fontId="13" fillId="0" borderId="53" xfId="0" applyFont="1" applyBorder="1" applyAlignment="1" applyProtection="1">
      <alignment vertical="center"/>
      <protection locked="0"/>
    </xf>
    <xf numFmtId="0" fontId="13" fillId="9" borderId="6" xfId="0" applyFont="1" applyFill="1" applyBorder="1" applyAlignment="1" applyProtection="1">
      <alignment vertical="center"/>
      <protection locked="0"/>
    </xf>
    <xf numFmtId="0" fontId="13" fillId="0" borderId="16" xfId="0" applyFont="1" applyBorder="1" applyAlignment="1" applyProtection="1">
      <alignment vertical="center"/>
      <protection locked="0"/>
    </xf>
    <xf numFmtId="0" fontId="13" fillId="16" borderId="23" xfId="0" applyFont="1" applyFill="1" applyBorder="1" applyAlignment="1" applyProtection="1">
      <alignment vertical="center"/>
      <protection locked="0"/>
    </xf>
    <xf numFmtId="0" fontId="13" fillId="0" borderId="51" xfId="0" applyFont="1" applyBorder="1" applyAlignment="1" applyProtection="1">
      <alignment vertical="center"/>
      <protection locked="0"/>
    </xf>
    <xf numFmtId="0" fontId="13" fillId="14" borderId="14" xfId="0" applyFont="1" applyFill="1" applyBorder="1" applyAlignment="1" applyProtection="1">
      <alignment vertical="center"/>
      <protection locked="0"/>
    </xf>
    <xf numFmtId="0" fontId="13" fillId="0" borderId="57" xfId="0" applyFont="1" applyBorder="1" applyAlignment="1" applyProtection="1">
      <alignment vertical="center"/>
      <protection locked="0"/>
    </xf>
    <xf numFmtId="0" fontId="13" fillId="15" borderId="15" xfId="0" applyFont="1" applyFill="1" applyBorder="1" applyAlignment="1" applyProtection="1">
      <alignment vertical="center"/>
      <protection locked="0"/>
    </xf>
    <xf numFmtId="0" fontId="14" fillId="6" borderId="4" xfId="30" applyFont="1" applyFill="1" applyBorder="1" applyAlignment="1">
      <alignment horizontal="center" vertical="center" wrapText="1"/>
    </xf>
    <xf numFmtId="10" fontId="25" fillId="18" borderId="4" xfId="16" applyNumberFormat="1" applyFont="1" applyFill="1" applyBorder="1" applyAlignment="1" applyProtection="1">
      <alignment vertical="center"/>
      <protection hidden="1"/>
    </xf>
    <xf numFmtId="10" fontId="25" fillId="0" borderId="4" xfId="16" applyNumberFormat="1" applyFont="1" applyBorder="1" applyAlignment="1" applyProtection="1">
      <alignment vertical="center"/>
      <protection hidden="1"/>
    </xf>
    <xf numFmtId="2" fontId="15" fillId="0" borderId="0" xfId="9" applyNumberFormat="1" applyFont="1" applyAlignment="1" applyProtection="1">
      <alignment vertical="center"/>
      <protection locked="0"/>
    </xf>
    <xf numFmtId="169" fontId="15" fillId="0" borderId="0" xfId="7" applyFont="1" applyAlignment="1" applyProtection="1">
      <alignment vertical="center"/>
      <protection locked="0"/>
    </xf>
    <xf numFmtId="177" fontId="15" fillId="0" borderId="0" xfId="7" applyNumberFormat="1" applyFont="1" applyAlignment="1" applyProtection="1">
      <alignment vertical="center"/>
      <protection locked="0"/>
    </xf>
    <xf numFmtId="177" fontId="15" fillId="0" borderId="0" xfId="9" applyNumberFormat="1" applyFont="1" applyAlignment="1" applyProtection="1">
      <alignment vertical="center"/>
      <protection locked="0"/>
    </xf>
    <xf numFmtId="175" fontId="14" fillId="0" borderId="0" xfId="9" applyNumberFormat="1" applyFont="1" applyAlignment="1">
      <alignment vertical="center"/>
    </xf>
    <xf numFmtId="167" fontId="15" fillId="0" borderId="0" xfId="9" applyNumberFormat="1" applyFont="1" applyAlignment="1" applyProtection="1">
      <alignment vertical="center"/>
      <protection locked="0"/>
    </xf>
    <xf numFmtId="175" fontId="15" fillId="0" borderId="0" xfId="9" applyNumberFormat="1" applyFont="1" applyAlignment="1" applyProtection="1">
      <alignment vertical="center"/>
      <protection hidden="1"/>
    </xf>
    <xf numFmtId="0" fontId="15" fillId="0" borderId="0" xfId="9" applyFont="1" applyAlignment="1" applyProtection="1">
      <alignment vertical="center"/>
      <protection locked="0"/>
    </xf>
    <xf numFmtId="1" fontId="14" fillId="0" borderId="37" xfId="14" applyNumberFormat="1" applyFont="1" applyBorder="1" applyAlignment="1" applyProtection="1">
      <alignment horizontal="center" vertical="center" wrapText="1"/>
      <protection locked="0"/>
    </xf>
    <xf numFmtId="167" fontId="15" fillId="0" borderId="0" xfId="14" applyNumberFormat="1" applyFont="1" applyAlignment="1" applyProtection="1">
      <alignment vertical="center"/>
      <protection locked="0"/>
    </xf>
    <xf numFmtId="178" fontId="15" fillId="0" borderId="0" xfId="14" applyNumberFormat="1" applyFont="1" applyAlignment="1" applyProtection="1">
      <alignment vertical="center"/>
      <protection locked="0"/>
    </xf>
    <xf numFmtId="0" fontId="14" fillId="9" borderId="4" xfId="9" applyFont="1" applyFill="1" applyBorder="1" applyAlignment="1" applyProtection="1">
      <alignment horizontal="justify" vertical="justify" wrapText="1"/>
      <protection locked="0"/>
    </xf>
    <xf numFmtId="175" fontId="14" fillId="9" borderId="4" xfId="16" applyNumberFormat="1" applyFont="1" applyFill="1" applyBorder="1" applyAlignment="1" applyProtection="1">
      <alignment horizontal="center" vertical="center" wrapText="1"/>
      <protection hidden="1"/>
    </xf>
    <xf numFmtId="175" fontId="13" fillId="0" borderId="4" xfId="14" applyNumberFormat="1" applyBorder="1" applyAlignment="1" applyProtection="1">
      <alignment horizontal="center" vertical="center"/>
      <protection hidden="1"/>
    </xf>
    <xf numFmtId="175" fontId="13" fillId="9" borderId="4" xfId="14" applyNumberFormat="1" applyFill="1" applyBorder="1" applyAlignment="1" applyProtection="1">
      <alignment horizontal="center" vertical="center"/>
      <protection hidden="1"/>
    </xf>
    <xf numFmtId="175" fontId="13" fillId="6" borderId="4" xfId="14" applyNumberFormat="1" applyFill="1" applyBorder="1" applyAlignment="1" applyProtection="1">
      <alignment horizontal="center" vertical="center"/>
      <protection hidden="1"/>
    </xf>
    <xf numFmtId="0" fontId="13" fillId="9" borderId="4" xfId="9" applyFont="1" applyFill="1" applyBorder="1" applyAlignment="1" applyProtection="1">
      <alignment horizontal="justify" vertical="center" wrapText="1"/>
      <protection locked="0"/>
    </xf>
    <xf numFmtId="0" fontId="13" fillId="0" borderId="4" xfId="9" applyFont="1" applyBorder="1" applyAlignment="1" applyProtection="1">
      <alignment horizontal="justify" vertical="center" wrapText="1"/>
      <protection locked="0"/>
    </xf>
    <xf numFmtId="182" fontId="27" fillId="0" borderId="4" xfId="9" applyNumberFormat="1" applyFont="1" applyBorder="1" applyAlignment="1" applyProtection="1">
      <alignment horizontal="center" vertical="center" wrapText="1"/>
      <protection locked="0"/>
    </xf>
    <xf numFmtId="183" fontId="13" fillId="6" borderId="4" xfId="14" applyNumberFormat="1" applyFill="1" applyBorder="1" applyAlignment="1" applyProtection="1">
      <alignment horizontal="center" vertical="center"/>
      <protection locked="0"/>
    </xf>
    <xf numFmtId="183" fontId="13" fillId="0" borderId="4" xfId="14" applyNumberFormat="1" applyBorder="1" applyAlignment="1" applyProtection="1">
      <alignment horizontal="center" vertical="center"/>
      <protection locked="0"/>
    </xf>
    <xf numFmtId="0" fontId="0" fillId="0" borderId="0" xfId="0" applyAlignment="1" applyProtection="1">
      <alignment vertical="top" wrapText="1"/>
      <protection locked="0"/>
    </xf>
    <xf numFmtId="0" fontId="13" fillId="0" borderId="4" xfId="30" applyBorder="1" applyAlignment="1" applyProtection="1">
      <alignment horizontal="center" vertical="center" wrapText="1"/>
      <protection locked="0"/>
    </xf>
    <xf numFmtId="0" fontId="12" fillId="0" borderId="0" xfId="0" applyFont="1" applyAlignment="1" applyProtection="1">
      <alignment vertical="top" wrapText="1"/>
      <protection locked="0"/>
    </xf>
    <xf numFmtId="2" fontId="13" fillId="0" borderId="4" xfId="14" applyNumberFormat="1" applyBorder="1" applyAlignment="1" applyProtection="1">
      <alignment horizontal="center" vertical="center"/>
      <protection locked="0"/>
    </xf>
    <xf numFmtId="2" fontId="13" fillId="6" borderId="4" xfId="14" applyNumberFormat="1" applyFill="1" applyBorder="1" applyAlignment="1" applyProtection="1">
      <alignment horizontal="center" vertical="center"/>
      <protection locked="0"/>
    </xf>
    <xf numFmtId="0" fontId="37" fillId="0" borderId="0" xfId="10" applyFont="1" applyAlignment="1" applyProtection="1">
      <alignment vertical="center" wrapText="1"/>
      <protection locked="0"/>
    </xf>
    <xf numFmtId="0" fontId="36" fillId="0" borderId="0" xfId="10" applyFont="1" applyAlignment="1" applyProtection="1">
      <alignment horizontal="center" vertical="center" wrapText="1"/>
      <protection locked="0"/>
    </xf>
    <xf numFmtId="10" fontId="13" fillId="0" borderId="0" xfId="16" applyNumberFormat="1" applyFont="1" applyAlignment="1" applyProtection="1">
      <alignment vertical="center"/>
      <protection locked="0"/>
    </xf>
    <xf numFmtId="184" fontId="13" fillId="0" borderId="0" xfId="58" applyNumberFormat="1" applyFont="1" applyAlignment="1" applyProtection="1">
      <alignment vertical="center"/>
      <protection locked="0"/>
    </xf>
    <xf numFmtId="164" fontId="13" fillId="0" borderId="0" xfId="14" applyNumberFormat="1" applyAlignment="1" applyProtection="1">
      <alignment vertical="center"/>
      <protection locked="0"/>
    </xf>
    <xf numFmtId="0" fontId="14" fillId="0" borderId="0" xfId="14" applyFont="1" applyAlignment="1" applyProtection="1">
      <alignment vertical="justify"/>
      <protection locked="0"/>
    </xf>
    <xf numFmtId="1" fontId="25" fillId="0" borderId="0" xfId="48" applyNumberFormat="1" applyFont="1" applyAlignment="1" applyProtection="1">
      <alignment horizontal="justify" vertical="justify"/>
      <protection locked="0"/>
    </xf>
    <xf numFmtId="0" fontId="49" fillId="0" borderId="0" xfId="0" applyFont="1" applyProtection="1">
      <protection locked="0"/>
    </xf>
    <xf numFmtId="0" fontId="13" fillId="0" borderId="11" xfId="14" applyBorder="1" applyAlignment="1" applyProtection="1">
      <alignment horizontal="left" vertical="center" wrapText="1"/>
      <protection locked="0"/>
    </xf>
    <xf numFmtId="0" fontId="13" fillId="0" borderId="27" xfId="14" applyBorder="1" applyAlignment="1" applyProtection="1">
      <alignment horizontal="left" vertical="center" wrapText="1"/>
      <protection locked="0"/>
    </xf>
    <xf numFmtId="0" fontId="37" fillId="0" borderId="10" xfId="14" applyFont="1" applyBorder="1" applyAlignment="1" applyProtection="1">
      <alignment horizontal="left" vertical="center" wrapText="1"/>
      <protection locked="0"/>
    </xf>
    <xf numFmtId="0" fontId="25" fillId="0" borderId="0" xfId="48" applyFont="1" applyAlignment="1" applyProtection="1">
      <alignment horizontal="justify" vertical="center"/>
      <protection locked="0"/>
    </xf>
    <xf numFmtId="0" fontId="44" fillId="0" borderId="16" xfId="57" applyFont="1" applyFill="1" applyBorder="1" applyAlignment="1" applyProtection="1">
      <alignment horizontal="justify" vertical="center"/>
      <protection locked="0"/>
    </xf>
    <xf numFmtId="0" fontId="44" fillId="0" borderId="4" xfId="57" applyFont="1" applyFill="1" applyBorder="1" applyAlignment="1" applyProtection="1">
      <alignment horizontal="justify" vertical="center"/>
      <protection locked="0"/>
    </xf>
    <xf numFmtId="0" fontId="13" fillId="0" borderId="4" xfId="0" applyFont="1" applyBorder="1" applyAlignment="1" applyProtection="1">
      <alignment horizontal="justify" vertical="center" wrapText="1"/>
      <protection locked="0"/>
    </xf>
    <xf numFmtId="0" fontId="13" fillId="0" borderId="23" xfId="0" applyFont="1" applyBorder="1" applyAlignment="1" applyProtection="1">
      <alignment horizontal="justify" vertical="center" wrapText="1"/>
      <protection locked="0"/>
    </xf>
    <xf numFmtId="0" fontId="13" fillId="3" borderId="25" xfId="0" applyFont="1" applyFill="1" applyBorder="1" applyAlignment="1" applyProtection="1">
      <alignment horizontal="justify" vertical="center" wrapText="1"/>
      <protection locked="0"/>
    </xf>
    <xf numFmtId="0" fontId="13" fillId="3" borderId="38" xfId="0" applyFont="1" applyFill="1" applyBorder="1" applyAlignment="1" applyProtection="1">
      <alignment horizontal="justify" vertical="center"/>
      <protection locked="0"/>
    </xf>
    <xf numFmtId="0" fontId="13" fillId="3" borderId="45" xfId="0" applyFont="1" applyFill="1" applyBorder="1" applyAlignment="1" applyProtection="1">
      <alignment horizontal="justify" vertical="center"/>
      <protection locked="0"/>
    </xf>
    <xf numFmtId="0" fontId="13" fillId="0" borderId="13" xfId="0" applyFont="1" applyBorder="1" applyAlignment="1" applyProtection="1">
      <alignment horizontal="justify" vertical="center" wrapText="1"/>
      <protection locked="0"/>
    </xf>
    <xf numFmtId="0" fontId="13" fillId="0" borderId="14" xfId="0" applyFont="1" applyBorder="1" applyAlignment="1" applyProtection="1">
      <alignment horizontal="justify" vertical="center" wrapText="1"/>
      <protection locked="0"/>
    </xf>
    <xf numFmtId="0" fontId="14" fillId="10" borderId="13" xfId="0" applyFont="1" applyFill="1" applyBorder="1" applyAlignment="1" applyProtection="1">
      <alignment horizontal="center" vertical="center"/>
      <protection locked="0"/>
    </xf>
    <xf numFmtId="0" fontId="14" fillId="13" borderId="26" xfId="0" applyFont="1" applyFill="1" applyBorder="1" applyAlignment="1" applyProtection="1">
      <alignment horizontal="left" vertical="center"/>
      <protection locked="0"/>
    </xf>
    <xf numFmtId="0" fontId="14" fillId="13" borderId="17" xfId="0" applyFont="1" applyFill="1" applyBorder="1" applyAlignment="1" applyProtection="1">
      <alignment horizontal="left" vertical="center"/>
      <protection locked="0"/>
    </xf>
    <xf numFmtId="0" fontId="14" fillId="13" borderId="68" xfId="0" applyFont="1" applyFill="1" applyBorder="1" applyAlignment="1" applyProtection="1">
      <alignment horizontal="left" vertical="center"/>
      <protection locked="0"/>
    </xf>
    <xf numFmtId="0" fontId="44" fillId="0" borderId="16" xfId="57" applyFont="1" applyBorder="1" applyAlignment="1" applyProtection="1">
      <alignment horizontal="justify" vertical="center"/>
      <protection locked="0"/>
    </xf>
    <xf numFmtId="0" fontId="44" fillId="0" borderId="4" xfId="57" applyFont="1" applyBorder="1" applyAlignment="1" applyProtection="1">
      <alignment horizontal="justify" vertical="center"/>
      <protection locked="0"/>
    </xf>
    <xf numFmtId="0" fontId="44" fillId="0" borderId="16" xfId="57" applyFont="1" applyFill="1" applyBorder="1" applyAlignment="1" applyProtection="1">
      <alignment horizontal="justify" vertical="center" wrapText="1"/>
      <protection locked="0"/>
    </xf>
    <xf numFmtId="0" fontId="44" fillId="0" borderId="4" xfId="57" applyFont="1" applyFill="1" applyBorder="1" applyAlignment="1" applyProtection="1">
      <alignment horizontal="justify" vertical="center" wrapText="1"/>
      <protection locked="0"/>
    </xf>
    <xf numFmtId="0" fontId="44" fillId="0" borderId="16" xfId="57" applyFont="1" applyBorder="1" applyAlignment="1" applyProtection="1">
      <alignment horizontal="left" vertical="center" wrapText="1"/>
      <protection locked="0"/>
    </xf>
    <xf numFmtId="0" fontId="44" fillId="0" borderId="4" xfId="57" applyFont="1" applyBorder="1" applyAlignment="1" applyProtection="1">
      <alignment horizontal="left" vertical="center" wrapText="1"/>
      <protection locked="0"/>
    </xf>
    <xf numFmtId="0" fontId="13" fillId="3" borderId="1" xfId="0" applyFont="1" applyFill="1" applyBorder="1" applyAlignment="1" applyProtection="1">
      <alignment horizontal="justify" vertical="center" wrapText="1"/>
      <protection locked="0"/>
    </xf>
    <xf numFmtId="0" fontId="13" fillId="3" borderId="2" xfId="0" applyFont="1" applyFill="1" applyBorder="1" applyAlignment="1" applyProtection="1">
      <alignment horizontal="justify" vertical="center" wrapText="1"/>
      <protection locked="0"/>
    </xf>
    <xf numFmtId="0" fontId="13" fillId="3" borderId="3" xfId="0" applyFont="1" applyFill="1" applyBorder="1" applyAlignment="1" applyProtection="1">
      <alignment horizontal="justify" vertical="center" wrapText="1"/>
      <protection locked="0"/>
    </xf>
    <xf numFmtId="0" fontId="14" fillId="13" borderId="25" xfId="0" applyFont="1" applyFill="1" applyBorder="1" applyAlignment="1" applyProtection="1">
      <alignment horizontal="left" vertical="center"/>
      <protection locked="0"/>
    </xf>
    <xf numFmtId="0" fontId="14" fillId="13" borderId="38" xfId="0" applyFont="1" applyFill="1" applyBorder="1" applyAlignment="1" applyProtection="1">
      <alignment horizontal="left" vertical="center"/>
      <protection locked="0"/>
    </xf>
    <xf numFmtId="0" fontId="14" fillId="13" borderId="45" xfId="0" applyFont="1" applyFill="1" applyBorder="1" applyAlignment="1" applyProtection="1">
      <alignment horizontal="left" vertical="center"/>
      <protection locked="0"/>
    </xf>
    <xf numFmtId="0" fontId="44" fillId="0" borderId="16" xfId="57" applyFont="1" applyFill="1" applyBorder="1" applyAlignment="1" applyProtection="1">
      <alignment horizontal="left" vertical="center" wrapText="1"/>
      <protection locked="0"/>
    </xf>
    <xf numFmtId="0" fontId="44" fillId="0" borderId="4" xfId="57" applyFont="1" applyFill="1" applyBorder="1" applyAlignment="1" applyProtection="1">
      <alignment horizontal="left" vertical="center" wrapText="1"/>
      <protection locked="0"/>
    </xf>
    <xf numFmtId="0" fontId="14" fillId="10" borderId="30" xfId="0" applyFont="1" applyFill="1" applyBorder="1" applyAlignment="1" applyProtection="1">
      <alignment horizontal="center" vertical="center"/>
      <protection locked="0"/>
    </xf>
    <xf numFmtId="0" fontId="14" fillId="10" borderId="31" xfId="0" applyFont="1" applyFill="1" applyBorder="1" applyAlignment="1" applyProtection="1">
      <alignment horizontal="center" vertical="center"/>
      <protection locked="0"/>
    </xf>
    <xf numFmtId="0" fontId="44" fillId="0" borderId="51" xfId="57" applyFont="1" applyFill="1" applyBorder="1" applyAlignment="1" applyProtection="1">
      <alignment horizontal="justify" vertical="center" wrapText="1"/>
      <protection locked="0"/>
    </xf>
    <xf numFmtId="0" fontId="44" fillId="0" borderId="13" xfId="57" applyFont="1" applyFill="1" applyBorder="1" applyAlignment="1" applyProtection="1">
      <alignment horizontal="justify" vertical="center" wrapText="1"/>
      <protection locked="0"/>
    </xf>
    <xf numFmtId="0" fontId="14" fillId="10" borderId="51" xfId="0" applyFont="1" applyFill="1" applyBorder="1" applyAlignment="1" applyProtection="1">
      <alignment horizontal="center" vertical="center"/>
      <protection locked="0"/>
    </xf>
    <xf numFmtId="0" fontId="14" fillId="10" borderId="24" xfId="0" applyFont="1" applyFill="1" applyBorder="1" applyAlignment="1" applyProtection="1">
      <alignment horizontal="center" vertical="center"/>
      <protection locked="0"/>
    </xf>
    <xf numFmtId="0" fontId="13" fillId="0" borderId="30" xfId="14" applyBorder="1" applyAlignment="1" applyProtection="1">
      <alignment horizontal="center" vertical="center"/>
      <protection locked="0"/>
    </xf>
    <xf numFmtId="0" fontId="13" fillId="0" borderId="31" xfId="14" applyBorder="1" applyAlignment="1" applyProtection="1">
      <alignment horizontal="center" vertical="center"/>
      <protection locked="0"/>
    </xf>
    <xf numFmtId="0" fontId="13" fillId="0" borderId="16" xfId="14" applyBorder="1" applyAlignment="1" applyProtection="1">
      <alignment horizontal="center" vertical="center"/>
      <protection locked="0"/>
    </xf>
    <xf numFmtId="0" fontId="13" fillId="0" borderId="4" xfId="14" applyBorder="1" applyAlignment="1" applyProtection="1">
      <alignment horizontal="center" vertical="center"/>
      <protection locked="0"/>
    </xf>
    <xf numFmtId="0" fontId="13" fillId="0" borderId="51" xfId="14" applyBorder="1" applyAlignment="1" applyProtection="1">
      <alignment horizontal="center" vertical="center"/>
      <protection locked="0"/>
    </xf>
    <xf numFmtId="0" fontId="13" fillId="0" borderId="13" xfId="14" applyBorder="1" applyAlignment="1" applyProtection="1">
      <alignment horizontal="center" vertical="center"/>
      <protection locked="0"/>
    </xf>
    <xf numFmtId="0" fontId="14" fillId="9" borderId="18" xfId="0" applyFont="1" applyFill="1" applyBorder="1" applyAlignment="1" applyProtection="1">
      <alignment horizontal="center" vertical="center"/>
      <protection locked="0"/>
    </xf>
    <xf numFmtId="0" fontId="14" fillId="9" borderId="7" xfId="0" applyFont="1" applyFill="1" applyBorder="1" applyAlignment="1" applyProtection="1">
      <alignment horizontal="center" vertical="center"/>
      <protection locked="0"/>
    </xf>
    <xf numFmtId="0" fontId="14" fillId="9" borderId="8" xfId="0" applyFont="1" applyFill="1" applyBorder="1" applyAlignment="1" applyProtection="1">
      <alignment horizontal="center" vertical="center"/>
      <protection locked="0"/>
    </xf>
    <xf numFmtId="0" fontId="13" fillId="0" borderId="24" xfId="14" applyBorder="1" applyAlignment="1" applyProtection="1">
      <alignment horizontal="center" vertical="center"/>
      <protection locked="0"/>
    </xf>
    <xf numFmtId="0" fontId="13" fillId="0" borderId="23" xfId="14" applyBorder="1" applyAlignment="1" applyProtection="1">
      <alignment horizontal="center" vertical="center"/>
      <protection locked="0"/>
    </xf>
    <xf numFmtId="0" fontId="13" fillId="0" borderId="14" xfId="14" applyBorder="1" applyAlignment="1" applyProtection="1">
      <alignment horizontal="center" vertical="center"/>
      <protection locked="0"/>
    </xf>
    <xf numFmtId="0" fontId="13" fillId="3" borderId="10" xfId="0" applyFont="1" applyFill="1" applyBorder="1" applyAlignment="1" applyProtection="1">
      <alignment horizontal="justify" vertical="center" wrapText="1"/>
      <protection locked="0"/>
    </xf>
    <xf numFmtId="0" fontId="13" fillId="3" borderId="11" xfId="0" applyFont="1" applyFill="1" applyBorder="1" applyAlignment="1" applyProtection="1">
      <alignment horizontal="justify" vertical="center"/>
      <protection locked="0"/>
    </xf>
    <xf numFmtId="0" fontId="13" fillId="3" borderId="27" xfId="0" applyFont="1" applyFill="1" applyBorder="1" applyAlignment="1" applyProtection="1">
      <alignment horizontal="justify" vertical="center"/>
      <protection locked="0"/>
    </xf>
    <xf numFmtId="0" fontId="14" fillId="9" borderId="30" xfId="0" applyFont="1" applyFill="1" applyBorder="1" applyAlignment="1" applyProtection="1">
      <alignment horizontal="center" vertical="center"/>
      <protection locked="0"/>
    </xf>
    <xf numFmtId="0" fontId="14" fillId="9" borderId="31" xfId="0" applyFont="1" applyFill="1" applyBorder="1" applyAlignment="1" applyProtection="1">
      <alignment horizontal="center" vertical="center"/>
      <protection locked="0"/>
    </xf>
    <xf numFmtId="0" fontId="14" fillId="9" borderId="24" xfId="0" applyFont="1" applyFill="1" applyBorder="1" applyAlignment="1" applyProtection="1">
      <alignment horizontal="center" vertical="center"/>
      <protection locked="0"/>
    </xf>
    <xf numFmtId="0" fontId="44" fillId="0" borderId="51" xfId="57" applyFont="1" applyBorder="1" applyAlignment="1" applyProtection="1">
      <alignment horizontal="left" vertical="center" wrapText="1"/>
      <protection locked="0"/>
    </xf>
    <xf numFmtId="0" fontId="44" fillId="0" borderId="13" xfId="57" applyFont="1" applyBorder="1" applyAlignment="1" applyProtection="1">
      <alignment horizontal="left" vertical="center" wrapText="1"/>
      <protection locked="0"/>
    </xf>
    <xf numFmtId="0" fontId="14" fillId="11" borderId="30" xfId="0" applyFont="1" applyFill="1" applyBorder="1" applyAlignment="1" applyProtection="1">
      <alignment horizontal="center" vertical="center"/>
      <protection locked="0"/>
    </xf>
    <xf numFmtId="0" fontId="14" fillId="11" borderId="31" xfId="0" applyFont="1" applyFill="1" applyBorder="1" applyAlignment="1" applyProtection="1">
      <alignment horizontal="center" vertical="center"/>
      <protection locked="0"/>
    </xf>
    <xf numFmtId="0" fontId="14" fillId="11" borderId="24" xfId="0" applyFont="1" applyFill="1" applyBorder="1" applyAlignment="1" applyProtection="1">
      <alignment horizontal="center" vertical="center"/>
      <protection locked="0"/>
    </xf>
    <xf numFmtId="0" fontId="14" fillId="11" borderId="51" xfId="0" applyFont="1" applyFill="1" applyBorder="1" applyAlignment="1" applyProtection="1">
      <alignment horizontal="center" vertical="center"/>
      <protection locked="0"/>
    </xf>
    <xf numFmtId="0" fontId="14" fillId="11" borderId="13" xfId="0" applyFont="1" applyFill="1" applyBorder="1" applyAlignment="1" applyProtection="1">
      <alignment horizontal="center" vertical="center"/>
      <protection locked="0"/>
    </xf>
    <xf numFmtId="0" fontId="13" fillId="0" borderId="59" xfId="0" applyFont="1" applyBorder="1" applyAlignment="1" applyProtection="1">
      <alignment horizontal="justify" vertical="center" wrapText="1"/>
      <protection locked="0"/>
    </xf>
    <xf numFmtId="0" fontId="13" fillId="0" borderId="29" xfId="0" applyFont="1" applyBorder="1" applyAlignment="1" applyProtection="1">
      <alignment horizontal="justify" vertical="center" wrapText="1"/>
      <protection locked="0"/>
    </xf>
    <xf numFmtId="0" fontId="13" fillId="0" borderId="67" xfId="0" applyFont="1" applyBorder="1" applyAlignment="1" applyProtection="1">
      <alignment horizontal="justify" vertical="center" wrapText="1"/>
      <protection locked="0"/>
    </xf>
    <xf numFmtId="0" fontId="13" fillId="0" borderId="50" xfId="0" applyFont="1" applyBorder="1" applyAlignment="1" applyProtection="1">
      <alignment horizontal="justify" vertical="center" wrapText="1"/>
      <protection locked="0"/>
    </xf>
    <xf numFmtId="0" fontId="13" fillId="0" borderId="0" xfId="0" applyFont="1" applyAlignment="1" applyProtection="1">
      <alignment horizontal="justify" vertical="center" wrapText="1"/>
      <protection locked="0"/>
    </xf>
    <xf numFmtId="0" fontId="13" fillId="0" borderId="48" xfId="0" applyFont="1" applyBorder="1" applyAlignment="1" applyProtection="1">
      <alignment horizontal="justify" vertical="center" wrapText="1"/>
      <protection locked="0"/>
    </xf>
    <xf numFmtId="0" fontId="13" fillId="0" borderId="43" xfId="0" applyFont="1" applyBorder="1" applyAlignment="1" applyProtection="1">
      <alignment horizontal="justify" vertical="center" wrapText="1"/>
      <protection locked="0"/>
    </xf>
    <xf numFmtId="0" fontId="13" fillId="0" borderId="17" xfId="0" applyFont="1" applyBorder="1" applyAlignment="1" applyProtection="1">
      <alignment horizontal="justify" vertical="center" wrapText="1"/>
      <protection locked="0"/>
    </xf>
    <xf numFmtId="0" fontId="13" fillId="0" borderId="68" xfId="0" applyFont="1" applyBorder="1" applyAlignment="1" applyProtection="1">
      <alignment horizontal="justify" vertical="center" wrapText="1"/>
      <protection locked="0"/>
    </xf>
    <xf numFmtId="0" fontId="14" fillId="11" borderId="14" xfId="0" applyFont="1" applyFill="1" applyBorder="1" applyAlignment="1" applyProtection="1">
      <alignment horizontal="center" vertical="center"/>
      <protection locked="0"/>
    </xf>
    <xf numFmtId="0" fontId="44" fillId="0" borderId="53" xfId="57" applyFont="1" applyBorder="1" applyAlignment="1" applyProtection="1">
      <alignment horizontal="left" vertical="center" wrapText="1"/>
      <protection locked="0"/>
    </xf>
    <xf numFmtId="0" fontId="44" fillId="0" borderId="5" xfId="57" applyFont="1" applyBorder="1" applyAlignment="1" applyProtection="1">
      <alignment horizontal="left" vertical="center" wrapText="1"/>
      <protection locked="0"/>
    </xf>
    <xf numFmtId="0" fontId="13" fillId="0" borderId="5" xfId="0" applyFont="1" applyBorder="1" applyAlignment="1" applyProtection="1">
      <alignment horizontal="justify" vertical="center" wrapText="1"/>
      <protection locked="0"/>
    </xf>
    <xf numFmtId="0" fontId="13" fillId="0" borderId="6" xfId="0" applyFont="1" applyBorder="1" applyAlignment="1" applyProtection="1">
      <alignment horizontal="justify" vertical="center" wrapText="1"/>
      <protection locked="0"/>
    </xf>
    <xf numFmtId="0" fontId="14" fillId="0" borderId="29" xfId="10" applyFont="1" applyBorder="1" applyAlignment="1" applyProtection="1">
      <alignment horizontal="center" vertical="center" wrapText="1"/>
      <protection locked="0"/>
    </xf>
    <xf numFmtId="0" fontId="14" fillId="0" borderId="0" xfId="10" applyFont="1" applyAlignment="1" applyProtection="1">
      <alignment horizontal="center" vertical="center" wrapText="1"/>
      <protection locked="0"/>
    </xf>
    <xf numFmtId="0" fontId="13" fillId="0" borderId="0" xfId="10" applyAlignment="1" applyProtection="1">
      <alignment horizontal="center" vertical="center" wrapText="1"/>
      <protection locked="0"/>
    </xf>
    <xf numFmtId="3" fontId="13" fillId="0" borderId="0" xfId="10" applyNumberFormat="1" applyAlignment="1" applyProtection="1">
      <alignment horizontal="center" vertical="center" wrapText="1"/>
      <protection locked="0"/>
    </xf>
    <xf numFmtId="0" fontId="36" fillId="6" borderId="16" xfId="14" applyFont="1" applyFill="1" applyBorder="1" applyAlignment="1" applyProtection="1">
      <alignment horizontal="center" vertical="center" wrapText="1"/>
      <protection locked="0"/>
    </xf>
    <xf numFmtId="171" fontId="13" fillId="0" borderId="16" xfId="14" applyNumberFormat="1" applyBorder="1" applyAlignment="1" applyProtection="1">
      <alignment horizontal="center" vertical="center"/>
      <protection locked="0"/>
    </xf>
    <xf numFmtId="171" fontId="13" fillId="0" borderId="4" xfId="14" applyNumberFormat="1" applyBorder="1" applyAlignment="1" applyProtection="1">
      <alignment horizontal="center" vertical="center"/>
      <protection locked="0"/>
    </xf>
    <xf numFmtId="0" fontId="36" fillId="6" borderId="4" xfId="14" applyFont="1" applyFill="1" applyBorder="1" applyAlignment="1" applyProtection="1">
      <alignment horizontal="center" vertical="center" wrapText="1"/>
      <protection locked="0"/>
    </xf>
    <xf numFmtId="0" fontId="14" fillId="3" borderId="32" xfId="14" applyFont="1" applyFill="1" applyBorder="1" applyAlignment="1" applyProtection="1">
      <alignment horizontal="right" vertical="center"/>
      <protection locked="0"/>
    </xf>
    <xf numFmtId="0" fontId="14" fillId="3" borderId="33" xfId="14" applyFont="1" applyFill="1" applyBorder="1" applyAlignment="1" applyProtection="1">
      <alignment horizontal="right" vertical="center"/>
      <protection locked="0"/>
    </xf>
    <xf numFmtId="0" fontId="14" fillId="3" borderId="34" xfId="14" applyFont="1" applyFill="1" applyBorder="1" applyAlignment="1" applyProtection="1">
      <alignment horizontal="right" vertical="center"/>
      <protection locked="0"/>
    </xf>
    <xf numFmtId="175" fontId="36" fillId="6" borderId="7" xfId="14" applyNumberFormat="1" applyFont="1" applyFill="1" applyBorder="1" applyAlignment="1" applyProtection="1">
      <alignment horizontal="center" vertical="center" wrapText="1"/>
      <protection locked="0"/>
    </xf>
    <xf numFmtId="175" fontId="36" fillId="6" borderId="5" xfId="14" applyNumberFormat="1" applyFont="1" applyFill="1" applyBorder="1" applyAlignment="1" applyProtection="1">
      <alignment horizontal="center" vertical="center" wrapText="1"/>
      <protection locked="0"/>
    </xf>
    <xf numFmtId="0" fontId="14" fillId="6" borderId="37" xfId="14" applyFont="1" applyFill="1" applyBorder="1" applyAlignment="1" applyProtection="1">
      <alignment horizontal="center" vertical="center" wrapText="1"/>
      <protection locked="0"/>
    </xf>
    <xf numFmtId="0" fontId="14" fillId="6" borderId="38" xfId="14" applyFont="1" applyFill="1" applyBorder="1" applyAlignment="1" applyProtection="1">
      <alignment horizontal="center" vertical="center" wrapText="1"/>
      <protection locked="0"/>
    </xf>
    <xf numFmtId="0" fontId="14" fillId="6" borderId="45" xfId="14" applyFont="1" applyFill="1" applyBorder="1" applyAlignment="1" applyProtection="1">
      <alignment horizontal="center" vertical="center" wrapText="1"/>
      <protection locked="0"/>
    </xf>
    <xf numFmtId="0" fontId="14" fillId="6" borderId="0" xfId="14" applyFont="1" applyFill="1" applyAlignment="1" applyProtection="1">
      <alignment horizontal="left" vertical="center" wrapText="1"/>
      <protection locked="0"/>
    </xf>
    <xf numFmtId="0" fontId="13" fillId="0" borderId="10" xfId="14" applyBorder="1" applyAlignment="1" applyProtection="1">
      <alignment horizontal="left" vertical="center"/>
      <protection locked="0"/>
    </xf>
    <xf numFmtId="0" fontId="13" fillId="0" borderId="11" xfId="14" applyBorder="1" applyAlignment="1" applyProtection="1">
      <alignment horizontal="left" vertical="center"/>
      <protection locked="0"/>
    </xf>
    <xf numFmtId="0" fontId="13" fillId="0" borderId="27" xfId="14" applyBorder="1" applyAlignment="1" applyProtection="1">
      <alignment horizontal="left" vertical="center"/>
      <protection locked="0"/>
    </xf>
    <xf numFmtId="0" fontId="14" fillId="6" borderId="54" xfId="14" applyFont="1" applyFill="1" applyBorder="1" applyAlignment="1" applyProtection="1">
      <alignment horizontal="center" vertical="center"/>
      <protection locked="0"/>
    </xf>
    <xf numFmtId="0" fontId="14" fillId="6" borderId="55" xfId="14" applyFont="1" applyFill="1" applyBorder="1" applyAlignment="1" applyProtection="1">
      <alignment horizontal="center" vertical="center"/>
      <protection locked="0"/>
    </xf>
    <xf numFmtId="0" fontId="14" fillId="6" borderId="73" xfId="14" applyFont="1" applyFill="1" applyBorder="1" applyAlignment="1" applyProtection="1">
      <alignment horizontal="center" vertical="center"/>
      <protection locked="0"/>
    </xf>
    <xf numFmtId="0" fontId="14" fillId="6" borderId="63" xfId="14" applyFont="1" applyFill="1" applyBorder="1" applyAlignment="1" applyProtection="1">
      <alignment horizontal="center" vertical="center"/>
      <protection locked="0"/>
    </xf>
    <xf numFmtId="0" fontId="37" fillId="0" borderId="20" xfId="14" applyFont="1" applyBorder="1" applyAlignment="1" applyProtection="1">
      <alignment horizontal="justify" vertical="center" wrapText="1"/>
      <protection locked="0"/>
    </xf>
    <xf numFmtId="0" fontId="37" fillId="0" borderId="21" xfId="14" applyFont="1" applyBorder="1" applyAlignment="1" applyProtection="1">
      <alignment horizontal="justify" vertical="center" wrapText="1"/>
      <protection locked="0"/>
    </xf>
    <xf numFmtId="0" fontId="37" fillId="0" borderId="9" xfId="14" applyFont="1" applyBorder="1" applyAlignment="1" applyProtection="1">
      <alignment horizontal="justify" vertical="center" wrapText="1"/>
      <protection locked="0"/>
    </xf>
    <xf numFmtId="0" fontId="37" fillId="0" borderId="0" xfId="14" applyFont="1" applyAlignment="1" applyProtection="1">
      <alignment horizontal="justify" vertical="center" wrapText="1"/>
      <protection locked="0"/>
    </xf>
    <xf numFmtId="0" fontId="37" fillId="0" borderId="22" xfId="14" applyFont="1" applyBorder="1" applyAlignment="1" applyProtection="1">
      <alignment horizontal="justify" vertical="center" wrapText="1"/>
      <protection locked="0"/>
    </xf>
    <xf numFmtId="0" fontId="37" fillId="0" borderId="12" xfId="14" applyFont="1" applyBorder="1" applyAlignment="1" applyProtection="1">
      <alignment horizontal="justify" vertical="center" wrapText="1"/>
      <protection locked="0"/>
    </xf>
    <xf numFmtId="175" fontId="14" fillId="15" borderId="4" xfId="14" applyNumberFormat="1" applyFont="1" applyFill="1" applyBorder="1" applyAlignment="1" applyProtection="1">
      <alignment horizontal="center" vertical="center" wrapText="1"/>
      <protection hidden="1"/>
    </xf>
    <xf numFmtId="0" fontId="14" fillId="6" borderId="4" xfId="14" applyFont="1" applyFill="1" applyBorder="1" applyAlignment="1" applyProtection="1">
      <alignment horizontal="center" vertical="center" wrapText="1"/>
      <protection locked="0"/>
    </xf>
    <xf numFmtId="0" fontId="14" fillId="6" borderId="23" xfId="14" applyFont="1" applyFill="1" applyBorder="1" applyAlignment="1" applyProtection="1">
      <alignment horizontal="center" vertical="center" wrapText="1"/>
      <protection locked="0"/>
    </xf>
    <xf numFmtId="0" fontId="13" fillId="3" borderId="16" xfId="14" applyFill="1" applyBorder="1" applyAlignment="1" applyProtection="1">
      <alignment horizontal="right" vertical="center"/>
      <protection locked="0"/>
    </xf>
    <xf numFmtId="0" fontId="13" fillId="3" borderId="4" xfId="14" applyFill="1" applyBorder="1" applyAlignment="1" applyProtection="1">
      <alignment horizontal="right" vertical="center"/>
      <protection locked="0"/>
    </xf>
    <xf numFmtId="0" fontId="13" fillId="9" borderId="51" xfId="14" applyFill="1" applyBorder="1" applyAlignment="1" applyProtection="1">
      <alignment horizontal="right" vertical="center" wrapText="1"/>
      <protection locked="0"/>
    </xf>
    <xf numFmtId="0" fontId="13" fillId="9" borderId="13" xfId="14" applyFill="1" applyBorder="1" applyAlignment="1" applyProtection="1">
      <alignment horizontal="right" vertical="center" wrapText="1"/>
      <protection locked="0"/>
    </xf>
    <xf numFmtId="0" fontId="13" fillId="3" borderId="10" xfId="14" applyFill="1" applyBorder="1" applyAlignment="1" applyProtection="1">
      <alignment horizontal="left" vertical="center"/>
      <protection locked="0"/>
    </xf>
    <xf numFmtId="0" fontId="13" fillId="3" borderId="11" xfId="14" applyFill="1" applyBorder="1" applyAlignment="1" applyProtection="1">
      <alignment horizontal="left" vertical="center"/>
      <protection locked="0"/>
    </xf>
    <xf numFmtId="0" fontId="13" fillId="3" borderId="27" xfId="14" applyFill="1" applyBorder="1" applyAlignment="1" applyProtection="1">
      <alignment horizontal="left" vertical="center"/>
      <protection locked="0"/>
    </xf>
    <xf numFmtId="0" fontId="13" fillId="3" borderId="10" xfId="14" applyFill="1" applyBorder="1" applyAlignment="1" applyProtection="1">
      <alignment horizontal="center" vertical="center"/>
      <protection locked="0"/>
    </xf>
    <xf numFmtId="0" fontId="13" fillId="3" borderId="11" xfId="14" applyFill="1" applyBorder="1" applyAlignment="1" applyProtection="1">
      <alignment horizontal="center" vertical="center"/>
      <protection locked="0"/>
    </xf>
    <xf numFmtId="0" fontId="13" fillId="3" borderId="27" xfId="14" applyFill="1" applyBorder="1" applyAlignment="1" applyProtection="1">
      <alignment horizontal="center" vertical="center"/>
      <protection locked="0"/>
    </xf>
    <xf numFmtId="0" fontId="14" fillId="6" borderId="0" xfId="14" applyFont="1" applyFill="1" applyAlignment="1" applyProtection="1">
      <alignment horizontal="left" vertical="center"/>
      <protection locked="0"/>
    </xf>
    <xf numFmtId="0" fontId="13" fillId="0" borderId="10" xfId="14" applyBorder="1" applyAlignment="1" applyProtection="1">
      <alignment horizontal="left" vertical="center" wrapText="1"/>
      <protection locked="0"/>
    </xf>
    <xf numFmtId="0" fontId="13" fillId="0" borderId="11" xfId="14" applyBorder="1" applyAlignment="1" applyProtection="1">
      <alignment horizontal="left" vertical="center" wrapText="1"/>
      <protection locked="0"/>
    </xf>
    <xf numFmtId="0" fontId="13" fillId="0" borderId="27" xfId="14" applyBorder="1" applyAlignment="1" applyProtection="1">
      <alignment horizontal="left" vertical="center" wrapText="1"/>
      <protection locked="0"/>
    </xf>
    <xf numFmtId="0" fontId="14" fillId="6" borderId="9" xfId="30" applyFont="1" applyFill="1" applyBorder="1" applyAlignment="1" applyProtection="1">
      <alignment horizontal="left" vertical="center" wrapText="1"/>
      <protection locked="0"/>
    </xf>
    <xf numFmtId="0" fontId="14" fillId="6" borderId="0" xfId="30" applyFont="1" applyFill="1" applyAlignment="1" applyProtection="1">
      <alignment horizontal="left" vertical="center" wrapText="1"/>
      <protection locked="0"/>
    </xf>
    <xf numFmtId="0" fontId="13" fillId="0" borderId="10" xfId="30" applyBorder="1" applyAlignment="1" applyProtection="1">
      <alignment horizontal="left" vertical="center" wrapText="1"/>
      <protection locked="0"/>
    </xf>
    <xf numFmtId="0" fontId="13" fillId="0" borderId="11" xfId="30" applyBorder="1" applyAlignment="1" applyProtection="1">
      <alignment horizontal="left" vertical="center" wrapText="1"/>
      <protection locked="0"/>
    </xf>
    <xf numFmtId="0" fontId="13" fillId="0" borderId="27" xfId="30" applyBorder="1" applyAlignment="1" applyProtection="1">
      <alignment horizontal="left" vertical="center" wrapText="1"/>
      <protection locked="0"/>
    </xf>
    <xf numFmtId="0" fontId="13" fillId="0" borderId="46" xfId="14" applyBorder="1" applyAlignment="1" applyProtection="1">
      <alignment horizontal="center" vertical="center"/>
      <protection locked="0"/>
    </xf>
    <xf numFmtId="0" fontId="13" fillId="0" borderId="37" xfId="14" applyBorder="1" applyAlignment="1" applyProtection="1">
      <alignment horizontal="center" vertical="center"/>
      <protection locked="0"/>
    </xf>
    <xf numFmtId="0" fontId="13" fillId="0" borderId="52" xfId="14" applyBorder="1" applyAlignment="1" applyProtection="1">
      <alignment horizontal="center" vertical="center"/>
      <protection locked="0"/>
    </xf>
    <xf numFmtId="0" fontId="14" fillId="6" borderId="39" xfId="14" applyFont="1" applyFill="1" applyBorder="1" applyAlignment="1" applyProtection="1">
      <alignment horizontal="center" vertical="center" wrapText="1"/>
      <protection locked="0"/>
    </xf>
    <xf numFmtId="0" fontId="14" fillId="6" borderId="40" xfId="14" applyFont="1" applyFill="1" applyBorder="1" applyAlignment="1" applyProtection="1">
      <alignment horizontal="center" vertical="center" wrapText="1"/>
      <protection locked="0"/>
    </xf>
    <xf numFmtId="0" fontId="14" fillId="6" borderId="49" xfId="14" applyFont="1" applyFill="1" applyBorder="1" applyAlignment="1" applyProtection="1">
      <alignment horizontal="center" vertical="center" wrapText="1"/>
      <protection locked="0"/>
    </xf>
    <xf numFmtId="0" fontId="14" fillId="6" borderId="4" xfId="14" applyFont="1" applyFill="1" applyBorder="1" applyAlignment="1" applyProtection="1">
      <alignment horizontal="center" vertical="center"/>
      <protection locked="0"/>
    </xf>
    <xf numFmtId="0" fontId="14" fillId="6" borderId="37" xfId="14" applyFont="1" applyFill="1" applyBorder="1" applyAlignment="1" applyProtection="1">
      <alignment horizontal="center" vertical="center"/>
      <protection locked="0"/>
    </xf>
    <xf numFmtId="0" fontId="14" fillId="6" borderId="23" xfId="14" applyFont="1" applyFill="1" applyBorder="1" applyAlignment="1" applyProtection="1">
      <alignment horizontal="center" vertical="center"/>
      <protection locked="0"/>
    </xf>
    <xf numFmtId="0" fontId="14" fillId="15" borderId="16" xfId="14" applyFont="1" applyFill="1" applyBorder="1" applyAlignment="1" applyProtection="1">
      <alignment horizontal="right" vertical="center" wrapText="1"/>
      <protection hidden="1"/>
    </xf>
    <xf numFmtId="0" fontId="14" fillId="15" borderId="4" xfId="14" applyFont="1" applyFill="1" applyBorder="1" applyAlignment="1" applyProtection="1">
      <alignment horizontal="right" vertical="center" wrapText="1"/>
      <protection hidden="1"/>
    </xf>
    <xf numFmtId="0" fontId="14" fillId="3" borderId="51" xfId="14" applyFont="1" applyFill="1" applyBorder="1" applyAlignment="1" applyProtection="1">
      <alignment horizontal="right" vertical="center" wrapText="1"/>
      <protection locked="0"/>
    </xf>
    <xf numFmtId="0" fontId="14" fillId="3" borderId="13" xfId="14" applyFont="1" applyFill="1" applyBorder="1" applyAlignment="1" applyProtection="1">
      <alignment horizontal="right" vertical="center" wrapText="1"/>
      <protection locked="0"/>
    </xf>
    <xf numFmtId="0" fontId="14" fillId="6" borderId="16" xfId="14" applyFont="1" applyFill="1" applyBorder="1" applyAlignment="1" applyProtection="1">
      <alignment horizontal="center" vertical="center"/>
      <protection locked="0"/>
    </xf>
    <xf numFmtId="0" fontId="13" fillId="9" borderId="16" xfId="14" applyFill="1" applyBorder="1" applyAlignment="1" applyProtection="1">
      <alignment horizontal="right" vertical="center"/>
      <protection locked="0"/>
    </xf>
    <xf numFmtId="0" fontId="13" fillId="9" borderId="4" xfId="14" applyFill="1" applyBorder="1" applyAlignment="1" applyProtection="1">
      <alignment horizontal="right" vertical="center"/>
      <protection locked="0"/>
    </xf>
    <xf numFmtId="0" fontId="14" fillId="6" borderId="30" xfId="14" applyFont="1" applyFill="1" applyBorder="1" applyAlignment="1" applyProtection="1">
      <alignment horizontal="center" vertical="center" wrapText="1"/>
      <protection locked="0"/>
    </xf>
    <xf numFmtId="0" fontId="14" fillId="6" borderId="31" xfId="14" applyFont="1" applyFill="1" applyBorder="1" applyAlignment="1" applyProtection="1">
      <alignment horizontal="center" vertical="center" wrapText="1"/>
      <protection locked="0"/>
    </xf>
    <xf numFmtId="0" fontId="14" fillId="6" borderId="46" xfId="14" applyFont="1" applyFill="1" applyBorder="1" applyAlignment="1" applyProtection="1">
      <alignment horizontal="center" vertical="center" wrapText="1"/>
      <protection locked="0"/>
    </xf>
    <xf numFmtId="0" fontId="14" fillId="6" borderId="24" xfId="14" applyFont="1" applyFill="1" applyBorder="1" applyAlignment="1" applyProtection="1">
      <alignment horizontal="center" vertical="center" wrapText="1"/>
      <protection locked="0"/>
    </xf>
    <xf numFmtId="0" fontId="14" fillId="6" borderId="16" xfId="14" applyFont="1" applyFill="1" applyBorder="1" applyAlignment="1" applyProtection="1">
      <alignment horizontal="center" vertical="center" wrapText="1"/>
      <protection locked="0"/>
    </xf>
    <xf numFmtId="0" fontId="14" fillId="9" borderId="16" xfId="14" applyFont="1" applyFill="1" applyBorder="1" applyAlignment="1" applyProtection="1">
      <alignment horizontal="right" vertical="center" wrapText="1"/>
      <protection locked="0"/>
    </xf>
    <xf numFmtId="0" fontId="14" fillId="9" borderId="4" xfId="14" applyFont="1" applyFill="1" applyBorder="1" applyAlignment="1" applyProtection="1">
      <alignment horizontal="right" vertical="center" wrapText="1"/>
      <protection locked="0"/>
    </xf>
    <xf numFmtId="0" fontId="13" fillId="0" borderId="10" xfId="14" applyBorder="1" applyAlignment="1" applyProtection="1">
      <alignment horizontal="center" vertical="center" wrapText="1"/>
      <protection locked="0"/>
    </xf>
    <xf numFmtId="0" fontId="13" fillId="0" borderId="11" xfId="14" applyBorder="1" applyAlignment="1" applyProtection="1">
      <alignment horizontal="center" vertical="center" wrapText="1"/>
      <protection locked="0"/>
    </xf>
    <xf numFmtId="0" fontId="13" fillId="0" borderId="27" xfId="14" applyBorder="1" applyAlignment="1" applyProtection="1">
      <alignment horizontal="center" vertical="center" wrapText="1"/>
      <protection locked="0"/>
    </xf>
    <xf numFmtId="0" fontId="36" fillId="0" borderId="0" xfId="14" applyFont="1" applyAlignment="1" applyProtection="1">
      <alignment horizontal="center" vertical="center" wrapText="1"/>
      <protection locked="0"/>
    </xf>
    <xf numFmtId="171" fontId="13" fillId="0" borderId="0" xfId="14" applyNumberFormat="1" applyAlignment="1" applyProtection="1">
      <alignment horizontal="center" vertical="center"/>
      <protection locked="0"/>
    </xf>
    <xf numFmtId="175" fontId="36" fillId="6" borderId="16" xfId="14" applyNumberFormat="1" applyFont="1" applyFill="1" applyBorder="1" applyAlignment="1" applyProtection="1">
      <alignment horizontal="center" vertical="center" wrapText="1"/>
      <protection locked="0"/>
    </xf>
    <xf numFmtId="171" fontId="13" fillId="0" borderId="51" xfId="14" applyNumberFormat="1" applyBorder="1" applyAlignment="1" applyProtection="1">
      <alignment horizontal="center" vertical="center"/>
      <protection locked="0"/>
    </xf>
    <xf numFmtId="171" fontId="13" fillId="0" borderId="13" xfId="14" applyNumberFormat="1" applyBorder="1" applyAlignment="1" applyProtection="1">
      <alignment horizontal="center" vertical="center"/>
      <protection locked="0"/>
    </xf>
    <xf numFmtId="0" fontId="14" fillId="3" borderId="22" xfId="14" applyFont="1" applyFill="1" applyBorder="1" applyAlignment="1" applyProtection="1">
      <alignment horizontal="right" vertical="center"/>
      <protection locked="0"/>
    </xf>
    <xf numFmtId="0" fontId="14" fillId="3" borderId="12" xfId="14" applyFont="1" applyFill="1" applyBorder="1" applyAlignment="1" applyProtection="1">
      <alignment horizontal="right" vertical="center"/>
      <protection locked="0"/>
    </xf>
    <xf numFmtId="0" fontId="14" fillId="3" borderId="28" xfId="14" applyFont="1" applyFill="1" applyBorder="1" applyAlignment="1" applyProtection="1">
      <alignment horizontal="right" vertical="center"/>
      <protection locked="0"/>
    </xf>
    <xf numFmtId="0" fontId="13" fillId="3" borderId="20" xfId="14" applyFill="1" applyBorder="1" applyAlignment="1" applyProtection="1">
      <alignment horizontal="justify" vertical="center" wrapText="1"/>
      <protection locked="0"/>
    </xf>
    <xf numFmtId="0" fontId="13" fillId="3" borderId="21" xfId="14" applyFill="1" applyBorder="1" applyAlignment="1" applyProtection="1">
      <alignment horizontal="justify" vertical="center" wrapText="1"/>
      <protection locked="0"/>
    </xf>
    <xf numFmtId="0" fontId="13" fillId="3" borderId="35" xfId="14" applyFill="1" applyBorder="1" applyAlignment="1" applyProtection="1">
      <alignment horizontal="justify" vertical="center" wrapText="1"/>
      <protection locked="0"/>
    </xf>
    <xf numFmtId="0" fontId="14" fillId="15" borderId="16" xfId="14" applyFont="1" applyFill="1" applyBorder="1" applyAlignment="1" applyProtection="1">
      <alignment horizontal="right" vertical="center" wrapText="1"/>
      <protection locked="0"/>
    </xf>
    <xf numFmtId="0" fontId="14" fillId="15" borderId="4" xfId="14" applyFont="1" applyFill="1" applyBorder="1" applyAlignment="1" applyProtection="1">
      <alignment horizontal="right" vertical="center" wrapText="1"/>
      <protection locked="0"/>
    </xf>
    <xf numFmtId="171" fontId="13" fillId="0" borderId="18" xfId="14" applyNumberFormat="1" applyBorder="1" applyAlignment="1" applyProtection="1">
      <alignment horizontal="center" vertical="center"/>
      <protection locked="0"/>
    </xf>
    <xf numFmtId="171" fontId="13" fillId="0" borderId="61" xfId="14" applyNumberFormat="1" applyBorder="1" applyAlignment="1" applyProtection="1">
      <alignment horizontal="center" vertical="center"/>
      <protection locked="0"/>
    </xf>
    <xf numFmtId="171" fontId="13" fillId="0" borderId="53" xfId="14" applyNumberFormat="1" applyBorder="1" applyAlignment="1" applyProtection="1">
      <alignment horizontal="center" vertical="center"/>
      <protection locked="0"/>
    </xf>
    <xf numFmtId="171" fontId="13" fillId="0" borderId="7" xfId="14" applyNumberFormat="1" applyBorder="1" applyAlignment="1" applyProtection="1">
      <alignment horizontal="center" vertical="center"/>
      <protection locked="0"/>
    </xf>
    <xf numFmtId="171" fontId="13" fillId="0" borderId="74" xfId="14" applyNumberFormat="1" applyBorder="1" applyAlignment="1" applyProtection="1">
      <alignment horizontal="center" vertical="center"/>
      <protection locked="0"/>
    </xf>
    <xf numFmtId="171" fontId="13" fillId="0" borderId="5" xfId="14" applyNumberFormat="1" applyBorder="1" applyAlignment="1" applyProtection="1">
      <alignment horizontal="center" vertical="center"/>
      <protection locked="0"/>
    </xf>
    <xf numFmtId="0" fontId="27" fillId="0" borderId="16" xfId="9" applyFont="1" applyBorder="1" applyAlignment="1" applyProtection="1">
      <alignment horizontal="left" vertical="center" wrapText="1"/>
      <protection locked="0"/>
    </xf>
    <xf numFmtId="0" fontId="27" fillId="0" borderId="4" xfId="9" applyFont="1" applyBorder="1" applyAlignment="1" applyProtection="1">
      <alignment horizontal="left" vertical="center" wrapText="1"/>
      <protection locked="0"/>
    </xf>
    <xf numFmtId="177" fontId="27" fillId="0" borderId="37" xfId="7" applyNumberFormat="1" applyFont="1" applyFill="1" applyBorder="1" applyAlignment="1" applyProtection="1">
      <alignment horizontal="center" vertical="center" wrapText="1"/>
      <protection locked="0"/>
    </xf>
    <xf numFmtId="177" fontId="27" fillId="0" borderId="19" xfId="7" applyNumberFormat="1" applyFont="1" applyFill="1" applyBorder="1" applyAlignment="1" applyProtection="1">
      <alignment horizontal="center" vertical="center" wrapText="1"/>
      <protection locked="0"/>
    </xf>
    <xf numFmtId="0" fontId="17" fillId="3" borderId="30" xfId="9" applyFont="1" applyFill="1" applyBorder="1" applyAlignment="1" applyProtection="1">
      <alignment horizontal="right" vertical="center" wrapText="1"/>
      <protection locked="0"/>
    </xf>
    <xf numFmtId="0" fontId="17" fillId="3" borderId="31" xfId="9" applyFont="1" applyFill="1" applyBorder="1" applyAlignment="1" applyProtection="1">
      <alignment horizontal="right" vertical="center" wrapText="1"/>
      <protection locked="0"/>
    </xf>
    <xf numFmtId="0" fontId="17" fillId="6" borderId="32" xfId="9" applyFont="1" applyFill="1" applyBorder="1" applyAlignment="1" applyProtection="1">
      <alignment horizontal="right" vertical="center"/>
      <protection locked="0"/>
    </xf>
    <xf numFmtId="0" fontId="17" fillId="6" borderId="33" xfId="9" applyFont="1" applyFill="1" applyBorder="1" applyAlignment="1" applyProtection="1">
      <alignment horizontal="right" vertical="center"/>
      <protection locked="0"/>
    </xf>
    <xf numFmtId="0" fontId="17" fillId="6" borderId="34" xfId="9" applyFont="1" applyFill="1" applyBorder="1" applyAlignment="1" applyProtection="1">
      <alignment horizontal="right" vertical="center"/>
      <protection locked="0"/>
    </xf>
    <xf numFmtId="0" fontId="17" fillId="6" borderId="10" xfId="9" applyFont="1" applyFill="1" applyBorder="1" applyAlignment="1" applyProtection="1">
      <alignment horizontal="center" vertical="center"/>
      <protection locked="0"/>
    </xf>
    <xf numFmtId="0" fontId="17" fillId="6" borderId="11" xfId="9" applyFont="1" applyFill="1" applyBorder="1" applyAlignment="1" applyProtection="1">
      <alignment horizontal="center" vertical="center"/>
      <protection locked="0"/>
    </xf>
    <xf numFmtId="0" fontId="17" fillId="6" borderId="27" xfId="9" applyFont="1" applyFill="1" applyBorder="1" applyAlignment="1" applyProtection="1">
      <alignment horizontal="center" vertical="center"/>
      <protection locked="0"/>
    </xf>
    <xf numFmtId="0" fontId="16" fillId="15" borderId="16" xfId="9" applyFont="1" applyFill="1" applyBorder="1" applyAlignment="1">
      <alignment horizontal="left" vertical="center"/>
    </xf>
    <xf numFmtId="0" fontId="16" fillId="15" borderId="4" xfId="9" applyFont="1" applyFill="1" applyBorder="1" applyAlignment="1">
      <alignment horizontal="left" vertical="center"/>
    </xf>
    <xf numFmtId="0" fontId="16" fillId="15" borderId="51" xfId="9" applyFont="1" applyFill="1" applyBorder="1" applyAlignment="1">
      <alignment horizontal="left" vertical="center"/>
    </xf>
    <xf numFmtId="0" fontId="16" fillId="15" borderId="13" xfId="9" applyFont="1" applyFill="1" applyBorder="1" applyAlignment="1">
      <alignment horizontal="left" vertical="center"/>
    </xf>
    <xf numFmtId="0" fontId="17" fillId="6" borderId="1" xfId="9" applyFont="1" applyFill="1" applyBorder="1" applyAlignment="1" applyProtection="1">
      <alignment horizontal="center" vertical="center"/>
      <protection locked="0"/>
    </xf>
    <xf numFmtId="0" fontId="17" fillId="6" borderId="2" xfId="9" applyFont="1" applyFill="1" applyBorder="1" applyAlignment="1" applyProtection="1">
      <alignment horizontal="center" vertical="center"/>
      <protection locked="0"/>
    </xf>
    <xf numFmtId="0" fontId="17" fillId="6" borderId="3" xfId="9" applyFont="1" applyFill="1" applyBorder="1" applyAlignment="1" applyProtection="1">
      <alignment horizontal="center" vertical="center"/>
      <protection locked="0"/>
    </xf>
    <xf numFmtId="0" fontId="17" fillId="3" borderId="16" xfId="9" applyFont="1" applyFill="1" applyBorder="1" applyAlignment="1" applyProtection="1">
      <alignment horizontal="right" vertical="center" wrapText="1"/>
      <protection locked="0"/>
    </xf>
    <xf numFmtId="0" fontId="17" fillId="3" borderId="4" xfId="9" applyFont="1" applyFill="1" applyBorder="1" applyAlignment="1" applyProtection="1">
      <alignment horizontal="right" vertical="center" wrapText="1"/>
      <protection locked="0"/>
    </xf>
    <xf numFmtId="0" fontId="17" fillId="3" borderId="53" xfId="9" applyFont="1" applyFill="1" applyBorder="1" applyAlignment="1" applyProtection="1">
      <alignment horizontal="center" vertical="center" wrapText="1"/>
      <protection locked="0"/>
    </xf>
    <xf numFmtId="0" fontId="17" fillId="3" borderId="5" xfId="9" applyFont="1" applyFill="1" applyBorder="1" applyAlignment="1" applyProtection="1">
      <alignment horizontal="center" vertical="center" wrapText="1"/>
      <protection locked="0"/>
    </xf>
    <xf numFmtId="0" fontId="16" fillId="15" borderId="16" xfId="9" applyFont="1" applyFill="1" applyBorder="1" applyAlignment="1">
      <alignment horizontal="left" vertical="center" wrapText="1"/>
    </xf>
    <xf numFmtId="0" fontId="16" fillId="15" borderId="4" xfId="9" applyFont="1" applyFill="1" applyBorder="1" applyAlignment="1">
      <alignment horizontal="left" vertical="center" wrapText="1"/>
    </xf>
    <xf numFmtId="0" fontId="17" fillId="6" borderId="25" xfId="9" applyFont="1" applyFill="1" applyBorder="1" applyAlignment="1" applyProtection="1">
      <alignment horizontal="right" vertical="center"/>
      <protection locked="0"/>
    </xf>
    <xf numFmtId="0" fontId="17" fillId="6" borderId="38" xfId="9" applyFont="1" applyFill="1" applyBorder="1" applyAlignment="1" applyProtection="1">
      <alignment horizontal="right" vertical="center"/>
      <protection locked="0"/>
    </xf>
    <xf numFmtId="0" fontId="17" fillId="6" borderId="19" xfId="9" applyFont="1" applyFill="1" applyBorder="1" applyAlignment="1" applyProtection="1">
      <alignment horizontal="right" vertical="center"/>
      <protection locked="0"/>
    </xf>
    <xf numFmtId="0" fontId="28" fillId="6" borderId="16" xfId="9" applyFont="1" applyFill="1" applyBorder="1" applyAlignment="1" applyProtection="1">
      <alignment horizontal="center" vertical="center" wrapText="1"/>
      <protection locked="0"/>
    </xf>
    <xf numFmtId="0" fontId="28" fillId="6" borderId="4" xfId="9" applyFont="1" applyFill="1" applyBorder="1" applyAlignment="1" applyProtection="1">
      <alignment horizontal="center" vertical="center" wrapText="1"/>
      <protection locked="0"/>
    </xf>
    <xf numFmtId="0" fontId="17" fillId="6" borderId="30" xfId="9" applyFont="1" applyFill="1" applyBorder="1" applyAlignment="1" applyProtection="1">
      <alignment horizontal="left" vertical="center"/>
      <protection locked="0"/>
    </xf>
    <xf numFmtId="0" fontId="17" fillId="6" borderId="31" xfId="9" applyFont="1" applyFill="1" applyBorder="1" applyAlignment="1" applyProtection="1">
      <alignment horizontal="left" vertical="center"/>
      <protection locked="0"/>
    </xf>
    <xf numFmtId="0" fontId="17" fillId="6" borderId="24" xfId="9" applyFont="1" applyFill="1" applyBorder="1" applyAlignment="1" applyProtection="1">
      <alignment horizontal="left" vertical="center"/>
      <protection locked="0"/>
    </xf>
    <xf numFmtId="0" fontId="13" fillId="0" borderId="20" xfId="9" applyFont="1" applyBorder="1" applyAlignment="1" applyProtection="1">
      <alignment horizontal="center" vertical="center"/>
      <protection locked="0"/>
    </xf>
    <xf numFmtId="0" fontId="13" fillId="0" borderId="42" xfId="9" applyFont="1" applyBorder="1" applyAlignment="1" applyProtection="1">
      <alignment horizontal="center" vertical="center"/>
      <protection locked="0"/>
    </xf>
    <xf numFmtId="0" fontId="13" fillId="0" borderId="9" xfId="9" applyFont="1" applyBorder="1" applyAlignment="1" applyProtection="1">
      <alignment horizontal="center" vertical="center"/>
      <protection locked="0"/>
    </xf>
    <xf numFmtId="0" fontId="13" fillId="0" borderId="47" xfId="9" applyFont="1" applyBorder="1" applyAlignment="1" applyProtection="1">
      <alignment horizontal="center" vertical="center"/>
      <protection locked="0"/>
    </xf>
    <xf numFmtId="0" fontId="13" fillId="0" borderId="22" xfId="9" applyFont="1" applyBorder="1" applyAlignment="1" applyProtection="1">
      <alignment horizontal="center" vertical="center"/>
      <protection locked="0"/>
    </xf>
    <xf numFmtId="0" fontId="13" fillId="0" borderId="28" xfId="9" applyFont="1" applyBorder="1" applyAlignment="1" applyProtection="1">
      <alignment horizontal="center" vertical="center"/>
      <protection locked="0"/>
    </xf>
    <xf numFmtId="0" fontId="13" fillId="0" borderId="31" xfId="9" applyFont="1" applyBorder="1" applyAlignment="1" applyProtection="1">
      <alignment horizontal="center" vertical="center"/>
      <protection locked="0"/>
    </xf>
    <xf numFmtId="0" fontId="13" fillId="0" borderId="24" xfId="9" applyFont="1" applyBorder="1" applyAlignment="1" applyProtection="1">
      <alignment horizontal="center" vertical="center"/>
      <protection locked="0"/>
    </xf>
    <xf numFmtId="0" fontId="13" fillId="0" borderId="4" xfId="9" applyFont="1" applyBorder="1" applyAlignment="1" applyProtection="1">
      <alignment horizontal="center" vertical="center"/>
      <protection locked="0"/>
    </xf>
    <xf numFmtId="0" fontId="13" fillId="0" borderId="23" xfId="9" applyFont="1" applyBorder="1" applyAlignment="1" applyProtection="1">
      <alignment horizontal="center" vertical="center"/>
      <protection locked="0"/>
    </xf>
    <xf numFmtId="0" fontId="13" fillId="0" borderId="13" xfId="9" applyFont="1" applyBorder="1" applyAlignment="1" applyProtection="1">
      <alignment horizontal="center" vertical="center"/>
      <protection locked="0"/>
    </xf>
    <xf numFmtId="0" fontId="13" fillId="0" borderId="52" xfId="9" applyFont="1" applyBorder="1" applyAlignment="1" applyProtection="1">
      <alignment horizontal="center" vertical="center"/>
      <protection locked="0"/>
    </xf>
    <xf numFmtId="0" fontId="13" fillId="0" borderId="33" xfId="9" applyFont="1" applyBorder="1" applyAlignment="1" applyProtection="1">
      <alignment horizontal="center" vertical="center"/>
      <protection locked="0"/>
    </xf>
    <xf numFmtId="0" fontId="13" fillId="0" borderId="62" xfId="9" applyFont="1" applyBorder="1" applyAlignment="1" applyProtection="1">
      <alignment horizontal="center" vertical="center"/>
      <protection locked="0"/>
    </xf>
    <xf numFmtId="0" fontId="13" fillId="0" borderId="0" xfId="9" applyFont="1" applyAlignment="1" applyProtection="1">
      <alignment horizontal="center" vertical="center"/>
      <protection locked="0"/>
    </xf>
    <xf numFmtId="0" fontId="17" fillId="3" borderId="16" xfId="9" applyFont="1" applyFill="1" applyBorder="1" applyAlignment="1" applyProtection="1">
      <alignment horizontal="left" vertical="center"/>
      <protection locked="0"/>
    </xf>
    <xf numFmtId="0" fontId="17" fillId="3" borderId="4" xfId="9" applyFont="1" applyFill="1" applyBorder="1" applyAlignment="1" applyProtection="1">
      <alignment horizontal="left" vertical="center"/>
      <protection locked="0"/>
    </xf>
    <xf numFmtId="0" fontId="17" fillId="3" borderId="23" xfId="9" applyFont="1" applyFill="1" applyBorder="1" applyAlignment="1" applyProtection="1">
      <alignment horizontal="left" vertical="center"/>
      <protection locked="0"/>
    </xf>
    <xf numFmtId="0" fontId="13" fillId="15" borderId="10" xfId="30" applyFill="1" applyBorder="1" applyAlignment="1" applyProtection="1">
      <alignment horizontal="left" vertical="center" wrapText="1"/>
      <protection hidden="1"/>
    </xf>
    <xf numFmtId="0" fontId="13" fillId="15" borderId="11" xfId="30" applyFill="1" applyBorder="1" applyAlignment="1" applyProtection="1">
      <alignment horizontal="left" vertical="center" wrapText="1"/>
      <protection hidden="1"/>
    </xf>
    <xf numFmtId="0" fontId="13" fillId="15" borderId="27" xfId="30" applyFill="1" applyBorder="1" applyAlignment="1" applyProtection="1">
      <alignment horizontal="left" vertical="center" wrapText="1"/>
      <protection hidden="1"/>
    </xf>
    <xf numFmtId="0" fontId="14" fillId="6" borderId="30" xfId="9" applyFont="1" applyFill="1" applyBorder="1" applyAlignment="1" applyProtection="1">
      <alignment horizontal="center" vertical="center" wrapText="1"/>
      <protection locked="0"/>
    </xf>
    <xf numFmtId="0" fontId="14" fillId="6" borderId="31" xfId="9" applyFont="1" applyFill="1" applyBorder="1" applyAlignment="1" applyProtection="1">
      <alignment horizontal="center" vertical="center" wrapText="1"/>
      <protection locked="0"/>
    </xf>
    <xf numFmtId="0" fontId="14" fillId="6" borderId="24" xfId="9" applyFont="1" applyFill="1" applyBorder="1" applyAlignment="1" applyProtection="1">
      <alignment horizontal="center" vertical="center" wrapText="1"/>
      <protection locked="0"/>
    </xf>
    <xf numFmtId="0" fontId="28" fillId="6" borderId="37" xfId="9" applyFont="1" applyFill="1" applyBorder="1" applyAlignment="1" applyProtection="1">
      <alignment horizontal="center" vertical="center" wrapText="1"/>
      <protection locked="0"/>
    </xf>
    <xf numFmtId="0" fontId="28" fillId="6" borderId="19" xfId="9" applyFont="1" applyFill="1" applyBorder="1" applyAlignment="1" applyProtection="1">
      <alignment horizontal="center" vertical="center" wrapText="1"/>
      <protection locked="0"/>
    </xf>
    <xf numFmtId="0" fontId="17" fillId="6" borderId="51" xfId="9" applyFont="1" applyFill="1" applyBorder="1" applyAlignment="1" applyProtection="1">
      <alignment horizontal="right" vertical="center"/>
      <protection locked="0"/>
    </xf>
    <xf numFmtId="0" fontId="17" fillId="6" borderId="13" xfId="9" applyFont="1" applyFill="1" applyBorder="1" applyAlignment="1" applyProtection="1">
      <alignment horizontal="right" vertical="center"/>
      <protection locked="0"/>
    </xf>
    <xf numFmtId="0" fontId="17" fillId="3" borderId="16" xfId="9" applyFont="1" applyFill="1" applyBorder="1" applyAlignment="1" applyProtection="1">
      <alignment horizontal="right" vertical="center"/>
      <protection locked="0"/>
    </xf>
    <xf numFmtId="0" fontId="17" fillId="3" borderId="4" xfId="9" applyFont="1" applyFill="1" applyBorder="1" applyAlignment="1" applyProtection="1">
      <alignment horizontal="right" vertical="center"/>
      <protection locked="0"/>
    </xf>
    <xf numFmtId="0" fontId="13" fillId="0" borderId="46" xfId="9" applyFont="1" applyBorder="1" applyAlignment="1" applyProtection="1">
      <alignment horizontal="center" vertical="center"/>
      <protection locked="0"/>
    </xf>
    <xf numFmtId="0" fontId="13" fillId="0" borderId="40" xfId="9" applyFont="1" applyBorder="1" applyAlignment="1" applyProtection="1">
      <alignment horizontal="center" vertical="center"/>
      <protection locked="0"/>
    </xf>
    <xf numFmtId="0" fontId="13" fillId="0" borderId="49" xfId="9" applyFont="1" applyBorder="1" applyAlignment="1" applyProtection="1">
      <alignment horizontal="center" vertical="center"/>
      <protection locked="0"/>
    </xf>
    <xf numFmtId="0" fontId="13" fillId="0" borderId="37" xfId="9" applyFont="1" applyBorder="1" applyAlignment="1" applyProtection="1">
      <alignment horizontal="center" vertical="center"/>
      <protection locked="0"/>
    </xf>
    <xf numFmtId="0" fontId="13" fillId="0" borderId="38" xfId="9" applyFont="1" applyBorder="1" applyAlignment="1" applyProtection="1">
      <alignment horizontal="center" vertical="center"/>
      <protection locked="0"/>
    </xf>
    <xf numFmtId="0" fontId="13" fillId="0" borderId="45" xfId="9" applyFont="1" applyBorder="1" applyAlignment="1" applyProtection="1">
      <alignment horizontal="center" vertical="center"/>
      <protection locked="0"/>
    </xf>
    <xf numFmtId="0" fontId="13" fillId="0" borderId="34" xfId="9" applyFont="1" applyBorder="1" applyAlignment="1" applyProtection="1">
      <alignment horizontal="center" vertical="center"/>
      <protection locked="0"/>
    </xf>
    <xf numFmtId="177" fontId="14" fillId="6" borderId="30" xfId="0" applyNumberFormat="1" applyFont="1" applyFill="1" applyBorder="1" applyAlignment="1" applyProtection="1">
      <alignment horizontal="center" vertical="center"/>
      <protection locked="0"/>
    </xf>
    <xf numFmtId="177" fontId="14" fillId="6" borderId="31" xfId="0" applyNumberFormat="1" applyFont="1" applyFill="1" applyBorder="1" applyAlignment="1" applyProtection="1">
      <alignment horizontal="center" vertical="center"/>
      <protection locked="0"/>
    </xf>
    <xf numFmtId="177" fontId="14" fillId="6" borderId="24" xfId="0" applyNumberFormat="1" applyFont="1" applyFill="1" applyBorder="1" applyAlignment="1" applyProtection="1">
      <alignment horizontal="center" vertical="center"/>
      <protection locked="0"/>
    </xf>
    <xf numFmtId="177" fontId="14" fillId="6" borderId="16" xfId="0" applyNumberFormat="1" applyFont="1" applyFill="1" applyBorder="1" applyAlignment="1" applyProtection="1">
      <alignment horizontal="center" vertical="center"/>
      <protection locked="0"/>
    </xf>
    <xf numFmtId="177" fontId="14" fillId="6" borderId="4" xfId="0" applyNumberFormat="1" applyFont="1" applyFill="1" applyBorder="1" applyAlignment="1" applyProtection="1">
      <alignment horizontal="center" vertical="center"/>
      <protection locked="0"/>
    </xf>
    <xf numFmtId="0" fontId="24" fillId="6" borderId="4" xfId="9" applyFont="1" applyFill="1" applyBorder="1" applyAlignment="1" applyProtection="1">
      <alignment horizontal="center" vertical="center" wrapText="1"/>
      <protection locked="0"/>
    </xf>
    <xf numFmtId="0" fontId="17" fillId="6" borderId="16" xfId="9" applyFont="1" applyFill="1" applyBorder="1" applyAlignment="1" applyProtection="1">
      <alignment horizontal="right" vertical="center"/>
      <protection locked="0"/>
    </xf>
    <xf numFmtId="0" fontId="17" fillId="6" borderId="4" xfId="9" applyFont="1" applyFill="1" applyBorder="1" applyAlignment="1" applyProtection="1">
      <alignment horizontal="right" vertical="center"/>
      <protection locked="0"/>
    </xf>
    <xf numFmtId="0" fontId="17" fillId="3" borderId="25" xfId="9" applyFont="1" applyFill="1" applyBorder="1" applyAlignment="1" applyProtection="1">
      <alignment horizontal="left" vertical="center"/>
      <protection locked="0"/>
    </xf>
    <xf numFmtId="0" fontId="17" fillId="3" borderId="38" xfId="9" applyFont="1" applyFill="1" applyBorder="1" applyAlignment="1" applyProtection="1">
      <alignment horizontal="left" vertical="center"/>
      <protection locked="0"/>
    </xf>
    <xf numFmtId="0" fontId="17" fillId="3" borderId="45" xfId="9" applyFont="1" applyFill="1" applyBorder="1" applyAlignment="1" applyProtection="1">
      <alignment horizontal="left" vertical="center"/>
      <protection locked="0"/>
    </xf>
    <xf numFmtId="0" fontId="13" fillId="0" borderId="30" xfId="9" applyFont="1" applyBorder="1" applyAlignment="1" applyProtection="1">
      <alignment horizontal="center" vertical="center"/>
      <protection locked="0"/>
    </xf>
    <xf numFmtId="0" fontId="13" fillId="0" borderId="16" xfId="9" applyFont="1" applyBorder="1" applyAlignment="1" applyProtection="1">
      <alignment horizontal="center" vertical="center"/>
      <protection locked="0"/>
    </xf>
    <xf numFmtId="0" fontId="13" fillId="0" borderId="51" xfId="9" applyFont="1" applyBorder="1" applyAlignment="1" applyProtection="1">
      <alignment horizontal="center" vertical="center"/>
      <protection locked="0"/>
    </xf>
    <xf numFmtId="0" fontId="13" fillId="0" borderId="14" xfId="9" applyFont="1" applyBorder="1" applyAlignment="1" applyProtection="1">
      <alignment horizontal="center" vertical="center"/>
      <protection locked="0"/>
    </xf>
    <xf numFmtId="0" fontId="17" fillId="6" borderId="46" xfId="9" applyFont="1" applyFill="1" applyBorder="1" applyAlignment="1" applyProtection="1">
      <alignment horizontal="left" vertical="center"/>
      <protection locked="0"/>
    </xf>
    <xf numFmtId="0" fontId="28" fillId="6" borderId="7" xfId="9" applyFont="1" applyFill="1" applyBorder="1" applyAlignment="1" applyProtection="1">
      <alignment horizontal="center" vertical="center" wrapText="1"/>
      <protection locked="0"/>
    </xf>
    <xf numFmtId="0" fontId="28" fillId="6" borderId="5" xfId="9" applyFont="1" applyFill="1" applyBorder="1" applyAlignment="1" applyProtection="1">
      <alignment horizontal="center" vertical="center" wrapText="1"/>
      <protection locked="0"/>
    </xf>
    <xf numFmtId="177" fontId="13" fillId="3" borderId="53" xfId="9" applyNumberFormat="1" applyFont="1" applyFill="1" applyBorder="1" applyAlignment="1" applyProtection="1">
      <alignment horizontal="center" vertical="center"/>
      <protection locked="0"/>
    </xf>
    <xf numFmtId="177" fontId="13" fillId="3" borderId="5" xfId="9" applyNumberFormat="1" applyFont="1" applyFill="1" applyBorder="1" applyAlignment="1" applyProtection="1">
      <alignment horizontal="center" vertical="center"/>
      <protection locked="0"/>
    </xf>
    <xf numFmtId="0" fontId="17" fillId="3" borderId="16" xfId="9" applyFont="1" applyFill="1" applyBorder="1" applyAlignment="1" applyProtection="1">
      <alignment horizontal="center" vertical="center" wrapText="1"/>
      <protection locked="0"/>
    </xf>
    <xf numFmtId="0" fontId="17" fillId="3" borderId="4" xfId="9" applyFont="1" applyFill="1" applyBorder="1" applyAlignment="1" applyProtection="1">
      <alignment horizontal="center" vertical="center" wrapText="1"/>
      <protection locked="0"/>
    </xf>
    <xf numFmtId="9" fontId="13" fillId="0" borderId="32" xfId="16" applyFont="1" applyFill="1" applyBorder="1" applyAlignment="1" applyProtection="1">
      <alignment horizontal="right" vertical="center"/>
      <protection locked="0"/>
    </xf>
    <xf numFmtId="9" fontId="13" fillId="0" borderId="34" xfId="16" applyFont="1" applyFill="1" applyBorder="1" applyAlignment="1" applyProtection="1">
      <alignment horizontal="right" vertical="center"/>
      <protection locked="0"/>
    </xf>
    <xf numFmtId="0" fontId="14" fillId="6" borderId="16" xfId="9" applyFont="1" applyFill="1" applyBorder="1" applyAlignment="1" applyProtection="1">
      <alignment horizontal="center" vertical="center" wrapText="1"/>
      <protection locked="0"/>
    </xf>
    <xf numFmtId="0" fontId="14" fillId="6" borderId="4" xfId="9" applyFont="1" applyFill="1" applyBorder="1" applyAlignment="1" applyProtection="1">
      <alignment horizontal="center" vertical="center" wrapText="1"/>
      <protection locked="0"/>
    </xf>
    <xf numFmtId="0" fontId="14" fillId="6" borderId="23" xfId="9" applyFont="1" applyFill="1" applyBorder="1" applyAlignment="1" applyProtection="1">
      <alignment horizontal="center" vertical="center" wrapText="1"/>
      <protection locked="0"/>
    </xf>
    <xf numFmtId="0" fontId="24" fillId="15" borderId="7" xfId="9" applyFont="1" applyFill="1" applyBorder="1" applyAlignment="1">
      <alignment horizontal="center" vertical="center" wrapText="1"/>
    </xf>
    <xf numFmtId="0" fontId="24" fillId="15" borderId="5" xfId="9" applyFont="1" applyFill="1" applyBorder="1" applyAlignment="1">
      <alignment horizontal="center" vertical="center" wrapText="1"/>
    </xf>
    <xf numFmtId="177" fontId="14" fillId="6" borderId="23" xfId="0" applyNumberFormat="1" applyFont="1" applyFill="1" applyBorder="1" applyAlignment="1" applyProtection="1">
      <alignment horizontal="center" vertical="center"/>
      <protection locked="0"/>
    </xf>
    <xf numFmtId="0" fontId="28" fillId="6" borderId="65" xfId="9" applyFont="1" applyFill="1" applyBorder="1" applyAlignment="1" applyProtection="1">
      <alignment horizontal="center" vertical="center" wrapText="1"/>
      <protection locked="0"/>
    </xf>
    <xf numFmtId="0" fontId="28" fillId="6" borderId="29" xfId="9" applyFont="1" applyFill="1" applyBorder="1" applyAlignment="1" applyProtection="1">
      <alignment horizontal="center" vertical="center" wrapText="1"/>
      <protection locked="0"/>
    </xf>
    <xf numFmtId="0" fontId="28" fillId="6" borderId="60" xfId="9" applyFont="1" applyFill="1" applyBorder="1" applyAlignment="1" applyProtection="1">
      <alignment horizontal="center" vertical="center" wrapText="1"/>
      <protection locked="0"/>
    </xf>
    <xf numFmtId="0" fontId="28" fillId="6" borderId="26" xfId="9" applyFont="1" applyFill="1" applyBorder="1" applyAlignment="1" applyProtection="1">
      <alignment horizontal="center" vertical="center" wrapText="1"/>
      <protection locked="0"/>
    </xf>
    <xf numFmtId="0" fontId="28" fillId="6" borderId="17" xfId="9" applyFont="1" applyFill="1" applyBorder="1" applyAlignment="1" applyProtection="1">
      <alignment horizontal="center" vertical="center" wrapText="1"/>
      <protection locked="0"/>
    </xf>
    <xf numFmtId="0" fontId="28" fillId="6" borderId="44" xfId="9" applyFont="1" applyFill="1" applyBorder="1" applyAlignment="1" applyProtection="1">
      <alignment horizontal="center" vertical="center" wrapText="1"/>
      <protection locked="0"/>
    </xf>
    <xf numFmtId="0" fontId="28" fillId="6" borderId="59" xfId="9" applyFont="1" applyFill="1" applyBorder="1" applyAlignment="1" applyProtection="1">
      <alignment horizontal="center" vertical="center" wrapText="1"/>
      <protection locked="0"/>
    </xf>
    <xf numFmtId="0" fontId="28" fillId="6" borderId="43" xfId="9" applyFont="1" applyFill="1" applyBorder="1" applyAlignment="1" applyProtection="1">
      <alignment horizontal="center" vertical="center" wrapText="1"/>
      <protection locked="0"/>
    </xf>
    <xf numFmtId="0" fontId="14" fillId="6" borderId="31" xfId="0" applyFont="1" applyFill="1" applyBorder="1" applyAlignment="1" applyProtection="1">
      <alignment horizontal="center" vertical="center"/>
      <protection locked="0"/>
    </xf>
    <xf numFmtId="0" fontId="14" fillId="6" borderId="24" xfId="0" applyFont="1" applyFill="1" applyBorder="1" applyAlignment="1" applyProtection="1">
      <alignment horizontal="center" vertical="center"/>
      <protection locked="0"/>
    </xf>
    <xf numFmtId="0" fontId="14" fillId="6" borderId="4" xfId="0" applyFont="1" applyFill="1" applyBorder="1" applyAlignment="1" applyProtection="1">
      <alignment horizontal="center" vertical="center"/>
      <protection locked="0"/>
    </xf>
    <xf numFmtId="0" fontId="14" fillId="6" borderId="23" xfId="0" applyFont="1" applyFill="1" applyBorder="1" applyAlignment="1" applyProtection="1">
      <alignment horizontal="center" vertical="center"/>
      <protection locked="0"/>
    </xf>
    <xf numFmtId="0" fontId="24" fillId="6" borderId="16" xfId="9" applyFont="1" applyFill="1" applyBorder="1" applyAlignment="1" applyProtection="1">
      <alignment horizontal="center" vertical="center" wrapText="1"/>
      <protection locked="0"/>
    </xf>
    <xf numFmtId="0" fontId="24" fillId="15" borderId="4" xfId="9" applyFont="1" applyFill="1" applyBorder="1" applyAlignment="1" applyProtection="1">
      <alignment horizontal="center" vertical="center" wrapText="1"/>
      <protection locked="0"/>
    </xf>
    <xf numFmtId="0" fontId="13" fillId="3" borderId="1" xfId="9" applyFont="1" applyFill="1" applyBorder="1" applyAlignment="1" applyProtection="1">
      <alignment horizontal="left" vertical="center" wrapText="1"/>
      <protection locked="0"/>
    </xf>
    <xf numFmtId="0" fontId="13" fillId="3" borderId="2" xfId="9" applyFont="1" applyFill="1" applyBorder="1" applyAlignment="1" applyProtection="1">
      <alignment horizontal="left" vertical="center" wrapText="1"/>
      <protection locked="0"/>
    </xf>
    <xf numFmtId="0" fontId="13" fillId="3" borderId="3" xfId="9" applyFont="1" applyFill="1" applyBorder="1" applyAlignment="1" applyProtection="1">
      <alignment horizontal="left" vertical="center" wrapText="1"/>
      <protection locked="0"/>
    </xf>
    <xf numFmtId="0" fontId="42" fillId="3" borderId="10" xfId="57" applyFont="1" applyFill="1" applyBorder="1" applyAlignment="1" applyProtection="1">
      <alignment horizontal="center" vertical="center"/>
      <protection locked="0"/>
    </xf>
    <xf numFmtId="0" fontId="42" fillId="3" borderId="27" xfId="57" applyFont="1" applyFill="1" applyBorder="1" applyAlignment="1" applyProtection="1">
      <alignment horizontal="center" vertical="center"/>
      <protection locked="0"/>
    </xf>
    <xf numFmtId="0" fontId="17" fillId="6" borderId="30" xfId="9" applyFont="1" applyFill="1" applyBorder="1" applyAlignment="1">
      <alignment horizontal="right" vertical="center" wrapText="1"/>
    </xf>
    <xf numFmtId="0" fontId="17" fillId="6" borderId="31" xfId="9" applyFont="1" applyFill="1" applyBorder="1" applyAlignment="1">
      <alignment horizontal="right" vertical="center" wrapText="1"/>
    </xf>
    <xf numFmtId="171" fontId="17" fillId="0" borderId="0" xfId="8" applyNumberFormat="1" applyFont="1" applyFill="1" applyBorder="1" applyAlignment="1" applyProtection="1">
      <alignment horizontal="right" vertical="center"/>
    </xf>
    <xf numFmtId="0" fontId="17" fillId="6" borderId="16" xfId="9" applyFont="1" applyFill="1" applyBorder="1" applyAlignment="1">
      <alignment horizontal="right" vertical="center" wrapText="1"/>
    </xf>
    <xf numFmtId="0" fontId="17" fillId="6" borderId="4" xfId="9" applyFont="1" applyFill="1" applyBorder="1" applyAlignment="1">
      <alignment horizontal="right" vertical="center" wrapText="1"/>
    </xf>
    <xf numFmtId="0" fontId="17" fillId="6" borderId="51" xfId="9" applyFont="1" applyFill="1" applyBorder="1" applyAlignment="1">
      <alignment horizontal="right" vertical="center" wrapText="1"/>
    </xf>
    <xf numFmtId="0" fontId="17" fillId="6" borderId="13" xfId="9" applyFont="1" applyFill="1" applyBorder="1" applyAlignment="1">
      <alignment horizontal="right" vertical="center" wrapText="1"/>
    </xf>
    <xf numFmtId="177" fontId="13" fillId="3" borderId="6" xfId="9" applyNumberFormat="1" applyFont="1" applyFill="1" applyBorder="1" applyAlignment="1" applyProtection="1">
      <alignment horizontal="center" vertical="center"/>
      <protection locked="0"/>
    </xf>
    <xf numFmtId="9" fontId="13" fillId="0" borderId="52" xfId="16" applyFont="1" applyFill="1" applyBorder="1" applyAlignment="1" applyProtection="1">
      <alignment horizontal="right" vertical="center"/>
      <protection locked="0"/>
    </xf>
    <xf numFmtId="9" fontId="13" fillId="0" borderId="62" xfId="16" applyFont="1" applyFill="1" applyBorder="1" applyAlignment="1" applyProtection="1">
      <alignment horizontal="right" vertical="center"/>
      <protection locked="0"/>
    </xf>
    <xf numFmtId="0" fontId="13" fillId="15" borderId="10" xfId="30" applyFill="1" applyBorder="1" applyAlignment="1" applyProtection="1">
      <alignment horizontal="justify" vertical="center" wrapText="1"/>
      <protection hidden="1"/>
    </xf>
    <xf numFmtId="0" fontId="13" fillId="15" borderId="11" xfId="30" applyFill="1" applyBorder="1" applyAlignment="1" applyProtection="1">
      <alignment horizontal="justify" vertical="center" wrapText="1"/>
      <protection hidden="1"/>
    </xf>
    <xf numFmtId="0" fontId="13" fillId="15" borderId="27" xfId="30" applyFill="1" applyBorder="1" applyAlignment="1" applyProtection="1">
      <alignment horizontal="justify" vertical="center" wrapText="1"/>
      <protection hidden="1"/>
    </xf>
    <xf numFmtId="0" fontId="14" fillId="6" borderId="51" xfId="30" applyFont="1" applyFill="1" applyBorder="1" applyAlignment="1" applyProtection="1">
      <alignment horizontal="right" vertical="center" wrapText="1"/>
      <protection locked="0"/>
    </xf>
    <xf numFmtId="0" fontId="14" fillId="6" borderId="13" xfId="30" applyFont="1" applyFill="1" applyBorder="1" applyAlignment="1" applyProtection="1">
      <alignment horizontal="right" vertical="center" wrapText="1"/>
      <protection locked="0"/>
    </xf>
    <xf numFmtId="0" fontId="14" fillId="6" borderId="25" xfId="30" applyFont="1" applyFill="1" applyBorder="1" applyAlignment="1" applyProtection="1">
      <alignment horizontal="right" vertical="center" wrapText="1"/>
      <protection locked="0"/>
    </xf>
    <xf numFmtId="0" fontId="14" fillId="6" borderId="38" xfId="30" applyFont="1" applyFill="1" applyBorder="1" applyAlignment="1" applyProtection="1">
      <alignment horizontal="right" vertical="center" wrapText="1"/>
      <protection locked="0"/>
    </xf>
    <xf numFmtId="0" fontId="14" fillId="6" borderId="19" xfId="30" applyFont="1" applyFill="1" applyBorder="1" applyAlignment="1" applyProtection="1">
      <alignment horizontal="right" vertical="center" wrapText="1"/>
      <protection locked="0"/>
    </xf>
    <xf numFmtId="0" fontId="14" fillId="0" borderId="0" xfId="30" applyFont="1" applyAlignment="1" applyProtection="1">
      <alignment horizontal="center" vertical="center" wrapText="1"/>
      <protection locked="0"/>
    </xf>
    <xf numFmtId="0" fontId="14" fillId="6" borderId="30" xfId="30" applyFont="1" applyFill="1" applyBorder="1" applyAlignment="1" applyProtection="1">
      <alignment horizontal="right" vertical="center" wrapText="1"/>
      <protection locked="0"/>
    </xf>
    <xf numFmtId="0" fontId="14" fillId="6" borderId="31" xfId="30" applyFont="1" applyFill="1" applyBorder="1" applyAlignment="1" applyProtection="1">
      <alignment horizontal="right" vertical="center" wrapText="1"/>
      <protection locked="0"/>
    </xf>
    <xf numFmtId="0" fontId="13" fillId="0" borderId="10" xfId="30" applyBorder="1" applyAlignment="1" applyProtection="1">
      <alignment horizontal="justify" vertical="center" wrapText="1"/>
      <protection locked="0"/>
    </xf>
    <xf numFmtId="0" fontId="13" fillId="0" borderId="11" xfId="30" applyBorder="1" applyAlignment="1" applyProtection="1">
      <alignment horizontal="justify" vertical="center" wrapText="1"/>
      <protection locked="0"/>
    </xf>
    <xf numFmtId="0" fontId="13" fillId="0" borderId="27" xfId="30" applyBorder="1" applyAlignment="1" applyProtection="1">
      <alignment horizontal="justify" vertical="center" wrapText="1"/>
      <protection locked="0"/>
    </xf>
    <xf numFmtId="0" fontId="13" fillId="0" borderId="4" xfId="9" applyFont="1" applyBorder="1" applyAlignment="1" applyProtection="1">
      <alignment horizontal="left" vertical="center" wrapText="1"/>
      <protection locked="0"/>
    </xf>
    <xf numFmtId="177" fontId="13" fillId="0" borderId="4" xfId="7" applyNumberFormat="1" applyFont="1" applyFill="1" applyBorder="1" applyAlignment="1" applyProtection="1">
      <alignment horizontal="left" vertical="center" wrapText="1"/>
      <protection locked="0"/>
    </xf>
    <xf numFmtId="0" fontId="14" fillId="3" borderId="4" xfId="9" applyFont="1" applyFill="1" applyBorder="1" applyAlignment="1" applyProtection="1">
      <alignment horizontal="right" vertical="center" wrapText="1"/>
      <protection locked="0"/>
    </xf>
    <xf numFmtId="169" fontId="13" fillId="0" borderId="4" xfId="7" applyFont="1" applyFill="1" applyBorder="1" applyAlignment="1" applyProtection="1">
      <alignment horizontal="left" vertical="center" wrapText="1"/>
      <protection locked="0"/>
    </xf>
    <xf numFmtId="0" fontId="14" fillId="6" borderId="4" xfId="30" applyFont="1" applyFill="1" applyBorder="1" applyAlignment="1" applyProtection="1">
      <alignment horizontal="left" vertical="center" wrapText="1"/>
      <protection locked="0"/>
    </xf>
    <xf numFmtId="169" fontId="14" fillId="6" borderId="4" xfId="7" applyFont="1" applyFill="1" applyBorder="1" applyAlignment="1" applyProtection="1">
      <alignment horizontal="center" vertical="center"/>
      <protection locked="0"/>
    </xf>
    <xf numFmtId="0" fontId="13" fillId="0" borderId="30" xfId="9" applyFont="1" applyBorder="1" applyAlignment="1" applyProtection="1">
      <alignment horizontal="center"/>
      <protection locked="0"/>
    </xf>
    <xf numFmtId="0" fontId="13" fillId="0" borderId="31" xfId="9" applyFont="1" applyBorder="1" applyAlignment="1" applyProtection="1">
      <alignment horizontal="center"/>
      <protection locked="0"/>
    </xf>
    <xf numFmtId="0" fontId="13" fillId="0" borderId="16" xfId="9" applyFont="1" applyBorder="1" applyAlignment="1" applyProtection="1">
      <alignment horizontal="center"/>
      <protection locked="0"/>
    </xf>
    <xf numFmtId="0" fontId="13" fillId="0" borderId="4" xfId="9" applyFont="1" applyBorder="1" applyAlignment="1" applyProtection="1">
      <alignment horizontal="center"/>
      <protection locked="0"/>
    </xf>
    <xf numFmtId="0" fontId="13" fillId="0" borderId="51" xfId="9" applyFont="1" applyBorder="1" applyAlignment="1" applyProtection="1">
      <alignment horizontal="center"/>
      <protection locked="0"/>
    </xf>
    <xf numFmtId="0" fontId="13" fillId="0" borderId="13" xfId="9" applyFont="1" applyBorder="1" applyAlignment="1" applyProtection="1">
      <alignment horizontal="center"/>
      <protection locked="0"/>
    </xf>
    <xf numFmtId="0" fontId="14" fillId="6" borderId="48" xfId="30" applyFont="1" applyFill="1" applyBorder="1" applyAlignment="1" applyProtection="1">
      <alignment horizontal="left" vertical="center" wrapText="1"/>
      <protection locked="0"/>
    </xf>
    <xf numFmtId="177" fontId="14" fillId="0" borderId="13" xfId="9" applyNumberFormat="1" applyFont="1" applyBorder="1" applyAlignment="1" applyProtection="1">
      <alignment horizontal="center" vertical="center"/>
      <protection locked="0"/>
    </xf>
    <xf numFmtId="0" fontId="14" fillId="0" borderId="52" xfId="9" applyFont="1" applyBorder="1" applyAlignment="1" applyProtection="1">
      <alignment horizontal="center" vertical="center"/>
      <protection locked="0"/>
    </xf>
    <xf numFmtId="0" fontId="14" fillId="3" borderId="37" xfId="9" applyFont="1" applyFill="1" applyBorder="1" applyAlignment="1" applyProtection="1">
      <alignment horizontal="left" vertical="center" wrapText="1"/>
      <protection locked="0"/>
    </xf>
    <xf numFmtId="0" fontId="14" fillId="3" borderId="38" xfId="9" applyFont="1" applyFill="1" applyBorder="1" applyAlignment="1" applyProtection="1">
      <alignment horizontal="left" vertical="center" wrapText="1"/>
      <protection locked="0"/>
    </xf>
    <xf numFmtId="0" fontId="14" fillId="3" borderId="19" xfId="9" applyFont="1" applyFill="1" applyBorder="1" applyAlignment="1" applyProtection="1">
      <alignment horizontal="left" vertical="center" wrapText="1"/>
      <protection locked="0"/>
    </xf>
    <xf numFmtId="169" fontId="14" fillId="0" borderId="21" xfId="7" applyFont="1" applyFill="1" applyBorder="1" applyAlignment="1" applyProtection="1">
      <alignment horizontal="center" vertical="center" wrapText="1"/>
      <protection locked="0"/>
    </xf>
    <xf numFmtId="169" fontId="14" fillId="0" borderId="35" xfId="7" applyFont="1" applyFill="1" applyBorder="1" applyAlignment="1" applyProtection="1">
      <alignment horizontal="center" vertical="center" wrapText="1"/>
      <protection locked="0"/>
    </xf>
    <xf numFmtId="0" fontId="14" fillId="15" borderId="25" xfId="9" applyFont="1" applyFill="1" applyBorder="1" applyAlignment="1">
      <alignment horizontal="right" vertical="center" wrapText="1"/>
    </xf>
    <xf numFmtId="0" fontId="14" fillId="15" borderId="38" xfId="9" applyFont="1" applyFill="1" applyBorder="1" applyAlignment="1">
      <alignment horizontal="right" vertical="center" wrapText="1"/>
    </xf>
    <xf numFmtId="0" fontId="14" fillId="15" borderId="19" xfId="9" applyFont="1" applyFill="1" applyBorder="1" applyAlignment="1">
      <alignment horizontal="right" vertical="center" wrapText="1"/>
    </xf>
    <xf numFmtId="0" fontId="14" fillId="7" borderId="25" xfId="9" applyFont="1" applyFill="1" applyBorder="1" applyAlignment="1" applyProtection="1">
      <alignment horizontal="right" vertical="center" wrapText="1"/>
      <protection locked="0"/>
    </xf>
    <xf numFmtId="0" fontId="14" fillId="7" borderId="38" xfId="9" applyFont="1" applyFill="1" applyBorder="1" applyAlignment="1" applyProtection="1">
      <alignment horizontal="right" vertical="center" wrapText="1"/>
      <protection locked="0"/>
    </xf>
    <xf numFmtId="0" fontId="14" fillId="7" borderId="19" xfId="9" applyFont="1" applyFill="1" applyBorder="1" applyAlignment="1" applyProtection="1">
      <alignment horizontal="right" vertical="center" wrapText="1"/>
      <protection locked="0"/>
    </xf>
    <xf numFmtId="171" fontId="17" fillId="6" borderId="20" xfId="8" applyNumberFormat="1" applyFont="1" applyFill="1" applyBorder="1" applyAlignment="1" applyProtection="1">
      <alignment horizontal="right" vertical="center"/>
      <protection locked="0"/>
    </xf>
    <xf numFmtId="171" fontId="17" fillId="6" borderId="21" xfId="8" applyNumberFormat="1" applyFont="1" applyFill="1" applyBorder="1" applyAlignment="1" applyProtection="1">
      <alignment horizontal="right" vertical="center"/>
      <protection locked="0"/>
    </xf>
    <xf numFmtId="171" fontId="17" fillId="6" borderId="35" xfId="8" applyNumberFormat="1" applyFont="1" applyFill="1" applyBorder="1" applyAlignment="1" applyProtection="1">
      <alignment horizontal="right" vertical="center"/>
      <protection locked="0"/>
    </xf>
    <xf numFmtId="0" fontId="14" fillId="15" borderId="39" xfId="9" applyFont="1" applyFill="1" applyBorder="1" applyAlignment="1">
      <alignment horizontal="right" vertical="center" wrapText="1"/>
    </xf>
    <xf numFmtId="0" fontId="14" fillId="15" borderId="40" xfId="9" applyFont="1" applyFill="1" applyBorder="1" applyAlignment="1">
      <alignment horizontal="right" vertical="center" wrapText="1"/>
    </xf>
    <xf numFmtId="0" fontId="14" fillId="15" borderId="41" xfId="9" applyFont="1" applyFill="1" applyBorder="1" applyAlignment="1">
      <alignment horizontal="right" vertical="center" wrapText="1"/>
    </xf>
    <xf numFmtId="0" fontId="14" fillId="0" borderId="9" xfId="9" applyFont="1" applyBorder="1" applyAlignment="1" applyProtection="1">
      <alignment horizontal="center" vertical="center" wrapText="1"/>
      <protection locked="0"/>
    </xf>
    <xf numFmtId="0" fontId="14" fillId="0" borderId="0" xfId="9" applyFont="1" applyAlignment="1" applyProtection="1">
      <alignment horizontal="center" vertical="center" wrapText="1"/>
      <protection locked="0"/>
    </xf>
    <xf numFmtId="177" fontId="14" fillId="0" borderId="5" xfId="9" applyNumberFormat="1" applyFont="1" applyBorder="1" applyAlignment="1" applyProtection="1">
      <alignment horizontal="center" vertical="center"/>
      <protection locked="0"/>
    </xf>
    <xf numFmtId="0" fontId="14" fillId="0" borderId="43" xfId="9" applyFont="1" applyBorder="1" applyAlignment="1" applyProtection="1">
      <alignment horizontal="center" vertical="center"/>
      <protection locked="0"/>
    </xf>
    <xf numFmtId="0" fontId="14" fillId="0" borderId="5" xfId="9" applyFont="1" applyBorder="1" applyAlignment="1" applyProtection="1">
      <alignment horizontal="justify" vertical="top" wrapText="1"/>
      <protection locked="0"/>
    </xf>
    <xf numFmtId="0" fontId="14" fillId="0" borderId="6" xfId="9" applyFont="1" applyBorder="1" applyAlignment="1" applyProtection="1">
      <alignment horizontal="justify" vertical="top" wrapText="1"/>
      <protection locked="0"/>
    </xf>
    <xf numFmtId="0" fontId="14" fillId="0" borderId="13" xfId="9" applyFont="1" applyBorder="1" applyAlignment="1" applyProtection="1">
      <alignment horizontal="justify" vertical="top" wrapText="1"/>
      <protection locked="0"/>
    </xf>
    <xf numFmtId="0" fontId="14" fillId="0" borderId="14" xfId="9" applyFont="1" applyBorder="1" applyAlignment="1" applyProtection="1">
      <alignment horizontal="justify" vertical="top" wrapText="1"/>
      <protection locked="0"/>
    </xf>
    <xf numFmtId="0" fontId="14" fillId="7" borderId="10" xfId="9" applyFont="1" applyFill="1" applyBorder="1" applyAlignment="1" applyProtection="1">
      <alignment horizontal="center" vertical="center" wrapText="1"/>
      <protection locked="0"/>
    </xf>
    <xf numFmtId="0" fontId="14" fillId="7" borderId="11" xfId="9" applyFont="1" applyFill="1" applyBorder="1" applyAlignment="1" applyProtection="1">
      <alignment horizontal="center" vertical="center" wrapText="1"/>
      <protection locked="0"/>
    </xf>
    <xf numFmtId="0" fontId="14" fillId="7" borderId="27" xfId="9" applyFont="1" applyFill="1" applyBorder="1" applyAlignment="1" applyProtection="1">
      <alignment horizontal="center" vertical="center" wrapText="1"/>
      <protection locked="0"/>
    </xf>
    <xf numFmtId="177" fontId="14" fillId="0" borderId="4" xfId="9" applyNumberFormat="1" applyFont="1" applyBorder="1" applyAlignment="1" applyProtection="1">
      <alignment horizontal="center" vertical="center"/>
      <protection locked="0"/>
    </xf>
    <xf numFmtId="0" fontId="14" fillId="0" borderId="37" xfId="9" applyFont="1" applyBorder="1" applyAlignment="1" applyProtection="1">
      <alignment horizontal="center" vertical="center"/>
      <protection locked="0"/>
    </xf>
    <xf numFmtId="0" fontId="14" fillId="0" borderId="4" xfId="9" applyFont="1" applyBorder="1" applyAlignment="1" applyProtection="1">
      <alignment horizontal="justify" vertical="top" wrapText="1"/>
      <protection locked="0"/>
    </xf>
    <xf numFmtId="0" fontId="14" fillId="0" borderId="23" xfId="9" applyFont="1" applyBorder="1" applyAlignment="1" applyProtection="1">
      <alignment horizontal="justify" vertical="top" wrapText="1"/>
      <protection locked="0"/>
    </xf>
    <xf numFmtId="0" fontId="14" fillId="9" borderId="16" xfId="9" applyFont="1" applyFill="1" applyBorder="1" applyAlignment="1" applyProtection="1">
      <alignment horizontal="right" vertical="center" wrapText="1"/>
      <protection locked="0"/>
    </xf>
    <xf numFmtId="0" fontId="14" fillId="9" borderId="4" xfId="9" applyFont="1" applyFill="1" applyBorder="1" applyAlignment="1" applyProtection="1">
      <alignment horizontal="right" vertical="center" wrapText="1"/>
      <protection locked="0"/>
    </xf>
    <xf numFmtId="171" fontId="17" fillId="3" borderId="10" xfId="8" applyNumberFormat="1" applyFont="1" applyFill="1" applyBorder="1" applyAlignment="1" applyProtection="1">
      <alignment horizontal="right" vertical="center"/>
      <protection locked="0"/>
    </xf>
    <xf numFmtId="171" fontId="17" fillId="3" borderId="11" xfId="8" applyNumberFormat="1" applyFont="1" applyFill="1" applyBorder="1" applyAlignment="1" applyProtection="1">
      <alignment horizontal="right" vertical="center"/>
      <protection locked="0"/>
    </xf>
    <xf numFmtId="177" fontId="14" fillId="0" borderId="40" xfId="7" applyNumberFormat="1" applyFont="1" applyFill="1" applyBorder="1" applyAlignment="1" applyProtection="1">
      <alignment horizontal="center" vertical="center" wrapText="1"/>
      <protection locked="0"/>
    </xf>
    <xf numFmtId="177" fontId="14" fillId="0" borderId="49" xfId="7" applyNumberFormat="1" applyFont="1" applyFill="1" applyBorder="1" applyAlignment="1" applyProtection="1">
      <alignment horizontal="center" vertical="center" wrapText="1"/>
      <protection locked="0"/>
    </xf>
    <xf numFmtId="0" fontId="13" fillId="0" borderId="16" xfId="9" applyFont="1" applyBorder="1" applyAlignment="1" applyProtection="1">
      <alignment horizontal="left" vertical="center" wrapText="1"/>
      <protection locked="0"/>
    </xf>
    <xf numFmtId="0" fontId="14" fillId="15" borderId="32" xfId="9" applyFont="1" applyFill="1" applyBorder="1" applyAlignment="1">
      <alignment horizontal="right" vertical="center" wrapText="1"/>
    </xf>
    <xf numFmtId="0" fontId="14" fillId="15" borderId="33" xfId="9" applyFont="1" applyFill="1" applyBorder="1" applyAlignment="1">
      <alignment horizontal="right" vertical="center" wrapText="1"/>
    </xf>
    <xf numFmtId="177" fontId="14" fillId="0" borderId="2" xfId="9" applyNumberFormat="1" applyFont="1" applyBorder="1" applyAlignment="1" applyProtection="1">
      <alignment horizontal="center" vertical="center"/>
      <protection locked="0"/>
    </xf>
    <xf numFmtId="0" fontId="14" fillId="0" borderId="70" xfId="9" applyFont="1" applyBorder="1" applyAlignment="1" applyProtection="1">
      <alignment horizontal="center" vertical="center"/>
      <protection locked="0"/>
    </xf>
    <xf numFmtId="0" fontId="13" fillId="0" borderId="1" xfId="9" applyFont="1" applyBorder="1" applyAlignment="1" applyProtection="1">
      <alignment horizontal="justify" vertical="top" wrapText="1"/>
      <protection locked="0"/>
    </xf>
    <xf numFmtId="0" fontId="13" fillId="0" borderId="2" xfId="9" applyFont="1" applyBorder="1" applyAlignment="1" applyProtection="1">
      <alignment horizontal="justify" vertical="top" wrapText="1"/>
      <protection locked="0"/>
    </xf>
    <xf numFmtId="0" fontId="13" fillId="0" borderId="3" xfId="9" applyFont="1" applyBorder="1" applyAlignment="1" applyProtection="1">
      <alignment horizontal="justify" vertical="top" wrapText="1"/>
      <protection locked="0"/>
    </xf>
    <xf numFmtId="0" fontId="14" fillId="3" borderId="16" xfId="9" applyFont="1" applyFill="1" applyBorder="1" applyAlignment="1" applyProtection="1">
      <alignment horizontal="right" vertical="center" wrapText="1"/>
      <protection locked="0"/>
    </xf>
    <xf numFmtId="0" fontId="14" fillId="9" borderId="30" xfId="30" applyFont="1" applyFill="1" applyBorder="1" applyAlignment="1" applyProtection="1">
      <alignment horizontal="center" vertical="center" wrapText="1"/>
      <protection locked="0"/>
    </xf>
    <xf numFmtId="0" fontId="14" fillId="9" borderId="31" xfId="30" applyFont="1" applyFill="1" applyBorder="1" applyAlignment="1" applyProtection="1">
      <alignment horizontal="center" vertical="center" wrapText="1"/>
      <protection locked="0"/>
    </xf>
    <xf numFmtId="0" fontId="14" fillId="9" borderId="24" xfId="30" applyFont="1" applyFill="1" applyBorder="1" applyAlignment="1" applyProtection="1">
      <alignment horizontal="center" vertical="center" wrapText="1"/>
      <protection locked="0"/>
    </xf>
    <xf numFmtId="0" fontId="14" fillId="3" borderId="16" xfId="9" applyFont="1" applyFill="1" applyBorder="1" applyAlignment="1" applyProtection="1">
      <alignment horizontal="left" vertical="center" wrapText="1"/>
      <protection locked="0"/>
    </xf>
    <xf numFmtId="0" fontId="14" fillId="3" borderId="4" xfId="9" applyFont="1" applyFill="1" applyBorder="1" applyAlignment="1" applyProtection="1">
      <alignment horizontal="left" vertical="center" wrapText="1"/>
      <protection locked="0"/>
    </xf>
    <xf numFmtId="0" fontId="14" fillId="3" borderId="23" xfId="9" applyFont="1" applyFill="1" applyBorder="1" applyAlignment="1" applyProtection="1">
      <alignment horizontal="left" vertical="center" wrapText="1"/>
      <protection locked="0"/>
    </xf>
    <xf numFmtId="0" fontId="14" fillId="6" borderId="20" xfId="30" applyFont="1" applyFill="1" applyBorder="1" applyAlignment="1" applyProtection="1">
      <alignment horizontal="left" vertical="center" wrapText="1"/>
      <protection locked="0"/>
    </xf>
    <xf numFmtId="0" fontId="14" fillId="6" borderId="21" xfId="30" applyFont="1" applyFill="1" applyBorder="1" applyAlignment="1" applyProtection="1">
      <alignment horizontal="left" vertical="center" wrapText="1"/>
      <protection locked="0"/>
    </xf>
    <xf numFmtId="0" fontId="14" fillId="6" borderId="42" xfId="30" applyFont="1" applyFill="1" applyBorder="1" applyAlignment="1" applyProtection="1">
      <alignment horizontal="left" vertical="center" wrapText="1"/>
      <protection locked="0"/>
    </xf>
    <xf numFmtId="0" fontId="14" fillId="6" borderId="47" xfId="30" applyFont="1" applyFill="1" applyBorder="1" applyAlignment="1" applyProtection="1">
      <alignment horizontal="left" vertical="center" wrapText="1"/>
      <protection locked="0"/>
    </xf>
    <xf numFmtId="169" fontId="14" fillId="6" borderId="31" xfId="7" applyFont="1" applyFill="1" applyBorder="1" applyAlignment="1" applyProtection="1">
      <alignment horizontal="center" vertical="center"/>
      <protection locked="0"/>
    </xf>
    <xf numFmtId="169" fontId="14" fillId="6" borderId="24" xfId="7" applyFont="1" applyFill="1" applyBorder="1" applyAlignment="1" applyProtection="1">
      <alignment horizontal="center" vertical="center"/>
      <protection locked="0"/>
    </xf>
    <xf numFmtId="169" fontId="14" fillId="6" borderId="7" xfId="7" applyFont="1" applyFill="1" applyBorder="1" applyAlignment="1" applyProtection="1">
      <alignment horizontal="center" vertical="center"/>
      <protection locked="0"/>
    </xf>
    <xf numFmtId="169" fontId="14" fillId="6" borderId="8" xfId="7" applyFont="1" applyFill="1" applyBorder="1" applyAlignment="1" applyProtection="1">
      <alignment horizontal="center" vertical="center"/>
      <protection locked="0"/>
    </xf>
    <xf numFmtId="0" fontId="13" fillId="0" borderId="0" xfId="9" applyFont="1" applyAlignment="1" applyProtection="1">
      <alignment horizontal="center" vertical="top" wrapText="1"/>
      <protection locked="0"/>
    </xf>
    <xf numFmtId="0" fontId="13" fillId="3" borderId="10" xfId="9" applyFont="1" applyFill="1" applyBorder="1" applyAlignment="1" applyProtection="1">
      <alignment horizontal="justify" vertical="top" wrapText="1"/>
      <protection locked="0"/>
    </xf>
    <xf numFmtId="0" fontId="13" fillId="3" borderId="11" xfId="9" applyFont="1" applyFill="1" applyBorder="1" applyAlignment="1" applyProtection="1">
      <alignment horizontal="justify" vertical="top" wrapText="1"/>
      <protection locked="0"/>
    </xf>
    <xf numFmtId="0" fontId="13" fillId="3" borderId="27" xfId="9" applyFont="1" applyFill="1" applyBorder="1" applyAlignment="1" applyProtection="1">
      <alignment horizontal="justify" vertical="top" wrapText="1"/>
      <protection locked="0"/>
    </xf>
    <xf numFmtId="0" fontId="14" fillId="6" borderId="4" xfId="9" applyFont="1" applyFill="1" applyBorder="1" applyAlignment="1" applyProtection="1">
      <alignment horizontal="left" vertical="center"/>
      <protection locked="0"/>
    </xf>
    <xf numFmtId="0" fontId="13" fillId="0" borderId="54" xfId="9" applyFont="1" applyBorder="1" applyAlignment="1" applyProtection="1">
      <alignment horizontal="center"/>
      <protection locked="0"/>
    </xf>
    <xf numFmtId="0" fontId="13" fillId="0" borderId="61" xfId="9" applyFont="1" applyBorder="1" applyAlignment="1" applyProtection="1">
      <alignment horizontal="center"/>
      <protection locked="0"/>
    </xf>
    <xf numFmtId="0" fontId="13" fillId="0" borderId="57" xfId="9" applyFont="1" applyBorder="1" applyAlignment="1" applyProtection="1">
      <alignment horizontal="center"/>
      <protection locked="0"/>
    </xf>
    <xf numFmtId="0" fontId="13" fillId="15" borderId="10" xfId="30" applyFill="1" applyBorder="1" applyAlignment="1" applyProtection="1">
      <alignment vertical="center" wrapText="1"/>
      <protection hidden="1"/>
    </xf>
    <xf numFmtId="0" fontId="13" fillId="15" borderId="11" xfId="30" applyFill="1" applyBorder="1" applyAlignment="1" applyProtection="1">
      <alignment vertical="center" wrapText="1"/>
      <protection hidden="1"/>
    </xf>
    <xf numFmtId="0" fontId="13" fillId="15" borderId="27" xfId="30" applyFill="1" applyBorder="1" applyAlignment="1" applyProtection="1">
      <alignment vertical="center" wrapText="1"/>
      <protection hidden="1"/>
    </xf>
    <xf numFmtId="0" fontId="17" fillId="6" borderId="51" xfId="21" applyFont="1" applyFill="1" applyBorder="1" applyAlignment="1" applyProtection="1">
      <alignment horizontal="right" vertical="center"/>
      <protection locked="0"/>
    </xf>
    <xf numFmtId="0" fontId="17" fillId="6" borderId="13" xfId="21" applyFont="1" applyFill="1" applyBorder="1" applyAlignment="1" applyProtection="1">
      <alignment horizontal="right" vertical="center"/>
      <protection locked="0"/>
    </xf>
    <xf numFmtId="0" fontId="13" fillId="2" borderId="20" xfId="9" applyFont="1" applyFill="1" applyBorder="1" applyAlignment="1" applyProtection="1">
      <alignment horizontal="center"/>
      <protection locked="0"/>
    </xf>
    <xf numFmtId="0" fontId="13" fillId="2" borderId="9" xfId="9" applyFont="1" applyFill="1" applyBorder="1" applyAlignment="1" applyProtection="1">
      <alignment horizontal="center"/>
      <protection locked="0"/>
    </xf>
    <xf numFmtId="0" fontId="13" fillId="2" borderId="22" xfId="9" applyFont="1" applyFill="1" applyBorder="1" applyAlignment="1" applyProtection="1">
      <alignment horizontal="center"/>
      <protection locked="0"/>
    </xf>
    <xf numFmtId="0" fontId="13" fillId="2" borderId="46" xfId="9" applyFont="1" applyFill="1" applyBorder="1" applyAlignment="1" applyProtection="1">
      <alignment horizontal="center" vertical="center"/>
      <protection locked="0"/>
    </xf>
    <xf numFmtId="0" fontId="13" fillId="2" borderId="40" xfId="9" applyFont="1" applyFill="1" applyBorder="1" applyAlignment="1" applyProtection="1">
      <alignment horizontal="center" vertical="center"/>
      <protection locked="0"/>
    </xf>
    <xf numFmtId="0" fontId="13" fillId="2" borderId="49" xfId="9" applyFont="1" applyFill="1" applyBorder="1" applyAlignment="1" applyProtection="1">
      <alignment horizontal="center" vertical="center"/>
      <protection locked="0"/>
    </xf>
    <xf numFmtId="0" fontId="13" fillId="2" borderId="37" xfId="9" applyFont="1" applyFill="1" applyBorder="1" applyAlignment="1" applyProtection="1">
      <alignment horizontal="center" vertical="center"/>
      <protection locked="0"/>
    </xf>
    <xf numFmtId="0" fontId="13" fillId="2" borderId="38" xfId="9" applyFont="1" applyFill="1" applyBorder="1" applyAlignment="1" applyProtection="1">
      <alignment horizontal="center" vertical="center"/>
      <protection locked="0"/>
    </xf>
    <xf numFmtId="0" fontId="13" fillId="2" borderId="45" xfId="9" applyFont="1" applyFill="1" applyBorder="1" applyAlignment="1" applyProtection="1">
      <alignment horizontal="center" vertical="center"/>
      <protection locked="0"/>
    </xf>
    <xf numFmtId="0" fontId="24" fillId="6" borderId="10" xfId="21" applyFont="1" applyFill="1" applyBorder="1" applyAlignment="1" applyProtection="1">
      <alignment horizontal="justify" vertical="top" wrapText="1"/>
      <protection locked="0"/>
    </xf>
    <xf numFmtId="0" fontId="24" fillId="6" borderId="11" xfId="21" applyFont="1" applyFill="1" applyBorder="1" applyAlignment="1" applyProtection="1">
      <alignment horizontal="justify" vertical="top" wrapText="1"/>
      <protection locked="0"/>
    </xf>
    <xf numFmtId="0" fontId="24" fillId="6" borderId="27" xfId="21" applyFont="1" applyFill="1" applyBorder="1" applyAlignment="1" applyProtection="1">
      <alignment horizontal="justify" vertical="top" wrapText="1"/>
      <protection locked="0"/>
    </xf>
    <xf numFmtId="0" fontId="17" fillId="3" borderId="10" xfId="21" applyFont="1" applyFill="1" applyBorder="1" applyAlignment="1" applyProtection="1">
      <alignment horizontal="left" vertical="center"/>
      <protection locked="0"/>
    </xf>
    <xf numFmtId="0" fontId="17" fillId="3" borderId="11" xfId="21" applyFont="1" applyFill="1" applyBorder="1" applyAlignment="1" applyProtection="1">
      <alignment horizontal="left" vertical="center"/>
      <protection locked="0"/>
    </xf>
    <xf numFmtId="0" fontId="17" fillId="3" borderId="27" xfId="21" applyFont="1" applyFill="1" applyBorder="1" applyAlignment="1" applyProtection="1">
      <alignment horizontal="left" vertical="center"/>
      <protection locked="0"/>
    </xf>
    <xf numFmtId="0" fontId="17" fillId="6" borderId="26" xfId="9" applyFont="1" applyFill="1" applyBorder="1" applyAlignment="1">
      <alignment horizontal="right" vertical="center" wrapText="1"/>
    </xf>
    <xf numFmtId="0" fontId="17" fillId="6" borderId="17" xfId="9" applyFont="1" applyFill="1" applyBorder="1" applyAlignment="1">
      <alignment horizontal="right" vertical="center" wrapText="1"/>
    </xf>
    <xf numFmtId="0" fontId="17" fillId="6" borderId="44" xfId="9" applyFont="1" applyFill="1" applyBorder="1" applyAlignment="1">
      <alignment horizontal="right" vertical="center" wrapText="1"/>
    </xf>
    <xf numFmtId="0" fontId="17" fillId="6" borderId="25" xfId="9" applyFont="1" applyFill="1" applyBorder="1" applyAlignment="1">
      <alignment horizontal="right" vertical="center" wrapText="1"/>
    </xf>
    <xf numFmtId="0" fontId="17" fillId="6" borderId="38" xfId="9" applyFont="1" applyFill="1" applyBorder="1" applyAlignment="1">
      <alignment horizontal="right" vertical="center" wrapText="1"/>
    </xf>
    <xf numFmtId="0" fontId="17" fillId="6" borderId="19" xfId="9" applyFont="1" applyFill="1" applyBorder="1" applyAlignment="1">
      <alignment horizontal="right" vertical="center" wrapText="1"/>
    </xf>
    <xf numFmtId="0" fontId="17" fillId="6" borderId="32" xfId="9" applyFont="1" applyFill="1" applyBorder="1" applyAlignment="1">
      <alignment horizontal="right" vertical="center" wrapText="1"/>
    </xf>
    <xf numFmtId="0" fontId="17" fillId="6" borderId="33" xfId="9" applyFont="1" applyFill="1" applyBorder="1" applyAlignment="1">
      <alignment horizontal="right" vertical="center" wrapText="1"/>
    </xf>
    <xf numFmtId="0" fontId="17" fillId="6" borderId="34" xfId="9" applyFont="1" applyFill="1" applyBorder="1" applyAlignment="1">
      <alignment horizontal="right" vertical="center" wrapText="1"/>
    </xf>
    <xf numFmtId="0" fontId="25" fillId="0" borderId="4" xfId="21" applyFont="1" applyBorder="1" applyAlignment="1" applyProtection="1">
      <alignment horizontal="left" vertical="center"/>
      <protection hidden="1"/>
    </xf>
    <xf numFmtId="177" fontId="25" fillId="0" borderId="4" xfId="7" applyNumberFormat="1" applyFont="1" applyFill="1" applyBorder="1" applyAlignment="1" applyProtection="1">
      <alignment horizontal="center" vertical="center"/>
      <protection hidden="1"/>
    </xf>
    <xf numFmtId="0" fontId="28" fillId="15" borderId="4" xfId="9" applyFont="1" applyFill="1" applyBorder="1" applyAlignment="1" applyProtection="1">
      <alignment horizontal="center" vertical="center" wrapText="1"/>
      <protection hidden="1"/>
    </xf>
    <xf numFmtId="169" fontId="25" fillId="0" borderId="4" xfId="7" applyFont="1" applyFill="1" applyBorder="1" applyAlignment="1" applyProtection="1">
      <alignment horizontal="center" vertical="center"/>
      <protection locked="0"/>
    </xf>
    <xf numFmtId="0" fontId="24" fillId="6" borderId="39" xfId="21" applyFont="1" applyFill="1" applyBorder="1" applyAlignment="1" applyProtection="1">
      <alignment horizontal="center" vertical="center"/>
      <protection locked="0"/>
    </xf>
    <xf numFmtId="0" fontId="24" fillId="6" borderId="40" xfId="21" applyFont="1" applyFill="1" applyBorder="1" applyAlignment="1" applyProtection="1">
      <alignment horizontal="center" vertical="center"/>
      <protection locked="0"/>
    </xf>
    <xf numFmtId="0" fontId="24" fillId="6" borderId="49" xfId="21" applyFont="1" applyFill="1" applyBorder="1" applyAlignment="1" applyProtection="1">
      <alignment horizontal="center" vertical="center"/>
      <protection locked="0"/>
    </xf>
    <xf numFmtId="0" fontId="25" fillId="0" borderId="10" xfId="21" applyFont="1" applyBorder="1" applyAlignment="1" applyProtection="1">
      <alignment horizontal="justify" vertical="top" wrapText="1"/>
      <protection locked="0"/>
    </xf>
    <xf numFmtId="0" fontId="25" fillId="0" borderId="11" xfId="21" applyFont="1" applyBorder="1" applyAlignment="1" applyProtection="1">
      <alignment horizontal="justify" vertical="top" wrapText="1"/>
      <protection locked="0"/>
    </xf>
    <xf numFmtId="0" fontId="25" fillId="0" borderId="27" xfId="21" applyFont="1" applyBorder="1" applyAlignment="1" applyProtection="1">
      <alignment horizontal="justify" vertical="top" wrapText="1"/>
      <protection locked="0"/>
    </xf>
    <xf numFmtId="0" fontId="24" fillId="6" borderId="51" xfId="21" applyFont="1" applyFill="1" applyBorder="1" applyAlignment="1" applyProtection="1">
      <alignment horizontal="right" vertical="center"/>
      <protection locked="0"/>
    </xf>
    <xf numFmtId="0" fontId="24" fillId="6" borderId="13" xfId="21" applyFont="1" applyFill="1" applyBorder="1" applyAlignment="1" applyProtection="1">
      <alignment horizontal="right" vertical="center"/>
      <protection locked="0"/>
    </xf>
    <xf numFmtId="177" fontId="13" fillId="0" borderId="4" xfId="8" applyNumberFormat="1" applyFont="1" applyFill="1" applyBorder="1" applyAlignment="1" applyProtection="1">
      <alignment horizontal="left" vertical="center" wrapText="1"/>
      <protection locked="0"/>
    </xf>
    <xf numFmtId="0" fontId="13" fillId="2" borderId="41" xfId="9" applyFont="1" applyFill="1" applyBorder="1" applyAlignment="1" applyProtection="1">
      <alignment horizontal="center" vertical="center"/>
      <protection locked="0"/>
    </xf>
    <xf numFmtId="0" fontId="13" fillId="2" borderId="31" xfId="9" applyFont="1" applyFill="1" applyBorder="1" applyAlignment="1" applyProtection="1">
      <alignment horizontal="center" vertical="center"/>
      <protection locked="0"/>
    </xf>
    <xf numFmtId="0" fontId="13" fillId="2" borderId="24" xfId="9" applyFont="1" applyFill="1" applyBorder="1" applyAlignment="1" applyProtection="1">
      <alignment horizontal="center" vertical="center"/>
      <protection locked="0"/>
    </xf>
    <xf numFmtId="0" fontId="25" fillId="0" borderId="19" xfId="21" applyFont="1" applyBorder="1" applyAlignment="1" applyProtection="1">
      <alignment horizontal="center" vertical="center"/>
      <protection locked="0"/>
    </xf>
    <xf numFmtId="0" fontId="25" fillId="0" borderId="4" xfId="21" applyFont="1" applyBorder="1" applyAlignment="1" applyProtection="1">
      <alignment horizontal="center" vertical="center"/>
      <protection locked="0"/>
    </xf>
    <xf numFmtId="0" fontId="25" fillId="0" borderId="23" xfId="21" applyFont="1" applyBorder="1" applyAlignment="1" applyProtection="1">
      <alignment horizontal="center" vertical="center"/>
      <protection locked="0"/>
    </xf>
    <xf numFmtId="0" fontId="24" fillId="6" borderId="37" xfId="21" applyFont="1" applyFill="1" applyBorder="1" applyAlignment="1" applyProtection="1">
      <alignment horizontal="center" vertical="center"/>
      <protection locked="0"/>
    </xf>
    <xf numFmtId="0" fontId="24" fillId="6" borderId="38" xfId="21" applyFont="1" applyFill="1" applyBorder="1" applyAlignment="1" applyProtection="1">
      <alignment horizontal="center" vertical="center"/>
      <protection locked="0"/>
    </xf>
    <xf numFmtId="0" fontId="24" fillId="6" borderId="19" xfId="21" applyFont="1" applyFill="1" applyBorder="1" applyAlignment="1" applyProtection="1">
      <alignment horizontal="center" vertical="center"/>
      <protection locked="0"/>
    </xf>
    <xf numFmtId="0" fontId="24" fillId="6" borderId="37" xfId="21" applyFont="1" applyFill="1" applyBorder="1" applyAlignment="1" applyProtection="1">
      <alignment horizontal="right" vertical="center"/>
      <protection hidden="1"/>
    </xf>
    <xf numFmtId="0" fontId="24" fillId="6" borderId="38" xfId="21" applyFont="1" applyFill="1" applyBorder="1" applyAlignment="1" applyProtection="1">
      <alignment horizontal="right" vertical="center"/>
      <protection hidden="1"/>
    </xf>
    <xf numFmtId="0" fontId="24" fillId="6" borderId="19" xfId="21" applyFont="1" applyFill="1" applyBorder="1" applyAlignment="1" applyProtection="1">
      <alignment horizontal="right" vertical="center"/>
      <protection hidden="1"/>
    </xf>
    <xf numFmtId="0" fontId="25" fillId="0" borderId="21" xfId="21" applyFont="1" applyBorder="1" applyAlignment="1" applyProtection="1">
      <alignment horizontal="center" vertical="center"/>
      <protection locked="0"/>
    </xf>
    <xf numFmtId="0" fontId="25" fillId="0" borderId="35" xfId="21" applyFont="1" applyBorder="1" applyAlignment="1" applyProtection="1">
      <alignment horizontal="center" vertical="center"/>
      <protection locked="0"/>
    </xf>
    <xf numFmtId="0" fontId="25" fillId="0" borderId="0" xfId="21" applyFont="1" applyAlignment="1" applyProtection="1">
      <alignment horizontal="center" vertical="center"/>
      <protection locked="0"/>
    </xf>
    <xf numFmtId="0" fontId="25" fillId="0" borderId="48" xfId="21" applyFont="1" applyBorder="1" applyAlignment="1" applyProtection="1">
      <alignment horizontal="center" vertical="center"/>
      <protection locked="0"/>
    </xf>
    <xf numFmtId="0" fontId="25" fillId="0" borderId="12" xfId="21" applyFont="1" applyBorder="1" applyAlignment="1" applyProtection="1">
      <alignment horizontal="center" vertical="center"/>
      <protection locked="0"/>
    </xf>
    <xf numFmtId="0" fontId="25" fillId="0" borderId="36" xfId="21" applyFont="1" applyBorder="1" applyAlignment="1" applyProtection="1">
      <alignment horizontal="center" vertical="center"/>
      <protection locked="0"/>
    </xf>
    <xf numFmtId="0" fontId="25" fillId="6" borderId="37" xfId="21" applyFont="1" applyFill="1" applyBorder="1" applyAlignment="1" applyProtection="1">
      <alignment horizontal="center" vertical="center"/>
      <protection hidden="1"/>
    </xf>
    <xf numFmtId="0" fontId="25" fillId="6" borderId="38" xfId="21" applyFont="1" applyFill="1" applyBorder="1" applyAlignment="1" applyProtection="1">
      <alignment horizontal="center" vertical="center"/>
      <protection hidden="1"/>
    </xf>
    <xf numFmtId="0" fontId="25" fillId="6" borderId="19" xfId="21" applyFont="1" applyFill="1" applyBorder="1" applyAlignment="1" applyProtection="1">
      <alignment horizontal="center" vertical="center"/>
      <protection hidden="1"/>
    </xf>
    <xf numFmtId="0" fontId="24" fillId="6" borderId="4" xfId="21" applyFont="1" applyFill="1" applyBorder="1" applyAlignment="1" applyProtection="1">
      <alignment horizontal="center" vertical="center"/>
      <protection locked="0"/>
    </xf>
    <xf numFmtId="0" fontId="32" fillId="6" borderId="37" xfId="57" applyFill="1" applyBorder="1" applyAlignment="1" applyProtection="1">
      <alignment horizontal="left" vertical="center"/>
      <protection locked="0"/>
    </xf>
    <xf numFmtId="0" fontId="32" fillId="6" borderId="38" xfId="57" applyFill="1" applyBorder="1" applyAlignment="1" applyProtection="1">
      <alignment horizontal="left" vertical="center"/>
      <protection locked="0"/>
    </xf>
    <xf numFmtId="0" fontId="32" fillId="6" borderId="19" xfId="57" applyFill="1" applyBorder="1" applyAlignment="1" applyProtection="1">
      <alignment horizontal="left" vertical="center"/>
      <protection locked="0"/>
    </xf>
    <xf numFmtId="0" fontId="24" fillId="6" borderId="37" xfId="21" applyFont="1" applyFill="1" applyBorder="1" applyAlignment="1" applyProtection="1">
      <alignment horizontal="left" vertical="center"/>
      <protection locked="0"/>
    </xf>
    <xf numFmtId="0" fontId="24" fillId="6" borderId="19" xfId="21" applyFont="1" applyFill="1" applyBorder="1" applyAlignment="1" applyProtection="1">
      <alignment horizontal="left" vertical="center"/>
      <protection locked="0"/>
    </xf>
    <xf numFmtId="0" fontId="24" fillId="6" borderId="4" xfId="48" applyFont="1" applyFill="1" applyBorder="1" applyAlignment="1" applyProtection="1">
      <alignment horizontal="center" vertical="center"/>
      <protection locked="0"/>
    </xf>
    <xf numFmtId="0" fontId="24" fillId="6" borderId="10" xfId="48" applyFont="1" applyFill="1" applyBorder="1" applyAlignment="1" applyProtection="1">
      <alignment horizontal="justify" vertical="center" wrapText="1"/>
      <protection locked="0"/>
    </xf>
    <xf numFmtId="0" fontId="24" fillId="6" borderId="11" xfId="48" applyFont="1" applyFill="1" applyBorder="1" applyAlignment="1" applyProtection="1">
      <alignment horizontal="justify" vertical="center" wrapText="1"/>
      <protection locked="0"/>
    </xf>
    <xf numFmtId="0" fontId="24" fillId="6" borderId="27" xfId="48" applyFont="1" applyFill="1" applyBorder="1" applyAlignment="1" applyProtection="1">
      <alignment horizontal="justify" vertical="center" wrapText="1"/>
      <protection locked="0"/>
    </xf>
    <xf numFmtId="0" fontId="24" fillId="0" borderId="0" xfId="48" applyFont="1" applyAlignment="1" applyProtection="1">
      <alignment horizontal="center" wrapText="1"/>
      <protection locked="0"/>
    </xf>
    <xf numFmtId="0" fontId="24" fillId="9" borderId="37" xfId="48" applyFont="1" applyFill="1" applyBorder="1" applyAlignment="1" applyProtection="1">
      <alignment horizontal="right" vertical="center" wrapText="1"/>
      <protection locked="0"/>
    </xf>
    <xf numFmtId="0" fontId="24" fillId="9" borderId="38" xfId="48" applyFont="1" applyFill="1" applyBorder="1" applyAlignment="1" applyProtection="1">
      <alignment horizontal="right" vertical="center" wrapText="1"/>
      <protection locked="0"/>
    </xf>
    <xf numFmtId="0" fontId="24" fillId="9" borderId="19" xfId="48" applyFont="1" applyFill="1" applyBorder="1" applyAlignment="1" applyProtection="1">
      <alignment horizontal="right" vertical="center" wrapText="1"/>
      <protection locked="0"/>
    </xf>
    <xf numFmtId="0" fontId="24" fillId="6" borderId="37" xfId="48" applyFont="1" applyFill="1" applyBorder="1" applyAlignment="1" applyProtection="1">
      <alignment horizontal="right" vertical="center" wrapText="1"/>
      <protection locked="0"/>
    </xf>
    <xf numFmtId="0" fontId="24" fillId="6" borderId="38" xfId="48" applyFont="1" applyFill="1" applyBorder="1" applyAlignment="1" applyProtection="1">
      <alignment horizontal="right" vertical="center" wrapText="1"/>
      <protection locked="0"/>
    </xf>
    <xf numFmtId="0" fontId="24" fillId="6" borderId="19" xfId="48" applyFont="1" applyFill="1" applyBorder="1" applyAlignment="1" applyProtection="1">
      <alignment horizontal="right" vertical="center" wrapText="1"/>
      <protection locked="0"/>
    </xf>
    <xf numFmtId="0" fontId="14" fillId="3" borderId="37" xfId="9" applyFont="1" applyFill="1" applyBorder="1" applyAlignment="1" applyProtection="1">
      <alignment horizontal="right" vertical="center" wrapText="1"/>
      <protection locked="0"/>
    </xf>
    <xf numFmtId="0" fontId="14" fillId="3" borderId="38" xfId="9" applyFont="1" applyFill="1" applyBorder="1" applyAlignment="1" applyProtection="1">
      <alignment horizontal="right" vertical="center" wrapText="1"/>
      <protection locked="0"/>
    </xf>
    <xf numFmtId="0" fontId="14" fillId="3" borderId="19" xfId="9" applyFont="1" applyFill="1" applyBorder="1" applyAlignment="1" applyProtection="1">
      <alignment horizontal="right" vertical="center" wrapText="1"/>
      <protection locked="0"/>
    </xf>
    <xf numFmtId="0" fontId="24" fillId="6" borderId="10" xfId="48" applyFont="1" applyFill="1" applyBorder="1" applyAlignment="1" applyProtection="1">
      <alignment horizontal="left" vertical="center" wrapText="1"/>
      <protection locked="0"/>
    </xf>
    <xf numFmtId="0" fontId="24" fillId="6" borderId="11" xfId="48" applyFont="1" applyFill="1" applyBorder="1" applyAlignment="1" applyProtection="1">
      <alignment horizontal="left" vertical="center" wrapText="1"/>
      <protection locked="0"/>
    </xf>
    <xf numFmtId="0" fontId="24" fillId="6" borderId="27" xfId="48" applyFont="1" applyFill="1" applyBorder="1" applyAlignment="1" applyProtection="1">
      <alignment horizontal="left" vertical="center" wrapText="1"/>
      <protection locked="0"/>
    </xf>
    <xf numFmtId="0" fontId="14" fillId="6" borderId="4" xfId="9" applyFont="1" applyFill="1" applyBorder="1" applyAlignment="1" applyProtection="1">
      <alignment horizontal="right" vertical="center" wrapText="1"/>
      <protection locked="0"/>
    </xf>
    <xf numFmtId="0" fontId="14" fillId="0" borderId="65" xfId="9" applyFont="1" applyBorder="1" applyAlignment="1" applyProtection="1">
      <alignment horizontal="center" vertical="center" wrapText="1"/>
      <protection locked="0"/>
    </xf>
    <xf numFmtId="0" fontId="14" fillId="0" borderId="29" xfId="9" applyFont="1" applyBorder="1" applyAlignment="1" applyProtection="1">
      <alignment horizontal="center" vertical="center" wrapText="1"/>
      <protection locked="0"/>
    </xf>
    <xf numFmtId="0" fontId="14" fillId="7" borderId="37" xfId="9" applyFont="1" applyFill="1" applyBorder="1" applyAlignment="1" applyProtection="1">
      <alignment horizontal="right" vertical="center" wrapText="1"/>
      <protection locked="0"/>
    </xf>
    <xf numFmtId="169" fontId="13" fillId="0" borderId="13" xfId="7" applyFont="1" applyFill="1" applyBorder="1" applyAlignment="1" applyProtection="1">
      <alignment horizontal="center" vertical="center"/>
      <protection locked="0"/>
    </xf>
    <xf numFmtId="169" fontId="13" fillId="0" borderId="14" xfId="7" applyFont="1" applyFill="1" applyBorder="1" applyAlignment="1" applyProtection="1">
      <alignment horizontal="center" vertical="center"/>
      <protection locked="0"/>
    </xf>
    <xf numFmtId="0" fontId="14" fillId="9" borderId="4" xfId="30" applyFont="1" applyFill="1" applyBorder="1" applyAlignment="1" applyProtection="1">
      <alignment horizontal="center" vertical="center" wrapText="1"/>
      <protection locked="0"/>
    </xf>
    <xf numFmtId="0" fontId="14" fillId="6" borderId="30" xfId="30" applyFont="1" applyFill="1" applyBorder="1" applyAlignment="1" applyProtection="1">
      <alignment horizontal="center" vertical="center" wrapText="1"/>
      <protection locked="0"/>
    </xf>
    <xf numFmtId="0" fontId="14" fillId="6" borderId="31" xfId="30" applyFont="1" applyFill="1" applyBorder="1" applyAlignment="1" applyProtection="1">
      <alignment horizontal="center" vertical="center" wrapText="1"/>
      <protection locked="0"/>
    </xf>
    <xf numFmtId="0" fontId="14" fillId="6" borderId="24" xfId="30" applyFont="1" applyFill="1" applyBorder="1" applyAlignment="1" applyProtection="1">
      <alignment horizontal="center" vertical="center" wrapText="1"/>
      <protection locked="0"/>
    </xf>
    <xf numFmtId="0" fontId="13" fillId="4" borderId="52" xfId="9" applyFont="1" applyFill="1" applyBorder="1" applyAlignment="1" applyProtection="1">
      <alignment horizontal="center" vertical="center"/>
      <protection locked="0"/>
    </xf>
    <xf numFmtId="0" fontId="13" fillId="4" borderId="34" xfId="9" applyFont="1" applyFill="1" applyBorder="1" applyAlignment="1" applyProtection="1">
      <alignment horizontal="center" vertical="center"/>
      <protection locked="0"/>
    </xf>
    <xf numFmtId="0" fontId="13" fillId="4" borderId="62" xfId="9" applyFont="1" applyFill="1" applyBorder="1" applyAlignment="1" applyProtection="1">
      <alignment horizontal="center" vertical="center"/>
      <protection locked="0"/>
    </xf>
    <xf numFmtId="0" fontId="13" fillId="0" borderId="21" xfId="9" applyFont="1" applyBorder="1" applyAlignment="1" applyProtection="1">
      <alignment horizontal="center" vertical="center"/>
      <protection locked="0"/>
    </xf>
    <xf numFmtId="0" fontId="13" fillId="3" borderId="10" xfId="9" applyFont="1" applyFill="1" applyBorder="1" applyAlignment="1" applyProtection="1">
      <alignment horizontal="justify" vertical="center" wrapText="1"/>
      <protection locked="0"/>
    </xf>
    <xf numFmtId="0" fontId="13" fillId="3" borderId="11" xfId="9" applyFont="1" applyFill="1" applyBorder="1" applyAlignment="1" applyProtection="1">
      <alignment horizontal="justify" vertical="center"/>
      <protection locked="0"/>
    </xf>
    <xf numFmtId="0" fontId="13" fillId="3" borderId="27" xfId="9" applyFont="1" applyFill="1" applyBorder="1" applyAlignment="1" applyProtection="1">
      <alignment horizontal="justify" vertical="center"/>
      <protection locked="0"/>
    </xf>
    <xf numFmtId="0" fontId="13" fillId="0" borderId="0" xfId="9" applyFont="1" applyAlignment="1" applyProtection="1">
      <alignment horizontal="center" wrapText="1"/>
      <protection locked="0"/>
    </xf>
    <xf numFmtId="0" fontId="14" fillId="6" borderId="31" xfId="30" applyFont="1" applyFill="1" applyBorder="1" applyAlignment="1" applyProtection="1">
      <alignment horizontal="left" vertical="center" wrapText="1"/>
      <protection locked="0"/>
    </xf>
    <xf numFmtId="0" fontId="14" fillId="6" borderId="24" xfId="30" applyFont="1" applyFill="1" applyBorder="1" applyAlignment="1" applyProtection="1">
      <alignment horizontal="left" vertical="center" wrapText="1"/>
      <protection locked="0"/>
    </xf>
    <xf numFmtId="0" fontId="13" fillId="0" borderId="10" xfId="30" applyBorder="1" applyAlignment="1" applyProtection="1">
      <alignment horizontal="center" vertical="center" wrapText="1"/>
      <protection locked="0"/>
    </xf>
    <xf numFmtId="0" fontId="13" fillId="0" borderId="11" xfId="30" applyBorder="1" applyAlignment="1" applyProtection="1">
      <alignment horizontal="center" vertical="center" wrapText="1"/>
      <protection locked="0"/>
    </xf>
    <xf numFmtId="0" fontId="13" fillId="0" borderId="27" xfId="30" applyBorder="1" applyAlignment="1" applyProtection="1">
      <alignment horizontal="center" vertical="center" wrapText="1"/>
      <protection locked="0"/>
    </xf>
    <xf numFmtId="0" fontId="14" fillId="6" borderId="23" xfId="30" applyFont="1" applyFill="1" applyBorder="1" applyAlignment="1" applyProtection="1">
      <alignment horizontal="left" vertical="center" wrapText="1"/>
      <protection locked="0"/>
    </xf>
    <xf numFmtId="0" fontId="24" fillId="0" borderId="57" xfId="45" applyFont="1" applyBorder="1" applyAlignment="1" applyProtection="1">
      <alignment horizontal="center"/>
      <protection locked="0"/>
    </xf>
    <xf numFmtId="0" fontId="24" fillId="0" borderId="56" xfId="45" applyFont="1" applyBorder="1" applyAlignment="1" applyProtection="1">
      <alignment horizontal="center"/>
      <protection locked="0"/>
    </xf>
    <xf numFmtId="0" fontId="24" fillId="0" borderId="15" xfId="45" applyFont="1" applyBorder="1" applyAlignment="1" applyProtection="1">
      <alignment horizontal="center"/>
      <protection locked="0"/>
    </xf>
    <xf numFmtId="179" fontId="14" fillId="3" borderId="1" xfId="45" applyNumberFormat="1" applyFont="1" applyFill="1" applyBorder="1" applyAlignment="1" applyProtection="1">
      <alignment horizontal="center" vertical="center" wrapText="1"/>
      <protection locked="0"/>
    </xf>
    <xf numFmtId="179" fontId="14" fillId="3" borderId="2" xfId="45" applyNumberFormat="1" applyFont="1" applyFill="1" applyBorder="1" applyAlignment="1" applyProtection="1">
      <alignment horizontal="center" vertical="center" wrapText="1"/>
      <protection locked="0"/>
    </xf>
    <xf numFmtId="179" fontId="14" fillId="3" borderId="3" xfId="45" applyNumberFormat="1" applyFont="1" applyFill="1" applyBorder="1" applyAlignment="1" applyProtection="1">
      <alignment horizontal="center" vertical="center" wrapText="1"/>
      <protection locked="0"/>
    </xf>
    <xf numFmtId="0" fontId="24" fillId="3" borderId="1" xfId="45" applyFont="1" applyFill="1" applyBorder="1" applyAlignment="1" applyProtection="1">
      <alignment horizontal="center" vertical="center" wrapText="1"/>
      <protection locked="0"/>
    </xf>
    <xf numFmtId="0" fontId="24" fillId="3" borderId="3" xfId="45" applyFont="1" applyFill="1" applyBorder="1" applyAlignment="1" applyProtection="1">
      <alignment horizontal="center" vertical="center" wrapText="1"/>
      <protection locked="0"/>
    </xf>
    <xf numFmtId="0" fontId="24" fillId="3" borderId="31" xfId="45" applyFont="1" applyFill="1" applyBorder="1" applyAlignment="1" applyProtection="1">
      <alignment horizontal="center" vertical="center" wrapText="1"/>
      <protection locked="0"/>
    </xf>
    <xf numFmtId="0" fontId="24" fillId="3" borderId="13" xfId="45" applyFont="1" applyFill="1" applyBorder="1" applyAlignment="1" applyProtection="1">
      <alignment horizontal="center" vertical="center" wrapText="1"/>
      <protection locked="0"/>
    </xf>
    <xf numFmtId="0" fontId="24" fillId="3" borderId="24" xfId="45" applyFont="1" applyFill="1" applyBorder="1" applyAlignment="1" applyProtection="1">
      <alignment horizontal="center" vertical="center" wrapText="1"/>
      <protection locked="0"/>
    </xf>
    <xf numFmtId="0" fontId="24" fillId="3" borderId="14" xfId="45" applyFont="1" applyFill="1" applyBorder="1" applyAlignment="1" applyProtection="1">
      <alignment horizontal="center" vertical="center" wrapText="1"/>
      <protection locked="0"/>
    </xf>
    <xf numFmtId="0" fontId="28" fillId="0" borderId="30" xfId="45" applyFont="1" applyBorder="1" applyAlignment="1" applyProtection="1">
      <alignment horizontal="left" vertical="center"/>
      <protection locked="0"/>
    </xf>
    <xf numFmtId="0" fontId="28" fillId="0" borderId="31" xfId="45" applyFont="1" applyBorder="1" applyAlignment="1" applyProtection="1">
      <alignment horizontal="left" vertical="center"/>
      <protection locked="0"/>
    </xf>
    <xf numFmtId="0" fontId="28" fillId="0" borderId="24" xfId="45" applyFont="1" applyBorder="1" applyAlignment="1" applyProtection="1">
      <alignment horizontal="left" vertical="center"/>
      <protection locked="0"/>
    </xf>
    <xf numFmtId="0" fontId="25" fillId="0" borderId="16" xfId="45" applyBorder="1" applyAlignment="1" applyProtection="1">
      <alignment horizontal="left" vertical="center" wrapText="1"/>
      <protection locked="0"/>
    </xf>
    <xf numFmtId="0" fontId="25" fillId="0" borderId="4" xfId="45" applyBorder="1" applyAlignment="1" applyProtection="1">
      <alignment horizontal="left" vertical="center" wrapText="1"/>
      <protection locked="0"/>
    </xf>
    <xf numFmtId="0" fontId="25" fillId="0" borderId="23" xfId="45" applyBorder="1" applyAlignment="1" applyProtection="1">
      <alignment horizontal="left" vertical="center" wrapText="1"/>
      <protection locked="0"/>
    </xf>
    <xf numFmtId="0" fontId="24" fillId="0" borderId="0" xfId="45" applyFont="1" applyAlignment="1" applyProtection="1">
      <alignment horizontal="center" vertical="center" wrapText="1"/>
      <protection locked="0"/>
    </xf>
    <xf numFmtId="0" fontId="16" fillId="0" borderId="16" xfId="45" applyFont="1" applyBorder="1" applyAlignment="1" applyProtection="1">
      <alignment horizontal="left" vertical="center" wrapText="1"/>
      <protection locked="0"/>
    </xf>
    <xf numFmtId="0" fontId="28" fillId="0" borderId="4" xfId="45" applyFont="1" applyBorder="1" applyAlignment="1" applyProtection="1">
      <alignment horizontal="left" vertical="center" wrapText="1"/>
      <protection locked="0"/>
    </xf>
    <xf numFmtId="0" fontId="28" fillId="0" borderId="23" xfId="45" applyFont="1" applyBorder="1" applyAlignment="1" applyProtection="1">
      <alignment horizontal="left" vertical="center" wrapText="1"/>
      <protection locked="0"/>
    </xf>
    <xf numFmtId="0" fontId="24" fillId="0" borderId="9" xfId="45" applyFont="1" applyBorder="1" applyAlignment="1" applyProtection="1">
      <alignment horizontal="center"/>
      <protection locked="0"/>
    </xf>
    <xf numFmtId="0" fontId="24" fillId="0" borderId="0" xfId="45" applyFont="1" applyAlignment="1" applyProtection="1">
      <alignment horizontal="center"/>
      <protection locked="0"/>
    </xf>
    <xf numFmtId="0" fontId="24" fillId="0" borderId="48" xfId="45" applyFont="1" applyBorder="1" applyAlignment="1" applyProtection="1">
      <alignment horizontal="center"/>
      <protection locked="0"/>
    </xf>
    <xf numFmtId="179" fontId="18" fillId="3" borderId="55" xfId="45" applyNumberFormat="1" applyFont="1" applyFill="1" applyBorder="1" applyAlignment="1" applyProtection="1">
      <alignment horizontal="center" vertical="center" wrapText="1"/>
      <protection locked="0"/>
    </xf>
    <xf numFmtId="179" fontId="18" fillId="3" borderId="56" xfId="45" applyNumberFormat="1" applyFont="1" applyFill="1" applyBorder="1" applyAlignment="1" applyProtection="1">
      <alignment horizontal="center" vertical="center" wrapText="1"/>
      <protection locked="0"/>
    </xf>
    <xf numFmtId="177" fontId="14" fillId="15" borderId="51" xfId="7" applyNumberFormat="1" applyFont="1" applyFill="1" applyBorder="1" applyAlignment="1" applyProtection="1">
      <alignment horizontal="right" vertical="center" wrapText="1"/>
      <protection locked="0"/>
    </xf>
    <xf numFmtId="177" fontId="14" fillId="15" borderId="13" xfId="7" applyNumberFormat="1" applyFont="1" applyFill="1" applyBorder="1" applyAlignment="1" applyProtection="1">
      <alignment horizontal="right" vertical="center" wrapText="1"/>
      <protection locked="0"/>
    </xf>
    <xf numFmtId="0" fontId="14" fillId="6" borderId="1" xfId="30" applyFont="1" applyFill="1" applyBorder="1" applyAlignment="1" applyProtection="1">
      <alignment horizontal="center" vertical="center" wrapText="1"/>
      <protection locked="0"/>
    </xf>
    <xf numFmtId="0" fontId="14" fillId="6" borderId="2" xfId="30" applyFont="1" applyFill="1" applyBorder="1" applyAlignment="1" applyProtection="1">
      <alignment horizontal="center" vertical="center" wrapText="1"/>
      <protection locked="0"/>
    </xf>
    <xf numFmtId="0" fontId="14" fillId="6" borderId="3" xfId="30" applyFont="1" applyFill="1" applyBorder="1" applyAlignment="1" applyProtection="1">
      <alignment horizontal="center" vertical="center" wrapText="1"/>
      <protection locked="0"/>
    </xf>
    <xf numFmtId="177" fontId="14" fillId="15" borderId="39" xfId="7" applyNumberFormat="1" applyFont="1" applyFill="1" applyBorder="1" applyAlignment="1" applyProtection="1">
      <alignment horizontal="right" vertical="center" wrapText="1"/>
      <protection locked="0"/>
    </xf>
    <xf numFmtId="177" fontId="14" fillId="15" borderId="41" xfId="7" applyNumberFormat="1" applyFont="1" applyFill="1" applyBorder="1" applyAlignment="1" applyProtection="1">
      <alignment horizontal="right" vertical="center" wrapText="1"/>
      <protection locked="0"/>
    </xf>
    <xf numFmtId="177" fontId="14" fillId="15" borderId="25" xfId="7" applyNumberFormat="1" applyFont="1" applyFill="1" applyBorder="1" applyAlignment="1" applyProtection="1">
      <alignment horizontal="right" vertical="center" wrapText="1"/>
      <protection locked="0"/>
    </xf>
    <xf numFmtId="177" fontId="14" fillId="15" borderId="19" xfId="7" applyNumberFormat="1" applyFont="1" applyFill="1" applyBorder="1" applyAlignment="1" applyProtection="1">
      <alignment horizontal="right" vertical="center" wrapText="1"/>
      <protection locked="0"/>
    </xf>
    <xf numFmtId="0" fontId="14" fillId="9" borderId="1" xfId="30" applyFont="1" applyFill="1" applyBorder="1" applyAlignment="1" applyProtection="1">
      <alignment horizontal="center" vertical="center" wrapText="1"/>
      <protection locked="0"/>
    </xf>
    <xf numFmtId="0" fontId="14" fillId="9" borderId="2" xfId="30" applyFont="1" applyFill="1" applyBorder="1" applyAlignment="1" applyProtection="1">
      <alignment horizontal="center" vertical="center" wrapText="1"/>
      <protection locked="0"/>
    </xf>
    <xf numFmtId="0" fontId="14" fillId="9" borderId="3" xfId="30" applyFont="1" applyFill="1" applyBorder="1" applyAlignment="1" applyProtection="1">
      <alignment horizontal="center" vertical="center" wrapText="1"/>
      <protection locked="0"/>
    </xf>
    <xf numFmtId="177" fontId="14" fillId="15" borderId="30" xfId="7" applyNumberFormat="1" applyFont="1" applyFill="1" applyBorder="1" applyAlignment="1" applyProtection="1">
      <alignment horizontal="right" vertical="center" wrapText="1"/>
      <protection locked="0"/>
    </xf>
    <xf numFmtId="177" fontId="14" fillId="15" borderId="31" xfId="7" applyNumberFormat="1" applyFont="1" applyFill="1" applyBorder="1" applyAlignment="1" applyProtection="1">
      <alignment horizontal="right" vertical="center" wrapText="1"/>
      <protection locked="0"/>
    </xf>
    <xf numFmtId="177" fontId="14" fillId="15" borderId="16" xfId="7" applyNumberFormat="1" applyFont="1" applyFill="1" applyBorder="1" applyAlignment="1" applyProtection="1">
      <alignment horizontal="right" vertical="center" wrapText="1"/>
      <protection locked="0"/>
    </xf>
    <xf numFmtId="177" fontId="14" fillId="15" borderId="4" xfId="7" applyNumberFormat="1" applyFont="1" applyFill="1" applyBorder="1" applyAlignment="1" applyProtection="1">
      <alignment horizontal="right" vertical="center" wrapText="1"/>
      <protection locked="0"/>
    </xf>
    <xf numFmtId="177" fontId="14" fillId="15" borderId="32" xfId="7" applyNumberFormat="1" applyFont="1" applyFill="1" applyBorder="1" applyAlignment="1" applyProtection="1">
      <alignment horizontal="right" vertical="center" wrapText="1"/>
      <protection locked="0"/>
    </xf>
    <xf numFmtId="177" fontId="14" fillId="15" borderId="34" xfId="7" applyNumberFormat="1" applyFont="1" applyFill="1" applyBorder="1" applyAlignment="1" applyProtection="1">
      <alignment horizontal="right" vertical="center" wrapText="1"/>
      <protection locked="0"/>
    </xf>
    <xf numFmtId="0" fontId="13" fillId="3" borderId="11" xfId="9" applyFont="1" applyFill="1" applyBorder="1" applyAlignment="1" applyProtection="1">
      <alignment horizontal="justify" vertical="center" wrapText="1"/>
      <protection locked="0"/>
    </xf>
    <xf numFmtId="0" fontId="13" fillId="3" borderId="27" xfId="9" applyFont="1" applyFill="1" applyBorder="1" applyAlignment="1" applyProtection="1">
      <alignment horizontal="justify" vertical="center" wrapText="1"/>
      <protection locked="0"/>
    </xf>
    <xf numFmtId="0" fontId="14" fillId="6" borderId="30" xfId="30" applyFont="1" applyFill="1" applyBorder="1" applyAlignment="1">
      <alignment horizontal="right" vertical="center" wrapText="1"/>
    </xf>
    <xf numFmtId="0" fontId="14" fillId="6" borderId="31" xfId="30" applyFont="1" applyFill="1" applyBorder="1" applyAlignment="1">
      <alignment horizontal="right" vertical="center" wrapText="1"/>
    </xf>
    <xf numFmtId="0" fontId="13" fillId="0" borderId="10" xfId="9" applyFont="1" applyBorder="1" applyAlignment="1" applyProtection="1">
      <alignment horizontal="center"/>
      <protection locked="0"/>
    </xf>
    <xf numFmtId="0" fontId="13" fillId="0" borderId="11" xfId="9" applyFont="1" applyBorder="1" applyAlignment="1" applyProtection="1">
      <alignment horizontal="center"/>
      <protection locked="0"/>
    </xf>
    <xf numFmtId="0" fontId="13" fillId="0" borderId="27" xfId="9" applyFont="1" applyBorder="1" applyAlignment="1" applyProtection="1">
      <alignment horizontal="center"/>
      <protection locked="0"/>
    </xf>
    <xf numFmtId="0" fontId="14" fillId="9" borderId="54" xfId="30" applyFont="1" applyFill="1" applyBorder="1" applyAlignment="1" applyProtection="1">
      <alignment horizontal="center" vertical="center" wrapText="1"/>
      <protection locked="0"/>
    </xf>
    <xf numFmtId="0" fontId="14" fillId="9" borderId="55" xfId="30" applyFont="1" applyFill="1" applyBorder="1" applyAlignment="1" applyProtection="1">
      <alignment horizontal="center" vertical="center" wrapText="1"/>
      <protection locked="0"/>
    </xf>
    <xf numFmtId="0" fontId="14" fillId="9" borderId="63" xfId="30" applyFont="1" applyFill="1" applyBorder="1" applyAlignment="1" applyProtection="1">
      <alignment horizontal="center" vertical="center" wrapText="1"/>
      <protection locked="0"/>
    </xf>
    <xf numFmtId="0" fontId="24" fillId="7" borderId="4" xfId="52" applyFont="1" applyFill="1" applyBorder="1" applyAlignment="1" applyProtection="1">
      <alignment horizontal="center" vertical="center" wrapText="1"/>
      <protection locked="0"/>
    </xf>
    <xf numFmtId="0" fontId="24" fillId="6" borderId="4" xfId="52" applyFont="1" applyFill="1" applyBorder="1" applyAlignment="1" applyProtection="1">
      <alignment horizontal="center" vertical="center" wrapText="1"/>
      <protection locked="0"/>
    </xf>
    <xf numFmtId="0" fontId="13" fillId="0" borderId="10" xfId="30" applyBorder="1" applyAlignment="1">
      <alignment horizontal="justify" vertical="center" wrapText="1"/>
    </xf>
    <xf numFmtId="0" fontId="13" fillId="0" borderId="11" xfId="30" applyBorder="1" applyAlignment="1">
      <alignment horizontal="justify" vertical="center" wrapText="1"/>
    </xf>
    <xf numFmtId="0" fontId="13" fillId="0" borderId="27" xfId="30" applyBorder="1" applyAlignment="1">
      <alignment horizontal="justify" vertical="center" wrapText="1"/>
    </xf>
    <xf numFmtId="0" fontId="24" fillId="9" borderId="4" xfId="52" applyFont="1" applyFill="1" applyBorder="1" applyAlignment="1">
      <alignment horizontal="center" vertical="center" wrapText="1"/>
    </xf>
    <xf numFmtId="0" fontId="13" fillId="0" borderId="30" xfId="9" applyFont="1" applyBorder="1" applyAlignment="1">
      <alignment horizontal="center"/>
    </xf>
    <xf numFmtId="0" fontId="13" fillId="0" borderId="16" xfId="9" applyFont="1" applyBorder="1" applyAlignment="1">
      <alignment horizontal="center"/>
    </xf>
    <xf numFmtId="0" fontId="13" fillId="0" borderId="51" xfId="9" applyFont="1" applyBorder="1" applyAlignment="1">
      <alignment horizontal="center"/>
    </xf>
    <xf numFmtId="0" fontId="13" fillId="0" borderId="46" xfId="9" applyFont="1" applyBorder="1" applyAlignment="1">
      <alignment horizontal="center" vertical="center"/>
    </xf>
    <xf numFmtId="0" fontId="13" fillId="0" borderId="40" xfId="9" applyFont="1" applyBorder="1" applyAlignment="1">
      <alignment horizontal="center" vertical="center"/>
    </xf>
    <xf numFmtId="0" fontId="13" fillId="0" borderId="49" xfId="9" applyFont="1" applyBorder="1" applyAlignment="1">
      <alignment horizontal="center" vertical="center"/>
    </xf>
    <xf numFmtId="0" fontId="13" fillId="0" borderId="52" xfId="9" applyFont="1" applyBorder="1" applyAlignment="1">
      <alignment horizontal="center" vertical="center"/>
    </xf>
    <xf numFmtId="0" fontId="13" fillId="0" borderId="34" xfId="9" applyFont="1" applyBorder="1" applyAlignment="1">
      <alignment horizontal="center" vertical="center"/>
    </xf>
    <xf numFmtId="0" fontId="13" fillId="0" borderId="37" xfId="9" applyFont="1" applyBorder="1" applyAlignment="1">
      <alignment horizontal="center" vertical="center"/>
    </xf>
    <xf numFmtId="0" fontId="13" fillId="0" borderId="38" xfId="9" applyFont="1" applyBorder="1" applyAlignment="1">
      <alignment horizontal="center" vertical="center"/>
    </xf>
    <xf numFmtId="0" fontId="13" fillId="0" borderId="45" xfId="9" applyFont="1" applyBorder="1" applyAlignment="1">
      <alignment horizontal="center" vertical="center"/>
    </xf>
    <xf numFmtId="0" fontId="24" fillId="0" borderId="37" xfId="52" applyFont="1" applyBorder="1" applyAlignment="1">
      <alignment horizontal="left"/>
    </xf>
    <xf numFmtId="0" fontId="24" fillId="0" borderId="38" xfId="52" applyFont="1" applyBorder="1" applyAlignment="1">
      <alignment horizontal="left"/>
    </xf>
    <xf numFmtId="0" fontId="24" fillId="0" borderId="19" xfId="52" applyFont="1" applyBorder="1" applyAlignment="1">
      <alignment horizontal="left"/>
    </xf>
    <xf numFmtId="0" fontId="24" fillId="0" borderId="0" xfId="52" applyFont="1" applyAlignment="1">
      <alignment horizontal="center" wrapText="1"/>
    </xf>
    <xf numFmtId="0" fontId="24" fillId="0" borderId="0" xfId="52" applyFont="1" applyAlignment="1">
      <alignment horizontal="center"/>
    </xf>
    <xf numFmtId="0" fontId="25" fillId="0" borderId="0" xfId="52" applyFont="1" applyAlignment="1">
      <alignment horizontal="left" vertical="center"/>
    </xf>
    <xf numFmtId="0" fontId="26" fillId="0" borderId="12" xfId="52" applyFont="1" applyBorder="1" applyAlignment="1">
      <alignment horizontal="center" wrapText="1"/>
    </xf>
    <xf numFmtId="0" fontId="13" fillId="0" borderId="31" xfId="9" applyFont="1" applyBorder="1" applyAlignment="1">
      <alignment horizontal="center"/>
    </xf>
    <xf numFmtId="0" fontId="13" fillId="0" borderId="4" xfId="9" applyFont="1" applyBorder="1" applyAlignment="1">
      <alignment horizontal="center"/>
    </xf>
    <xf numFmtId="0" fontId="13" fillId="0" borderId="13" xfId="9" applyFont="1" applyBorder="1" applyAlignment="1">
      <alignment horizontal="center"/>
    </xf>
    <xf numFmtId="0" fontId="13" fillId="0" borderId="31" xfId="9" applyFont="1" applyBorder="1" applyAlignment="1">
      <alignment horizontal="center" vertical="center"/>
    </xf>
    <xf numFmtId="0" fontId="13" fillId="0" borderId="24" xfId="9" applyFont="1" applyBorder="1" applyAlignment="1">
      <alignment horizontal="center" vertical="center"/>
    </xf>
    <xf numFmtId="0" fontId="13" fillId="0" borderId="4" xfId="9" applyFont="1" applyBorder="1" applyAlignment="1">
      <alignment horizontal="center" vertical="center"/>
    </xf>
    <xf numFmtId="0" fontId="13" fillId="0" borderId="23" xfId="9" applyFont="1" applyBorder="1" applyAlignment="1">
      <alignment horizontal="center" vertical="center"/>
    </xf>
    <xf numFmtId="0" fontId="13" fillId="0" borderId="13" xfId="9" applyFont="1" applyBorder="1" applyAlignment="1">
      <alignment horizontal="center" vertical="center"/>
    </xf>
    <xf numFmtId="0" fontId="13" fillId="0" borderId="14" xfId="9" applyFont="1" applyBorder="1" applyAlignment="1">
      <alignment horizontal="center" vertical="center"/>
    </xf>
    <xf numFmtId="0" fontId="24" fillId="3" borderId="10" xfId="28" applyFont="1" applyFill="1" applyBorder="1" applyAlignment="1" applyProtection="1">
      <alignment horizontal="left" vertical="center"/>
      <protection locked="0"/>
    </xf>
    <xf numFmtId="0" fontId="24" fillId="3" borderId="11" xfId="28" applyFont="1" applyFill="1" applyBorder="1" applyAlignment="1" applyProtection="1">
      <alignment horizontal="left" vertical="center"/>
      <protection locked="0"/>
    </xf>
    <xf numFmtId="0" fontId="24" fillId="3" borderId="27" xfId="28" applyFont="1" applyFill="1" applyBorder="1" applyAlignment="1" applyProtection="1">
      <alignment horizontal="left" vertical="center"/>
      <protection locked="0"/>
    </xf>
    <xf numFmtId="0" fontId="13" fillId="2" borderId="4" xfId="9" applyFont="1" applyFill="1" applyBorder="1" applyAlignment="1" applyProtection="1">
      <alignment horizontal="center" vertical="center" wrapText="1"/>
      <protection locked="0"/>
    </xf>
    <xf numFmtId="0" fontId="13" fillId="2" borderId="23" xfId="9" applyFont="1" applyFill="1" applyBorder="1" applyAlignment="1" applyProtection="1">
      <alignment horizontal="center" vertical="center" wrapText="1"/>
      <protection locked="0"/>
    </xf>
    <xf numFmtId="0" fontId="25" fillId="2" borderId="54" xfId="44" applyFont="1" applyFill="1" applyBorder="1" applyAlignment="1" applyProtection="1">
      <alignment horizontal="center"/>
      <protection locked="0"/>
    </xf>
    <xf numFmtId="0" fontId="25" fillId="2" borderId="61" xfId="44" applyFont="1" applyFill="1" applyBorder="1" applyAlignment="1" applyProtection="1">
      <alignment horizontal="center"/>
      <protection locked="0"/>
    </xf>
    <xf numFmtId="0" fontId="25" fillId="2" borderId="57" xfId="44" applyFont="1" applyFill="1" applyBorder="1" applyAlignment="1" applyProtection="1">
      <alignment horizontal="center"/>
      <protection locked="0"/>
    </xf>
    <xf numFmtId="0" fontId="25" fillId="3" borderId="51" xfId="44" applyFont="1" applyFill="1" applyBorder="1" applyAlignment="1" applyProtection="1">
      <alignment horizontal="justify" wrapText="1"/>
      <protection locked="0"/>
    </xf>
    <xf numFmtId="0" fontId="25" fillId="3" borderId="13" xfId="44" applyFont="1" applyFill="1" applyBorder="1" applyAlignment="1" applyProtection="1">
      <alignment horizontal="justify" wrapText="1"/>
      <protection locked="0"/>
    </xf>
    <xf numFmtId="0" fontId="25" fillId="3" borderId="14" xfId="44" applyFont="1" applyFill="1" applyBorder="1" applyAlignment="1" applyProtection="1">
      <alignment horizontal="justify" wrapText="1"/>
      <protection locked="0"/>
    </xf>
    <xf numFmtId="0" fontId="24" fillId="15" borderId="30" xfId="44" applyFont="1" applyFill="1" applyBorder="1" applyAlignment="1" applyProtection="1">
      <alignment horizontal="center" vertical="center" wrapText="1"/>
      <protection locked="0"/>
    </xf>
    <xf numFmtId="0" fontId="24" fillId="15" borderId="31" xfId="44" applyFont="1" applyFill="1" applyBorder="1" applyAlignment="1" applyProtection="1">
      <alignment horizontal="center" vertical="center" wrapText="1"/>
      <protection locked="0"/>
    </xf>
    <xf numFmtId="0" fontId="24" fillId="15" borderId="24" xfId="44" applyFont="1" applyFill="1" applyBorder="1" applyAlignment="1" applyProtection="1">
      <alignment horizontal="center" vertical="center" wrapText="1"/>
      <protection locked="0"/>
    </xf>
    <xf numFmtId="0" fontId="13" fillId="3" borderId="16" xfId="44" applyFont="1" applyFill="1" applyBorder="1" applyAlignment="1" applyProtection="1">
      <alignment horizontal="justify" wrapText="1"/>
      <protection locked="0"/>
    </xf>
    <xf numFmtId="0" fontId="13" fillId="3" borderId="4" xfId="44" applyFont="1" applyFill="1" applyBorder="1" applyAlignment="1" applyProtection="1">
      <alignment horizontal="justify" wrapText="1"/>
      <protection locked="0"/>
    </xf>
    <xf numFmtId="0" fontId="13" fillId="3" borderId="23" xfId="44" applyFont="1" applyFill="1" applyBorder="1" applyAlignment="1" applyProtection="1">
      <alignment horizontal="justify" wrapText="1"/>
      <protection locked="0"/>
    </xf>
    <xf numFmtId="0" fontId="25" fillId="3" borderId="16" xfId="44" applyFont="1" applyFill="1" applyBorder="1" applyAlignment="1" applyProtection="1">
      <alignment horizontal="justify" wrapText="1"/>
      <protection locked="0"/>
    </xf>
    <xf numFmtId="0" fontId="25" fillId="3" borderId="4" xfId="44" applyFont="1" applyFill="1" applyBorder="1" applyAlignment="1" applyProtection="1">
      <alignment horizontal="justify" wrapText="1"/>
      <protection locked="0"/>
    </xf>
    <xf numFmtId="0" fontId="25" fillId="3" borderId="23" xfId="44" applyFont="1" applyFill="1" applyBorder="1" applyAlignment="1" applyProtection="1">
      <alignment horizontal="justify" wrapText="1"/>
      <protection locked="0"/>
    </xf>
    <xf numFmtId="0" fontId="25" fillId="3" borderId="51" xfId="44" applyFont="1" applyFill="1" applyBorder="1" applyAlignment="1" applyProtection="1">
      <alignment horizontal="left" wrapText="1"/>
      <protection locked="0"/>
    </xf>
    <xf numFmtId="0" fontId="25" fillId="3" borderId="13" xfId="44" applyFont="1" applyFill="1" applyBorder="1" applyAlignment="1" applyProtection="1">
      <alignment horizontal="left" wrapText="1"/>
      <protection locked="0"/>
    </xf>
    <xf numFmtId="0" fontId="25" fillId="3" borderId="14" xfId="44" applyFont="1" applyFill="1" applyBorder="1" applyAlignment="1" applyProtection="1">
      <alignment horizontal="left" wrapText="1"/>
      <protection locked="0"/>
    </xf>
    <xf numFmtId="0" fontId="25" fillId="2" borderId="37" xfId="36" applyFont="1" applyFill="1" applyBorder="1" applyAlignment="1" applyProtection="1">
      <alignment horizontal="left"/>
      <protection locked="0"/>
    </xf>
    <xf numFmtId="0" fontId="25" fillId="2" borderId="45" xfId="36" applyFont="1" applyFill="1" applyBorder="1" applyAlignment="1" applyProtection="1">
      <alignment horizontal="left"/>
      <protection locked="0"/>
    </xf>
    <xf numFmtId="0" fontId="25" fillId="3" borderId="13" xfId="36" applyFont="1" applyFill="1" applyBorder="1" applyAlignment="1" applyProtection="1">
      <alignment horizontal="center"/>
      <protection locked="0"/>
    </xf>
    <xf numFmtId="0" fontId="25" fillId="3" borderId="14" xfId="36" applyFont="1" applyFill="1" applyBorder="1" applyAlignment="1" applyProtection="1">
      <alignment horizontal="center"/>
      <protection locked="0"/>
    </xf>
    <xf numFmtId="0" fontId="40" fillId="0" borderId="10" xfId="0" applyFont="1" applyBorder="1" applyAlignment="1">
      <alignment horizontal="left" wrapText="1"/>
    </xf>
    <xf numFmtId="0" fontId="40" fillId="0" borderId="11" xfId="0" applyFont="1" applyBorder="1" applyAlignment="1">
      <alignment horizontal="left" wrapText="1"/>
    </xf>
    <xf numFmtId="0" fontId="40" fillId="0" borderId="27" xfId="0" applyFont="1" applyBorder="1" applyAlignment="1">
      <alignment horizontal="left" wrapText="1"/>
    </xf>
    <xf numFmtId="0" fontId="25" fillId="2" borderId="4" xfId="36" applyFont="1" applyFill="1" applyBorder="1" applyAlignment="1" applyProtection="1">
      <alignment horizontal="left"/>
      <protection locked="0"/>
    </xf>
    <xf numFmtId="0" fontId="25" fillId="2" borderId="23" xfId="36" applyFont="1" applyFill="1" applyBorder="1" applyAlignment="1" applyProtection="1">
      <alignment horizontal="left"/>
      <protection locked="0"/>
    </xf>
    <xf numFmtId="0" fontId="25" fillId="3" borderId="4" xfId="36" applyFont="1" applyFill="1" applyBorder="1" applyAlignment="1" applyProtection="1">
      <alignment horizontal="center"/>
      <protection locked="0"/>
    </xf>
    <xf numFmtId="0" fontId="25" fillId="3" borderId="23" xfId="36" applyFont="1" applyFill="1" applyBorder="1" applyAlignment="1" applyProtection="1">
      <alignment horizontal="center"/>
      <protection locked="0"/>
    </xf>
    <xf numFmtId="0" fontId="25" fillId="2" borderId="4" xfId="36" applyFont="1" applyFill="1" applyBorder="1" applyAlignment="1" applyProtection="1">
      <alignment horizontal="center"/>
      <protection locked="0"/>
    </xf>
    <xf numFmtId="0" fontId="25" fillId="2" borderId="23" xfId="36" applyFont="1" applyFill="1" applyBorder="1" applyAlignment="1" applyProtection="1">
      <alignment horizontal="center"/>
      <protection locked="0"/>
    </xf>
    <xf numFmtId="0" fontId="24" fillId="6" borderId="31" xfId="36" applyFont="1" applyFill="1" applyBorder="1" applyAlignment="1" applyProtection="1">
      <alignment horizontal="center" vertical="center" wrapText="1"/>
      <protection locked="0"/>
    </xf>
    <xf numFmtId="0" fontId="24" fillId="6" borderId="24" xfId="36" applyFont="1" applyFill="1" applyBorder="1" applyAlignment="1" applyProtection="1">
      <alignment horizontal="center" vertical="center" wrapText="1"/>
      <protection locked="0"/>
    </xf>
    <xf numFmtId="177" fontId="24" fillId="3" borderId="10" xfId="7" applyNumberFormat="1" applyFont="1" applyFill="1" applyBorder="1" applyAlignment="1" applyProtection="1">
      <alignment horizontal="left" vertical="center"/>
      <protection hidden="1"/>
    </xf>
    <xf numFmtId="177" fontId="24" fillId="3" borderId="11" xfId="7" applyNumberFormat="1" applyFont="1" applyFill="1" applyBorder="1" applyAlignment="1" applyProtection="1">
      <alignment horizontal="left" vertical="center"/>
      <protection hidden="1"/>
    </xf>
    <xf numFmtId="177" fontId="24" fillId="3" borderId="27" xfId="7" applyNumberFormat="1" applyFont="1" applyFill="1" applyBorder="1" applyAlignment="1" applyProtection="1">
      <alignment horizontal="left" vertical="center"/>
      <protection hidden="1"/>
    </xf>
    <xf numFmtId="0" fontId="13" fillId="2" borderId="4" xfId="9" applyFont="1" applyFill="1" applyBorder="1" applyAlignment="1" applyProtection="1">
      <alignment horizontal="center" vertical="center"/>
      <protection locked="0"/>
    </xf>
    <xf numFmtId="0" fontId="25" fillId="0" borderId="0" xfId="28" applyFont="1" applyAlignment="1" applyProtection="1">
      <alignment horizontal="center" vertical="center" wrapText="1"/>
      <protection locked="0"/>
    </xf>
    <xf numFmtId="0" fontId="13" fillId="0" borderId="19" xfId="9" applyFont="1" applyBorder="1" applyAlignment="1" applyProtection="1">
      <alignment horizontal="center" vertical="center"/>
      <protection locked="0"/>
    </xf>
    <xf numFmtId="0" fontId="24" fillId="6" borderId="10" xfId="28" applyFont="1" applyFill="1" applyBorder="1" applyAlignment="1" applyProtection="1">
      <alignment horizontal="center"/>
      <protection locked="0"/>
    </xf>
    <xf numFmtId="0" fontId="24" fillId="6" borderId="11" xfId="28" applyFont="1" applyFill="1" applyBorder="1" applyAlignment="1" applyProtection="1">
      <alignment horizontal="center"/>
      <protection locked="0"/>
    </xf>
    <xf numFmtId="0" fontId="24" fillId="6" borderId="27" xfId="28" applyFont="1" applyFill="1" applyBorder="1" applyAlignment="1" applyProtection="1">
      <alignment horizontal="center"/>
      <protection locked="0"/>
    </xf>
    <xf numFmtId="0" fontId="25" fillId="0" borderId="10" xfId="28" applyFont="1" applyBorder="1" applyAlignment="1" applyProtection="1">
      <alignment horizontal="justify" vertical="top" wrapText="1"/>
      <protection locked="0"/>
    </xf>
    <xf numFmtId="0" fontId="25" fillId="0" borderId="11" xfId="28" applyFont="1" applyBorder="1" applyAlignment="1" applyProtection="1">
      <alignment horizontal="justify" vertical="top" wrapText="1"/>
      <protection locked="0"/>
    </xf>
    <xf numFmtId="0" fontId="25" fillId="0" borderId="27" xfId="28" applyFont="1" applyBorder="1" applyAlignment="1" applyProtection="1">
      <alignment horizontal="justify" vertical="top" wrapText="1"/>
      <protection locked="0"/>
    </xf>
    <xf numFmtId="0" fontId="24" fillId="15" borderId="1" xfId="36" applyFont="1" applyFill="1" applyBorder="1" applyAlignment="1" applyProtection="1">
      <alignment horizontal="center" vertical="center"/>
      <protection locked="0"/>
    </xf>
    <xf numFmtId="0" fontId="24" fillId="15" borderId="2" xfId="36" applyFont="1" applyFill="1" applyBorder="1" applyAlignment="1" applyProtection="1">
      <alignment horizontal="center" vertical="center"/>
      <protection locked="0"/>
    </xf>
    <xf numFmtId="0" fontId="24" fillId="15" borderId="3" xfId="36" applyFont="1" applyFill="1" applyBorder="1" applyAlignment="1" applyProtection="1">
      <alignment horizontal="center" vertical="center"/>
      <protection locked="0"/>
    </xf>
    <xf numFmtId="0" fontId="24" fillId="3" borderId="51" xfId="36" applyFont="1" applyFill="1" applyBorder="1" applyAlignment="1" applyProtection="1">
      <alignment horizontal="right"/>
      <protection hidden="1"/>
    </xf>
    <xf numFmtId="0" fontId="24" fillId="3" borderId="13" xfId="36" applyFont="1" applyFill="1" applyBorder="1" applyAlignment="1" applyProtection="1">
      <alignment horizontal="right"/>
      <protection hidden="1"/>
    </xf>
    <xf numFmtId="0" fontId="24" fillId="3" borderId="25" xfId="36" applyFont="1" applyFill="1" applyBorder="1" applyAlignment="1">
      <alignment horizontal="left"/>
    </xf>
    <xf numFmtId="0" fontId="24" fillId="3" borderId="19" xfId="36" applyFont="1" applyFill="1" applyBorder="1" applyAlignment="1">
      <alignment horizontal="left"/>
    </xf>
    <xf numFmtId="0" fontId="24" fillId="3" borderId="32" xfId="36" applyFont="1" applyFill="1" applyBorder="1" applyAlignment="1">
      <alignment horizontal="left"/>
    </xf>
    <xf numFmtId="0" fontId="24" fillId="3" borderId="34" xfId="36" applyFont="1" applyFill="1" applyBorder="1" applyAlignment="1">
      <alignment horizontal="left"/>
    </xf>
    <xf numFmtId="0" fontId="25" fillId="0" borderId="9" xfId="36" applyFont="1" applyBorder="1" applyAlignment="1" applyProtection="1">
      <alignment horizontal="left" vertical="top" wrapText="1"/>
      <protection locked="0"/>
    </xf>
    <xf numFmtId="0" fontId="25" fillId="0" borderId="0" xfId="36" applyFont="1" applyAlignment="1" applyProtection="1">
      <alignment horizontal="left" vertical="top" wrapText="1"/>
      <protection locked="0"/>
    </xf>
    <xf numFmtId="0" fontId="25" fillId="0" borderId="48" xfId="36" applyFont="1" applyBorder="1" applyAlignment="1" applyProtection="1">
      <alignment horizontal="left" vertical="top" wrapText="1"/>
      <protection locked="0"/>
    </xf>
    <xf numFmtId="0" fontId="25" fillId="0" borderId="22" xfId="36" applyFont="1" applyBorder="1" applyAlignment="1" applyProtection="1">
      <alignment horizontal="left" vertical="top" wrapText="1"/>
      <protection locked="0"/>
    </xf>
    <xf numFmtId="0" fontId="25" fillId="0" borderId="12" xfId="36" applyFont="1" applyBorder="1" applyAlignment="1" applyProtection="1">
      <alignment horizontal="left" vertical="top" wrapText="1"/>
      <protection locked="0"/>
    </xf>
    <xf numFmtId="0" fontId="25" fillId="0" borderId="36" xfId="36" applyFont="1" applyBorder="1" applyAlignment="1" applyProtection="1">
      <alignment horizontal="left" vertical="top" wrapText="1"/>
      <protection locked="0"/>
    </xf>
    <xf numFmtId="0" fontId="24" fillId="0" borderId="20" xfId="36" applyFont="1" applyBorder="1" applyAlignment="1" applyProtection="1">
      <alignment horizontal="left"/>
      <protection locked="0"/>
    </xf>
    <xf numFmtId="0" fontId="24" fillId="0" borderId="21" xfId="36" applyFont="1" applyBorder="1" applyAlignment="1" applyProtection="1">
      <alignment horizontal="left"/>
      <protection locked="0"/>
    </xf>
    <xf numFmtId="0" fontId="24" fillId="0" borderId="35" xfId="36" applyFont="1" applyBorder="1" applyAlignment="1" applyProtection="1">
      <alignment horizontal="left"/>
      <protection locked="0"/>
    </xf>
    <xf numFmtId="0" fontId="13" fillId="2" borderId="30" xfId="9" applyFont="1" applyFill="1" applyBorder="1" applyAlignment="1" applyProtection="1">
      <alignment horizontal="center"/>
      <protection locked="0"/>
    </xf>
    <xf numFmtId="0" fontId="13" fillId="2" borderId="31" xfId="9" applyFont="1" applyFill="1" applyBorder="1" applyAlignment="1" applyProtection="1">
      <alignment horizontal="center"/>
      <protection locked="0"/>
    </xf>
    <xf numFmtId="0" fontId="13" fillId="2" borderId="16" xfId="9" applyFont="1" applyFill="1" applyBorder="1" applyAlignment="1" applyProtection="1">
      <alignment horizontal="center"/>
      <protection locked="0"/>
    </xf>
    <xf numFmtId="0" fontId="13" fillId="2" borderId="4" xfId="9" applyFont="1" applyFill="1" applyBorder="1" applyAlignment="1" applyProtection="1">
      <alignment horizontal="center"/>
      <protection locked="0"/>
    </xf>
    <xf numFmtId="0" fontId="13" fillId="2" borderId="51" xfId="9" applyFont="1" applyFill="1" applyBorder="1" applyAlignment="1" applyProtection="1">
      <alignment horizontal="center"/>
      <protection locked="0"/>
    </xf>
    <xf numFmtId="0" fontId="13" fillId="2" borderId="13" xfId="9" applyFont="1" applyFill="1" applyBorder="1" applyAlignment="1" applyProtection="1">
      <alignment horizontal="center"/>
      <protection locked="0"/>
    </xf>
    <xf numFmtId="0" fontId="13" fillId="2" borderId="23" xfId="9" applyFont="1" applyFill="1" applyBorder="1" applyAlignment="1" applyProtection="1">
      <alignment horizontal="center" vertical="center"/>
      <protection locked="0"/>
    </xf>
    <xf numFmtId="0" fontId="24" fillId="3" borderId="16" xfId="0" applyFont="1" applyFill="1" applyBorder="1" applyAlignment="1">
      <alignment horizontal="left"/>
    </xf>
    <xf numFmtId="0" fontId="24" fillId="3" borderId="4" xfId="0" applyFont="1" applyFill="1" applyBorder="1" applyAlignment="1">
      <alignment horizontal="left"/>
    </xf>
    <xf numFmtId="0" fontId="24" fillId="3" borderId="16" xfId="0" applyFont="1" applyFill="1" applyBorder="1" applyAlignment="1" applyProtection="1">
      <alignment horizontal="left"/>
      <protection hidden="1"/>
    </xf>
    <xf numFmtId="0" fontId="24" fillId="3" borderId="4" xfId="0" applyFont="1" applyFill="1" applyBorder="1" applyAlignment="1" applyProtection="1">
      <alignment horizontal="left"/>
      <protection hidden="1"/>
    </xf>
    <xf numFmtId="0" fontId="24" fillId="15" borderId="30" xfId="0" applyFont="1" applyFill="1" applyBorder="1" applyAlignment="1" applyProtection="1">
      <alignment horizontal="center" vertical="center"/>
      <protection locked="0"/>
    </xf>
    <xf numFmtId="0" fontId="24" fillId="15" borderId="31" xfId="0" applyFont="1" applyFill="1" applyBorder="1" applyAlignment="1" applyProtection="1">
      <alignment horizontal="center" vertical="center"/>
      <protection locked="0"/>
    </xf>
    <xf numFmtId="0" fontId="24" fillId="15" borderId="24" xfId="0" applyFont="1" applyFill="1" applyBorder="1" applyAlignment="1" applyProtection="1">
      <alignment horizontal="center" vertical="center"/>
      <protection locked="0"/>
    </xf>
    <xf numFmtId="0" fontId="24" fillId="3" borderId="51" xfId="0" applyFont="1" applyFill="1" applyBorder="1" applyAlignment="1">
      <alignment horizontal="left"/>
    </xf>
    <xf numFmtId="0" fontId="24" fillId="3" borderId="13" xfId="0" applyFont="1" applyFill="1" applyBorder="1" applyAlignment="1">
      <alignment horizontal="left"/>
    </xf>
    <xf numFmtId="0" fontId="24" fillId="15" borderId="10" xfId="36" applyFont="1" applyFill="1" applyBorder="1" applyAlignment="1">
      <alignment horizontal="center" vertical="center"/>
    </xf>
    <xf numFmtId="0" fontId="24" fillId="15" borderId="11" xfId="36" applyFont="1" applyFill="1" applyBorder="1" applyAlignment="1">
      <alignment horizontal="center" vertical="center"/>
    </xf>
    <xf numFmtId="0" fontId="24" fillId="15" borderId="27" xfId="36" applyFont="1" applyFill="1" applyBorder="1" applyAlignment="1">
      <alignment horizontal="center" vertical="center"/>
    </xf>
    <xf numFmtId="0" fontId="24" fillId="6" borderId="53" xfId="0" applyFont="1" applyFill="1" applyBorder="1" applyAlignment="1">
      <alignment horizontal="left"/>
    </xf>
    <xf numFmtId="0" fontId="24" fillId="6" borderId="5" xfId="0" applyFont="1" applyFill="1" applyBorder="1" applyAlignment="1">
      <alignment horizontal="left"/>
    </xf>
    <xf numFmtId="0" fontId="24" fillId="6" borderId="16" xfId="0" applyFont="1" applyFill="1" applyBorder="1" applyAlignment="1">
      <alignment horizontal="left"/>
    </xf>
    <xf numFmtId="0" fontId="24" fillId="6" borderId="4" xfId="0" applyFont="1" applyFill="1" applyBorder="1" applyAlignment="1">
      <alignment horizontal="left"/>
    </xf>
    <xf numFmtId="0" fontId="24" fillId="6" borderId="0" xfId="28" applyFont="1" applyFill="1" applyAlignment="1" applyProtection="1">
      <alignment horizontal="left" vertical="center"/>
      <protection locked="0"/>
    </xf>
    <xf numFmtId="0" fontId="24" fillId="15" borderId="0" xfId="28" applyFont="1" applyFill="1" applyAlignment="1" applyProtection="1">
      <alignment horizontal="left" vertical="center"/>
      <protection locked="0"/>
    </xf>
    <xf numFmtId="0" fontId="13" fillId="0" borderId="37" xfId="9" applyFont="1" applyBorder="1" applyAlignment="1" applyProtection="1">
      <alignment horizontal="center" vertical="center" wrapText="1"/>
      <protection locked="0"/>
    </xf>
    <xf numFmtId="0" fontId="13" fillId="0" borderId="38" xfId="9" applyFont="1" applyBorder="1" applyAlignment="1" applyProtection="1">
      <alignment horizontal="center" vertical="center" wrapText="1"/>
      <protection locked="0"/>
    </xf>
    <xf numFmtId="0" fontId="13" fillId="0" borderId="45" xfId="9" applyFont="1" applyBorder="1" applyAlignment="1" applyProtection="1">
      <alignment horizontal="center" vertical="center" wrapText="1"/>
      <protection locked="0"/>
    </xf>
    <xf numFmtId="0" fontId="13" fillId="2" borderId="42" xfId="9" applyFont="1" applyFill="1" applyBorder="1" applyAlignment="1" applyProtection="1">
      <alignment horizontal="center"/>
      <protection locked="0"/>
    </xf>
    <xf numFmtId="0" fontId="13" fillId="2" borderId="47" xfId="9" applyFont="1" applyFill="1" applyBorder="1" applyAlignment="1" applyProtection="1">
      <alignment horizontal="center"/>
      <protection locked="0"/>
    </xf>
    <xf numFmtId="0" fontId="13" fillId="2" borderId="28" xfId="9" applyFont="1" applyFill="1" applyBorder="1" applyAlignment="1" applyProtection="1">
      <alignment horizontal="center"/>
      <protection locked="0"/>
    </xf>
    <xf numFmtId="0" fontId="24" fillId="6" borderId="30" xfId="55" applyFont="1" applyFill="1" applyBorder="1" applyAlignment="1">
      <alignment horizontal="center" vertical="center"/>
    </xf>
    <xf numFmtId="0" fontId="24" fillId="6" borderId="31" xfId="55" applyFont="1" applyFill="1" applyBorder="1" applyAlignment="1">
      <alignment horizontal="center" vertical="center"/>
    </xf>
    <xf numFmtId="0" fontId="24" fillId="6" borderId="24" xfId="55" applyFont="1" applyFill="1" applyBorder="1" applyAlignment="1">
      <alignment horizontal="center" vertical="center"/>
    </xf>
    <xf numFmtId="0" fontId="25" fillId="3" borderId="10" xfId="55" applyFont="1" applyFill="1" applyBorder="1" applyAlignment="1" applyProtection="1">
      <alignment horizontal="justify"/>
      <protection locked="0"/>
    </xf>
    <xf numFmtId="0" fontId="25" fillId="3" borderId="11" xfId="55" applyFont="1" applyFill="1" applyBorder="1" applyAlignment="1" applyProtection="1">
      <alignment horizontal="justify"/>
      <protection locked="0"/>
    </xf>
    <xf numFmtId="0" fontId="25" fillId="3" borderId="27" xfId="55" applyFont="1" applyFill="1" applyBorder="1" applyAlignment="1" applyProtection="1">
      <alignment horizontal="justify"/>
      <protection locked="0"/>
    </xf>
    <xf numFmtId="0" fontId="25" fillId="2" borderId="16" xfId="34" applyFont="1" applyFill="1" applyBorder="1" applyAlignment="1" applyProtection="1">
      <alignment horizontal="left" vertical="center" wrapText="1"/>
      <protection locked="0"/>
    </xf>
    <xf numFmtId="0" fontId="25" fillId="2" borderId="4" xfId="34" applyFont="1" applyFill="1" applyBorder="1" applyAlignment="1" applyProtection="1">
      <alignment horizontal="left" vertical="center" wrapText="1"/>
      <protection locked="0"/>
    </xf>
    <xf numFmtId="0" fontId="24" fillId="3" borderId="4" xfId="34" applyFont="1" applyFill="1" applyBorder="1" applyAlignment="1" applyProtection="1">
      <alignment horizontal="left" vertical="center" wrapText="1"/>
      <protection locked="0"/>
    </xf>
    <xf numFmtId="0" fontId="24" fillId="2" borderId="4" xfId="34" applyFont="1" applyFill="1" applyBorder="1" applyAlignment="1" applyProtection="1">
      <alignment horizontal="center" vertical="center" wrapText="1"/>
      <protection locked="0"/>
    </xf>
    <xf numFmtId="0" fontId="25" fillId="2" borderId="23" xfId="34" applyFont="1" applyFill="1" applyBorder="1" applyAlignment="1" applyProtection="1">
      <alignment horizontal="center" vertical="center" wrapText="1"/>
      <protection locked="0"/>
    </xf>
    <xf numFmtId="0" fontId="25" fillId="2" borderId="25" xfId="34" applyFont="1" applyFill="1" applyBorder="1" applyAlignment="1" applyProtection="1">
      <alignment horizontal="left" vertical="center" wrapText="1"/>
      <protection locked="0"/>
    </xf>
    <xf numFmtId="0" fontId="25" fillId="2" borderId="19" xfId="34" applyFont="1" applyFill="1" applyBorder="1" applyAlignment="1" applyProtection="1">
      <alignment horizontal="left" vertical="center" wrapText="1"/>
      <protection locked="0"/>
    </xf>
    <xf numFmtId="0" fontId="25" fillId="2" borderId="0" xfId="28" applyFont="1" applyFill="1" applyAlignment="1" applyProtection="1">
      <alignment horizontal="center" vertical="center" wrapText="1"/>
      <protection locked="0"/>
    </xf>
    <xf numFmtId="0" fontId="24" fillId="3" borderId="25" xfId="34" applyFont="1" applyFill="1" applyBorder="1" applyAlignment="1" applyProtection="1">
      <alignment horizontal="center" vertical="center" wrapText="1"/>
      <protection locked="0"/>
    </xf>
    <xf numFmtId="0" fontId="24" fillId="3" borderId="19" xfId="34" applyFont="1" applyFill="1" applyBorder="1" applyAlignment="1" applyProtection="1">
      <alignment horizontal="center" vertical="center" wrapText="1"/>
      <protection locked="0"/>
    </xf>
    <xf numFmtId="0" fontId="24" fillId="3" borderId="39" xfId="34" applyFont="1" applyFill="1" applyBorder="1" applyAlignment="1" applyProtection="1">
      <alignment horizontal="center" vertical="center" wrapText="1"/>
      <protection locked="0"/>
    </xf>
    <xf numFmtId="0" fontId="24" fillId="3" borderId="41" xfId="34" applyFont="1" applyFill="1" applyBorder="1" applyAlignment="1" applyProtection="1">
      <alignment horizontal="center" vertical="center" wrapText="1"/>
      <protection locked="0"/>
    </xf>
    <xf numFmtId="0" fontId="24" fillId="3" borderId="16" xfId="34" applyFont="1" applyFill="1" applyBorder="1" applyAlignment="1" applyProtection="1">
      <alignment horizontal="center" vertical="center" wrapText="1"/>
      <protection locked="0"/>
    </xf>
    <xf numFmtId="0" fontId="24" fillId="3" borderId="4" xfId="34" applyFont="1" applyFill="1" applyBorder="1" applyAlignment="1" applyProtection="1">
      <alignment horizontal="center" vertical="center" wrapText="1"/>
      <protection locked="0"/>
    </xf>
    <xf numFmtId="165" fontId="24" fillId="2" borderId="4" xfId="34" applyNumberFormat="1" applyFont="1" applyFill="1" applyBorder="1" applyAlignment="1" applyProtection="1">
      <alignment horizontal="center" vertical="center" wrapText="1"/>
      <protection locked="0"/>
    </xf>
    <xf numFmtId="0" fontId="25" fillId="2" borderId="16" xfId="34" applyFont="1" applyFill="1" applyBorder="1" applyAlignment="1">
      <alignment horizontal="left" vertical="center"/>
    </xf>
    <xf numFmtId="0" fontId="25" fillId="2" borderId="4" xfId="34" applyFont="1" applyFill="1" applyBorder="1" applyAlignment="1">
      <alignment horizontal="left" vertical="center"/>
    </xf>
    <xf numFmtId="0" fontId="25" fillId="2" borderId="16" xfId="34" applyFont="1" applyFill="1" applyBorder="1" applyAlignment="1">
      <alignment horizontal="left" vertical="center" wrapText="1"/>
    </xf>
    <xf numFmtId="0" fontId="25" fillId="2" borderId="4" xfId="34" applyFont="1" applyFill="1" applyBorder="1" applyAlignment="1">
      <alignment horizontal="left" vertical="center" wrapText="1"/>
    </xf>
    <xf numFmtId="0" fontId="24" fillId="15" borderId="16" xfId="34" applyFont="1" applyFill="1" applyBorder="1" applyAlignment="1">
      <alignment horizontal="right" vertical="center"/>
    </xf>
    <xf numFmtId="0" fontId="24" fillId="15" borderId="4" xfId="34" applyFont="1" applyFill="1" applyBorder="1" applyAlignment="1">
      <alignment horizontal="right" vertical="center"/>
    </xf>
    <xf numFmtId="0" fontId="24" fillId="3" borderId="16" xfId="34" applyFont="1" applyFill="1" applyBorder="1" applyAlignment="1">
      <alignment horizontal="right" vertical="center"/>
    </xf>
    <xf numFmtId="0" fontId="24" fillId="3" borderId="4" xfId="34" applyFont="1" applyFill="1" applyBorder="1" applyAlignment="1">
      <alignment horizontal="right" vertical="center"/>
    </xf>
    <xf numFmtId="0" fontId="26" fillId="2" borderId="16" xfId="34" applyFont="1" applyFill="1" applyBorder="1" applyAlignment="1" applyProtection="1">
      <alignment horizontal="left" vertical="center" wrapText="1"/>
      <protection locked="0"/>
    </xf>
    <xf numFmtId="0" fontId="26" fillId="2" borderId="4" xfId="34" applyFont="1" applyFill="1" applyBorder="1" applyAlignment="1" applyProtection="1">
      <alignment horizontal="left" vertical="center" wrapText="1"/>
      <protection locked="0"/>
    </xf>
    <xf numFmtId="0" fontId="26" fillId="2" borderId="23" xfId="34" applyFont="1" applyFill="1" applyBorder="1" applyAlignment="1" applyProtection="1">
      <alignment horizontal="left" vertical="center" wrapText="1"/>
      <protection locked="0"/>
    </xf>
    <xf numFmtId="0" fontId="24" fillId="3" borderId="25" xfId="34" applyFont="1" applyFill="1" applyBorder="1" applyAlignment="1" applyProtection="1">
      <alignment horizontal="center" vertical="center"/>
      <protection locked="0"/>
    </xf>
    <xf numFmtId="0" fontId="24" fillId="3" borderId="19" xfId="34" applyFont="1" applyFill="1" applyBorder="1" applyAlignment="1" applyProtection="1">
      <alignment horizontal="center" vertical="center"/>
      <protection locked="0"/>
    </xf>
    <xf numFmtId="0" fontId="25" fillId="2" borderId="32" xfId="34" applyFont="1" applyFill="1" applyBorder="1" applyAlignment="1" applyProtection="1">
      <alignment horizontal="left" vertical="top" wrapText="1"/>
      <protection locked="0"/>
    </xf>
    <xf numFmtId="0" fontId="25" fillId="2" borderId="34" xfId="34" applyFont="1" applyFill="1" applyBorder="1" applyAlignment="1" applyProtection="1">
      <alignment horizontal="left" vertical="top" wrapText="1"/>
      <protection locked="0"/>
    </xf>
    <xf numFmtId="0" fontId="24" fillId="6" borderId="39" xfId="34" applyFont="1" applyFill="1" applyBorder="1" applyAlignment="1" applyProtection="1">
      <alignment horizontal="center" vertical="center"/>
      <protection locked="0"/>
    </xf>
    <xf numFmtId="0" fontId="24" fillId="6" borderId="40" xfId="34" applyFont="1" applyFill="1" applyBorder="1" applyAlignment="1" applyProtection="1">
      <alignment horizontal="center" vertical="center"/>
      <protection locked="0"/>
    </xf>
    <xf numFmtId="0" fontId="24" fillId="6" borderId="49" xfId="34" applyFont="1" applyFill="1" applyBorder="1" applyAlignment="1" applyProtection="1">
      <alignment horizontal="center" vertical="center"/>
      <protection locked="0"/>
    </xf>
    <xf numFmtId="0" fontId="13" fillId="3" borderId="11" xfId="0" applyFont="1" applyFill="1" applyBorder="1" applyAlignment="1" applyProtection="1">
      <alignment horizontal="justify" vertical="center" wrapText="1"/>
      <protection locked="0"/>
    </xf>
    <xf numFmtId="0" fontId="13" fillId="3" borderId="27" xfId="0" applyFont="1" applyFill="1" applyBorder="1" applyAlignment="1" applyProtection="1">
      <alignment horizontal="justify" vertical="center" wrapText="1"/>
      <protection locked="0"/>
    </xf>
    <xf numFmtId="0" fontId="25" fillId="2" borderId="51" xfId="34" applyFont="1" applyFill="1" applyBorder="1" applyAlignment="1">
      <alignment horizontal="left" vertical="center"/>
    </xf>
    <xf numFmtId="0" fontId="25" fillId="2" borderId="13" xfId="34" applyFont="1" applyFill="1" applyBorder="1" applyAlignment="1">
      <alignment horizontal="left" vertical="center"/>
    </xf>
    <xf numFmtId="0" fontId="24" fillId="6" borderId="16" xfId="34" applyFont="1" applyFill="1" applyBorder="1" applyAlignment="1">
      <alignment horizontal="center" vertical="center"/>
    </xf>
    <xf numFmtId="0" fontId="24" fillId="6" borderId="4" xfId="34" applyFont="1" applyFill="1" applyBorder="1" applyAlignment="1">
      <alignment horizontal="center" vertical="center"/>
    </xf>
    <xf numFmtId="0" fontId="25" fillId="0" borderId="10" xfId="28" applyFont="1" applyBorder="1" applyAlignment="1" applyProtection="1">
      <alignment horizontal="justify" vertical="center" wrapText="1"/>
      <protection locked="0"/>
    </xf>
    <xf numFmtId="0" fontId="25" fillId="0" borderId="11" xfId="28" applyFont="1" applyBorder="1" applyAlignment="1" applyProtection="1">
      <alignment horizontal="justify" vertical="center"/>
      <protection locked="0"/>
    </xf>
    <xf numFmtId="0" fontId="25" fillId="0" borderId="27" xfId="28" applyFont="1" applyBorder="1" applyAlignment="1" applyProtection="1">
      <alignment horizontal="justify" vertical="center"/>
      <protection locked="0"/>
    </xf>
    <xf numFmtId="0" fontId="13" fillId="0" borderId="32" xfId="9" applyFont="1" applyBorder="1" applyAlignment="1">
      <alignment horizontal="left" wrapText="1"/>
    </xf>
    <xf numFmtId="0" fontId="13" fillId="0" borderId="34" xfId="9" applyFont="1" applyBorder="1" applyAlignment="1">
      <alignment horizontal="left" wrapText="1"/>
    </xf>
    <xf numFmtId="0" fontId="14" fillId="15" borderId="39" xfId="9" applyFont="1" applyFill="1" applyBorder="1" applyAlignment="1">
      <alignment horizontal="center" vertical="center" wrapText="1"/>
    </xf>
    <xf numFmtId="0" fontId="14" fillId="15" borderId="41" xfId="9" applyFont="1" applyFill="1" applyBorder="1" applyAlignment="1">
      <alignment horizontal="center" vertical="center" wrapText="1"/>
    </xf>
    <xf numFmtId="0" fontId="13" fillId="0" borderId="25" xfId="9" applyFont="1" applyBorder="1" applyAlignment="1">
      <alignment horizontal="left"/>
    </xf>
    <xf numFmtId="0" fontId="13" fillId="0" borderId="19" xfId="9" applyFont="1" applyBorder="1" applyAlignment="1">
      <alignment horizontal="left"/>
    </xf>
    <xf numFmtId="0" fontId="17" fillId="6" borderId="72" xfId="9" applyFont="1" applyFill="1" applyBorder="1" applyAlignment="1" applyProtection="1">
      <alignment horizontal="center" vertical="center"/>
      <protection locked="0"/>
    </xf>
    <xf numFmtId="0" fontId="25" fillId="0" borderId="37" xfId="21" applyFont="1" applyBorder="1" applyAlignment="1" applyProtection="1">
      <alignment horizontal="center" vertical="center"/>
      <protection locked="0"/>
    </xf>
    <xf numFmtId="0" fontId="25" fillId="0" borderId="45" xfId="21" applyFont="1" applyBorder="1" applyAlignment="1" applyProtection="1">
      <alignment horizontal="center" vertical="center"/>
      <protection locked="0"/>
    </xf>
    <xf numFmtId="0" fontId="24" fillId="3" borderId="22" xfId="28" applyFont="1" applyFill="1" applyBorder="1" applyAlignment="1" applyProtection="1">
      <alignment horizontal="left" vertical="center"/>
      <protection locked="0"/>
    </xf>
    <xf numFmtId="0" fontId="24" fillId="3" borderId="36" xfId="28" applyFont="1" applyFill="1" applyBorder="1" applyAlignment="1" applyProtection="1">
      <alignment horizontal="left" vertical="center"/>
      <protection locked="0"/>
    </xf>
    <xf numFmtId="0" fontId="25" fillId="0" borderId="10" xfId="21" applyFont="1" applyBorder="1" applyAlignment="1" applyProtection="1">
      <alignment horizontal="justify" vertical="center" wrapText="1"/>
      <protection locked="0"/>
    </xf>
    <xf numFmtId="0" fontId="25" fillId="0" borderId="11" xfId="21" applyFont="1" applyBorder="1" applyAlignment="1" applyProtection="1">
      <alignment horizontal="justify" vertical="center"/>
      <protection locked="0"/>
    </xf>
    <xf numFmtId="0" fontId="25" fillId="0" borderId="27" xfId="21" applyFont="1" applyBorder="1" applyAlignment="1" applyProtection="1">
      <alignment horizontal="justify" vertical="center"/>
      <protection locked="0"/>
    </xf>
    <xf numFmtId="0" fontId="25" fillId="13" borderId="10" xfId="21" applyFont="1" applyFill="1" applyBorder="1" applyAlignment="1" applyProtection="1">
      <alignment horizontal="left" vertical="center" wrapText="1"/>
      <protection locked="0"/>
    </xf>
    <xf numFmtId="0" fontId="25" fillId="13" borderId="11" xfId="21" applyFont="1" applyFill="1" applyBorder="1" applyAlignment="1" applyProtection="1">
      <alignment horizontal="left" vertical="center" wrapText="1"/>
      <protection locked="0"/>
    </xf>
    <xf numFmtId="0" fontId="25" fillId="13" borderId="27" xfId="21" applyFont="1" applyFill="1" applyBorder="1" applyAlignment="1" applyProtection="1">
      <alignment horizontal="left" vertical="center" wrapText="1"/>
      <protection locked="0"/>
    </xf>
    <xf numFmtId="0" fontId="25" fillId="0" borderId="16" xfId="21" applyFont="1" applyBorder="1" applyAlignment="1" applyProtection="1">
      <alignment horizontal="justify" vertical="center" wrapText="1"/>
      <protection locked="0"/>
    </xf>
    <xf numFmtId="0" fontId="25" fillId="0" borderId="4" xfId="21" applyFont="1" applyBorder="1" applyAlignment="1" applyProtection="1">
      <alignment horizontal="justify" vertical="center" wrapText="1"/>
      <protection locked="0"/>
    </xf>
    <xf numFmtId="0" fontId="25" fillId="0" borderId="16" xfId="21" applyFont="1" applyBorder="1" applyAlignment="1" applyProtection="1">
      <alignment horizontal="justify" vertical="center"/>
      <protection locked="0"/>
    </xf>
    <xf numFmtId="0" fontId="25" fillId="0" borderId="4" xfId="21" applyFont="1" applyBorder="1" applyAlignment="1" applyProtection="1">
      <alignment horizontal="justify" vertical="center"/>
      <protection locked="0"/>
    </xf>
    <xf numFmtId="0" fontId="24" fillId="3" borderId="53" xfId="21" applyFont="1" applyFill="1" applyBorder="1" applyAlignment="1" applyProtection="1">
      <alignment horizontal="center" vertical="center"/>
      <protection locked="0"/>
    </xf>
    <xf numFmtId="0" fontId="24" fillId="3" borderId="5" xfId="21" applyFont="1" applyFill="1" applyBorder="1" applyAlignment="1" applyProtection="1">
      <alignment horizontal="center" vertical="center"/>
      <protection locked="0"/>
    </xf>
    <xf numFmtId="0" fontId="25" fillId="0" borderId="51" xfId="21" applyFont="1" applyBorder="1" applyAlignment="1" applyProtection="1">
      <alignment horizontal="justify" vertical="center" wrapText="1"/>
      <protection locked="0"/>
    </xf>
    <xf numFmtId="0" fontId="25" fillId="0" borderId="13" xfId="21" applyFont="1" applyBorder="1" applyAlignment="1" applyProtection="1">
      <alignment horizontal="justify" vertical="center" wrapText="1"/>
      <protection locked="0"/>
    </xf>
    <xf numFmtId="0" fontId="24" fillId="0" borderId="20" xfId="21" applyFont="1" applyBorder="1" applyAlignment="1" applyProtection="1">
      <alignment horizontal="justify" vertical="center"/>
      <protection locked="0"/>
    </xf>
    <xf numFmtId="0" fontId="24" fillId="0" borderId="21" xfId="21" applyFont="1" applyBorder="1" applyAlignment="1" applyProtection="1">
      <alignment horizontal="justify" vertical="center"/>
      <protection locked="0"/>
    </xf>
    <xf numFmtId="0" fontId="24" fillId="0" borderId="35" xfId="21" applyFont="1" applyBorder="1" applyAlignment="1" applyProtection="1">
      <alignment horizontal="justify" vertical="center"/>
      <protection locked="0"/>
    </xf>
    <xf numFmtId="0" fontId="25" fillId="0" borderId="9" xfId="21" applyFont="1" applyBorder="1" applyAlignment="1" applyProtection="1">
      <alignment horizontal="justify" vertical="center" wrapText="1"/>
      <protection locked="0"/>
    </xf>
    <xf numFmtId="0" fontId="25" fillId="0" borderId="0" xfId="21" applyFont="1" applyAlignment="1" applyProtection="1">
      <alignment horizontal="justify" vertical="center"/>
      <protection locked="0"/>
    </xf>
    <xf numFmtId="0" fontId="25" fillId="0" borderId="48" xfId="21" applyFont="1" applyBorder="1" applyAlignment="1" applyProtection="1">
      <alignment horizontal="justify" vertical="center"/>
      <protection locked="0"/>
    </xf>
    <xf numFmtId="0" fontId="25" fillId="0" borderId="22" xfId="21" applyFont="1" applyBorder="1" applyAlignment="1" applyProtection="1">
      <alignment horizontal="justify" vertical="center" wrapText="1"/>
      <protection locked="0"/>
    </xf>
    <xf numFmtId="0" fontId="25" fillId="0" borderId="12" xfId="21" applyFont="1" applyBorder="1" applyAlignment="1" applyProtection="1">
      <alignment horizontal="justify" vertical="center"/>
      <protection locked="0"/>
    </xf>
    <xf numFmtId="0" fontId="25" fillId="0" borderId="36" xfId="21" applyFont="1" applyBorder="1" applyAlignment="1" applyProtection="1">
      <alignment horizontal="justify" vertical="center"/>
      <protection locked="0"/>
    </xf>
    <xf numFmtId="0" fontId="25" fillId="0" borderId="22" xfId="21" applyFont="1" applyBorder="1" applyAlignment="1" applyProtection="1">
      <alignment horizontal="left" vertical="center" wrapText="1"/>
      <protection locked="0"/>
    </xf>
    <xf numFmtId="0" fontId="25" fillId="0" borderId="12" xfId="21" applyFont="1" applyBorder="1" applyAlignment="1" applyProtection="1">
      <alignment horizontal="left" vertical="center" wrapText="1"/>
      <protection locked="0"/>
    </xf>
    <xf numFmtId="0" fontId="25" fillId="0" borderId="36" xfId="21" applyFont="1" applyBorder="1" applyAlignment="1" applyProtection="1">
      <alignment horizontal="left" vertical="center" wrapText="1"/>
      <protection locked="0"/>
    </xf>
    <xf numFmtId="0" fontId="25" fillId="0" borderId="0" xfId="21" applyFont="1" applyAlignment="1" applyProtection="1">
      <alignment horizontal="justify" vertical="center" wrapText="1"/>
      <protection locked="0"/>
    </xf>
    <xf numFmtId="0" fontId="25" fillId="0" borderId="9" xfId="21" applyFont="1" applyBorder="1" applyAlignment="1" applyProtection="1">
      <alignment horizontal="justify" vertical="top" wrapText="1"/>
      <protection locked="0"/>
    </xf>
    <xf numFmtId="0" fontId="25" fillId="0" borderId="0" xfId="21" applyFont="1" applyAlignment="1" applyProtection="1">
      <alignment horizontal="justify" vertical="top" wrapText="1"/>
      <protection locked="0"/>
    </xf>
    <xf numFmtId="0" fontId="25" fillId="0" borderId="48" xfId="21" applyFont="1" applyBorder="1" applyAlignment="1" applyProtection="1">
      <alignment horizontal="justify" vertical="top" wrapText="1"/>
      <protection locked="0"/>
    </xf>
    <xf numFmtId="0" fontId="25" fillId="0" borderId="22" xfId="21" applyFont="1" applyBorder="1" applyAlignment="1" applyProtection="1">
      <alignment horizontal="justify" vertical="top" wrapText="1"/>
      <protection locked="0"/>
    </xf>
    <xf numFmtId="0" fontId="25" fillId="0" borderId="12" xfId="21" applyFont="1" applyBorder="1" applyAlignment="1" applyProtection="1">
      <alignment horizontal="justify" vertical="top" wrapText="1"/>
      <protection locked="0"/>
    </xf>
    <xf numFmtId="0" fontId="25" fillId="0" borderId="36" xfId="21" applyFont="1" applyBorder="1" applyAlignment="1" applyProtection="1">
      <alignment horizontal="justify" vertical="top" wrapText="1"/>
      <protection locked="0"/>
    </xf>
    <xf numFmtId="0" fontId="16" fillId="0" borderId="4" xfId="21" applyFont="1" applyBorder="1" applyAlignment="1" applyProtection="1">
      <alignment horizontal="justify" vertical="center"/>
      <protection locked="0"/>
    </xf>
    <xf numFmtId="0" fontId="16" fillId="0" borderId="23" xfId="21" applyFont="1" applyBorder="1" applyAlignment="1" applyProtection="1">
      <alignment horizontal="justify" vertical="center"/>
      <protection locked="0"/>
    </xf>
    <xf numFmtId="0" fontId="17" fillId="0" borderId="50" xfId="21" applyFont="1" applyBorder="1" applyAlignment="1" applyProtection="1">
      <alignment horizontal="center" vertical="center"/>
      <protection locked="0"/>
    </xf>
    <xf numFmtId="0" fontId="17" fillId="0" borderId="0" xfId="21" applyFont="1" applyAlignment="1" applyProtection="1">
      <alignment horizontal="center" vertical="center"/>
      <protection locked="0"/>
    </xf>
    <xf numFmtId="0" fontId="28" fillId="6" borderId="23" xfId="9" applyFont="1" applyFill="1" applyBorder="1" applyAlignment="1" applyProtection="1">
      <alignment horizontal="center" vertical="center" wrapText="1"/>
      <protection locked="0"/>
    </xf>
    <xf numFmtId="0" fontId="16" fillId="2" borderId="16" xfId="21" applyFont="1" applyFill="1" applyBorder="1" applyAlignment="1" applyProtection="1">
      <alignment vertical="center"/>
      <protection locked="0"/>
    </xf>
    <xf numFmtId="0" fontId="16" fillId="2" borderId="4" xfId="21" applyFont="1" applyFill="1" applyBorder="1" applyAlignment="1" applyProtection="1">
      <alignment vertical="center"/>
      <protection locked="0"/>
    </xf>
    <xf numFmtId="0" fontId="27" fillId="2" borderId="16" xfId="21" applyFont="1" applyFill="1" applyBorder="1" applyAlignment="1" applyProtection="1">
      <alignment vertical="center" wrapText="1"/>
      <protection locked="0"/>
    </xf>
    <xf numFmtId="0" fontId="27" fillId="2" borderId="4" xfId="21" applyFont="1" applyFill="1" applyBorder="1" applyAlignment="1" applyProtection="1">
      <alignment vertical="center" wrapText="1"/>
      <protection locked="0"/>
    </xf>
    <xf numFmtId="0" fontId="17" fillId="3" borderId="16" xfId="21" applyFont="1" applyFill="1" applyBorder="1" applyAlignment="1" applyProtection="1">
      <alignment horizontal="right" vertical="center"/>
      <protection locked="0"/>
    </xf>
    <xf numFmtId="0" fontId="17" fillId="3" borderId="4" xfId="21" applyFont="1" applyFill="1" applyBorder="1" applyAlignment="1" applyProtection="1">
      <alignment horizontal="right" vertical="center"/>
      <protection locked="0"/>
    </xf>
    <xf numFmtId="0" fontId="17" fillId="3" borderId="37" xfId="21" applyFont="1" applyFill="1" applyBorder="1" applyAlignment="1" applyProtection="1">
      <alignment horizontal="right" vertical="center"/>
      <protection locked="0"/>
    </xf>
    <xf numFmtId="0" fontId="17" fillId="3" borderId="16" xfId="21" applyFont="1" applyFill="1" applyBorder="1" applyAlignment="1" applyProtection="1">
      <alignment horizontal="left" vertical="center"/>
      <protection locked="0"/>
    </xf>
    <xf numFmtId="0" fontId="17" fillId="3" borderId="4" xfId="21" applyFont="1" applyFill="1" applyBorder="1" applyAlignment="1" applyProtection="1">
      <alignment horizontal="left" vertical="center"/>
      <protection locked="0"/>
    </xf>
    <xf numFmtId="0" fontId="17" fillId="3" borderId="23" xfId="21" applyFont="1" applyFill="1" applyBorder="1" applyAlignment="1" applyProtection="1">
      <alignment horizontal="left" vertical="center"/>
      <protection locked="0"/>
    </xf>
    <xf numFmtId="0" fontId="13" fillId="0" borderId="53" xfId="0" applyFont="1" applyBorder="1" applyAlignment="1" applyProtection="1">
      <alignment horizontal="justify" vertical="center" wrapText="1"/>
      <protection locked="0"/>
    </xf>
    <xf numFmtId="0" fontId="13" fillId="0" borderId="69" xfId="0" applyFont="1" applyBorder="1" applyAlignment="1" applyProtection="1">
      <alignment horizontal="justify" vertical="center" wrapText="1"/>
      <protection locked="0"/>
    </xf>
    <xf numFmtId="0" fontId="16" fillId="0" borderId="13" xfId="21" applyFont="1" applyBorder="1" applyAlignment="1" applyProtection="1">
      <alignment horizontal="justify" vertical="center"/>
      <protection locked="0"/>
    </xf>
    <xf numFmtId="0" fontId="16" fillId="0" borderId="14" xfId="21" applyFont="1" applyBorder="1" applyAlignment="1" applyProtection="1">
      <alignment horizontal="justify" vertical="center"/>
      <protection locked="0"/>
    </xf>
    <xf numFmtId="0" fontId="27" fillId="2" borderId="51" xfId="21" applyFont="1" applyFill="1" applyBorder="1" applyAlignment="1" applyProtection="1">
      <alignment vertical="center" wrapText="1"/>
      <protection locked="0"/>
    </xf>
    <xf numFmtId="0" fontId="27" fillId="2" borderId="13" xfId="21" applyFont="1" applyFill="1" applyBorder="1" applyAlignment="1" applyProtection="1">
      <alignment vertical="center" wrapText="1"/>
      <protection locked="0"/>
    </xf>
    <xf numFmtId="0" fontId="17" fillId="3" borderId="51" xfId="21" applyFont="1" applyFill="1" applyBorder="1" applyAlignment="1" applyProtection="1">
      <alignment horizontal="right" vertical="center"/>
      <protection locked="0"/>
    </xf>
    <xf numFmtId="0" fontId="17" fillId="3" borderId="13" xfId="21" applyFont="1" applyFill="1" applyBorder="1" applyAlignment="1" applyProtection="1">
      <alignment horizontal="right" vertical="center"/>
      <protection locked="0"/>
    </xf>
    <xf numFmtId="0" fontId="16" fillId="0" borderId="53" xfId="9" applyFont="1" applyBorder="1" applyAlignment="1" applyProtection="1">
      <alignment horizontal="justify" vertical="center" wrapText="1"/>
      <protection locked="0"/>
    </xf>
    <xf numFmtId="0" fontId="16" fillId="0" borderId="5" xfId="9" applyFont="1" applyBorder="1" applyAlignment="1" applyProtection="1">
      <alignment horizontal="justify" vertical="center" wrapText="1"/>
      <protection locked="0"/>
    </xf>
    <xf numFmtId="0" fontId="16" fillId="0" borderId="6" xfId="9" applyFont="1" applyBorder="1" applyAlignment="1" applyProtection="1">
      <alignment horizontal="justify" vertical="center" wrapText="1"/>
      <protection locked="0"/>
    </xf>
    <xf numFmtId="0" fontId="25" fillId="0" borderId="11" xfId="21" applyFont="1" applyBorder="1" applyAlignment="1" applyProtection="1">
      <alignment horizontal="justify" vertical="center" wrapText="1"/>
      <protection locked="0"/>
    </xf>
    <xf numFmtId="0" fontId="25" fillId="0" borderId="27" xfId="21" applyFont="1" applyBorder="1" applyAlignment="1" applyProtection="1">
      <alignment horizontal="justify" vertical="center" wrapText="1"/>
      <protection locked="0"/>
    </xf>
    <xf numFmtId="0" fontId="25" fillId="0" borderId="48" xfId="21" applyFont="1" applyBorder="1" applyAlignment="1" applyProtection="1">
      <alignment horizontal="justify" vertical="center" wrapText="1"/>
      <protection locked="0"/>
    </xf>
    <xf numFmtId="0" fontId="25" fillId="0" borderId="22" xfId="21" applyFont="1" applyBorder="1" applyAlignment="1" applyProtection="1">
      <alignment horizontal="justify" vertical="center"/>
      <protection locked="0"/>
    </xf>
    <xf numFmtId="0" fontId="25" fillId="0" borderId="12" xfId="21" applyFont="1" applyBorder="1" applyAlignment="1" applyProtection="1">
      <alignment horizontal="justify" vertical="center" wrapText="1"/>
      <protection locked="0"/>
    </xf>
    <xf numFmtId="0" fontId="25" fillId="0" borderId="36" xfId="21" applyFont="1" applyBorder="1" applyAlignment="1" applyProtection="1">
      <alignment horizontal="justify" vertical="center" wrapText="1"/>
      <protection locked="0"/>
    </xf>
    <xf numFmtId="0" fontId="24" fillId="0" borderId="20" xfId="21" applyFont="1" applyBorder="1" applyAlignment="1" applyProtection="1">
      <alignment horizontal="left" vertical="center" wrapText="1"/>
      <protection locked="0"/>
    </xf>
    <xf numFmtId="0" fontId="24" fillId="0" borderId="21" xfId="21" applyFont="1" applyBorder="1" applyAlignment="1" applyProtection="1">
      <alignment horizontal="left" vertical="center" wrapText="1"/>
      <protection locked="0"/>
    </xf>
    <xf numFmtId="0" fontId="24" fillId="0" borderId="35" xfId="21" applyFont="1" applyBorder="1" applyAlignment="1" applyProtection="1">
      <alignment horizontal="left" vertical="center" wrapText="1"/>
      <protection locked="0"/>
    </xf>
    <xf numFmtId="0" fontId="25" fillId="0" borderId="22" xfId="21" applyFont="1" applyBorder="1" applyAlignment="1" applyProtection="1">
      <alignment horizontal="left" vertical="center"/>
      <protection locked="0"/>
    </xf>
    <xf numFmtId="0" fontId="25" fillId="0" borderId="12" xfId="21" applyFont="1" applyBorder="1" applyAlignment="1" applyProtection="1">
      <alignment horizontal="left" vertical="center"/>
      <protection locked="0"/>
    </xf>
    <xf numFmtId="0" fontId="25" fillId="0" borderId="36" xfId="21" applyFont="1" applyBorder="1" applyAlignment="1" applyProtection="1">
      <alignment horizontal="left" vertical="center"/>
      <protection locked="0"/>
    </xf>
    <xf numFmtId="0" fontId="25" fillId="0" borderId="0" xfId="21" applyFont="1" applyAlignment="1" applyProtection="1">
      <alignment horizontal="justify" vertical="top"/>
      <protection locked="0"/>
    </xf>
    <xf numFmtId="0" fontId="25" fillId="0" borderId="48" xfId="21" applyFont="1" applyBorder="1" applyAlignment="1" applyProtection="1">
      <alignment horizontal="justify" vertical="top"/>
      <protection locked="0"/>
    </xf>
    <xf numFmtId="0" fontId="24" fillId="0" borderId="20" xfId="21" applyFont="1" applyBorder="1" applyAlignment="1" applyProtection="1">
      <alignment horizontal="left" vertical="center"/>
      <protection locked="0"/>
    </xf>
    <xf numFmtId="0" fontId="24" fillId="0" borderId="21" xfId="21" applyFont="1" applyBorder="1" applyAlignment="1" applyProtection="1">
      <alignment horizontal="left" vertical="center"/>
      <protection locked="0"/>
    </xf>
    <xf numFmtId="0" fontId="24" fillId="0" borderId="35" xfId="21" applyFont="1" applyBorder="1" applyAlignment="1" applyProtection="1">
      <alignment horizontal="left" vertical="center"/>
      <protection locked="0"/>
    </xf>
    <xf numFmtId="0" fontId="25" fillId="0" borderId="12" xfId="21" applyFont="1" applyBorder="1" applyAlignment="1" applyProtection="1">
      <alignment horizontal="justify" vertical="top"/>
      <protection locked="0"/>
    </xf>
    <xf numFmtId="0" fontId="25" fillId="0" borderId="36" xfId="21" applyFont="1" applyBorder="1" applyAlignment="1" applyProtection="1">
      <alignment horizontal="justify" vertical="top"/>
      <protection locked="0"/>
    </xf>
    <xf numFmtId="0" fontId="25" fillId="0" borderId="9" xfId="21" applyFont="1" applyBorder="1" applyAlignment="1" applyProtection="1">
      <alignment horizontal="left" vertical="center"/>
      <protection locked="0"/>
    </xf>
    <xf numFmtId="0" fontId="25" fillId="0" borderId="0" xfId="21" applyFont="1" applyAlignment="1" applyProtection="1">
      <alignment horizontal="left" vertical="center"/>
      <protection locked="0"/>
    </xf>
    <xf numFmtId="0" fontId="25" fillId="0" borderId="48" xfId="21" applyFont="1" applyBorder="1" applyAlignment="1" applyProtection="1">
      <alignment horizontal="left" vertical="center"/>
      <protection locked="0"/>
    </xf>
    <xf numFmtId="0" fontId="25" fillId="0" borderId="22" xfId="21" applyFont="1" applyBorder="1" applyAlignment="1" applyProtection="1">
      <alignment horizontal="left" wrapText="1"/>
      <protection locked="0"/>
    </xf>
    <xf numFmtId="0" fontId="25" fillId="0" borderId="12" xfId="21" applyFont="1" applyBorder="1" applyAlignment="1" applyProtection="1">
      <alignment horizontal="left"/>
      <protection locked="0"/>
    </xf>
    <xf numFmtId="0" fontId="25" fillId="0" borderId="36" xfId="21" applyFont="1" applyBorder="1" applyAlignment="1" applyProtection="1">
      <alignment horizontal="left"/>
      <protection locked="0"/>
    </xf>
    <xf numFmtId="0" fontId="25" fillId="0" borderId="38" xfId="21" applyFont="1" applyBorder="1" applyAlignment="1" applyProtection="1">
      <alignment horizontal="center" vertical="center"/>
      <protection locked="0"/>
    </xf>
    <xf numFmtId="0" fontId="13" fillId="0" borderId="4" xfId="0" applyFont="1" applyBorder="1" applyAlignment="1">
      <alignment horizontal="justify" vertical="top"/>
    </xf>
    <xf numFmtId="0" fontId="13" fillId="0" borderId="4" xfId="0" applyFont="1" applyBorder="1" applyAlignment="1">
      <alignment horizontal="justify" vertical="top" wrapText="1"/>
    </xf>
    <xf numFmtId="0" fontId="13" fillId="0" borderId="37" xfId="0" applyFont="1" applyBorder="1" applyAlignment="1">
      <alignment horizontal="justify" vertical="center" wrapText="1"/>
    </xf>
    <xf numFmtId="0" fontId="13" fillId="0" borderId="38" xfId="0" applyFont="1" applyBorder="1" applyAlignment="1">
      <alignment horizontal="justify" vertical="center" wrapText="1"/>
    </xf>
    <xf numFmtId="0" fontId="13" fillId="0" borderId="19" xfId="0" applyFont="1" applyBorder="1" applyAlignment="1">
      <alignment horizontal="justify" vertical="center" wrapText="1"/>
    </xf>
    <xf numFmtId="0" fontId="13" fillId="0" borderId="30" xfId="14" applyBorder="1" applyAlignment="1">
      <alignment horizontal="center" vertical="center"/>
    </xf>
    <xf numFmtId="0" fontId="13" fillId="0" borderId="16" xfId="14" applyBorder="1" applyAlignment="1">
      <alignment horizontal="center" vertical="center"/>
    </xf>
    <xf numFmtId="0" fontId="13" fillId="0" borderId="51" xfId="14" applyBorder="1" applyAlignment="1">
      <alignment horizontal="center" vertical="center"/>
    </xf>
    <xf numFmtId="0" fontId="13" fillId="0" borderId="31" xfId="14" applyBorder="1" applyAlignment="1">
      <alignment horizontal="center" vertical="center"/>
    </xf>
    <xf numFmtId="0" fontId="13" fillId="0" borderId="24" xfId="14" applyBorder="1" applyAlignment="1">
      <alignment horizontal="center" vertical="center"/>
    </xf>
    <xf numFmtId="0" fontId="13" fillId="0" borderId="4" xfId="14" applyBorder="1" applyAlignment="1">
      <alignment horizontal="center" vertical="center"/>
    </xf>
    <xf numFmtId="0" fontId="13" fillId="0" borderId="23" xfId="14" applyBorder="1" applyAlignment="1">
      <alignment horizontal="center" vertical="center"/>
    </xf>
    <xf numFmtId="0" fontId="13" fillId="0" borderId="13" xfId="14" applyBorder="1" applyAlignment="1">
      <alignment horizontal="center" vertical="center"/>
    </xf>
    <xf numFmtId="0" fontId="13" fillId="0" borderId="14" xfId="14" applyBorder="1" applyAlignment="1">
      <alignment horizontal="center" vertical="center"/>
    </xf>
    <xf numFmtId="0" fontId="14" fillId="6" borderId="4" xfId="0" applyFont="1" applyFill="1" applyBorder="1" applyAlignment="1">
      <alignment horizontal="left"/>
    </xf>
    <xf numFmtId="0" fontId="14" fillId="3" borderId="4" xfId="0" applyFont="1" applyFill="1" applyBorder="1" applyAlignment="1">
      <alignment horizontal="center" vertical="center" wrapText="1" readingOrder="1"/>
    </xf>
    <xf numFmtId="0" fontId="13" fillId="0" borderId="4" xfId="0" applyFont="1" applyBorder="1" applyAlignment="1">
      <alignment horizontal="justify" vertical="center" wrapText="1" readingOrder="1"/>
    </xf>
    <xf numFmtId="0" fontId="14" fillId="6" borderId="4" xfId="21" applyFont="1" applyFill="1" applyBorder="1" applyAlignment="1" applyProtection="1">
      <alignment horizontal="center" vertical="center"/>
      <protection locked="0"/>
    </xf>
    <xf numFmtId="0" fontId="24" fillId="6" borderId="7" xfId="21" applyFont="1" applyFill="1" applyBorder="1" applyAlignment="1" applyProtection="1">
      <alignment horizontal="center" vertical="center"/>
      <protection locked="0"/>
    </xf>
    <xf numFmtId="0" fontId="25" fillId="2" borderId="59" xfId="21" applyFont="1" applyFill="1" applyBorder="1" applyAlignment="1" applyProtection="1">
      <alignment horizontal="justify" vertical="top" wrapText="1"/>
      <protection locked="0"/>
    </xf>
    <xf numFmtId="0" fontId="25" fillId="2" borderId="29" xfId="21" applyFont="1" applyFill="1" applyBorder="1" applyAlignment="1" applyProtection="1">
      <alignment horizontal="justify" vertical="top"/>
      <protection locked="0"/>
    </xf>
    <xf numFmtId="0" fontId="25" fillId="2" borderId="60" xfId="21" applyFont="1" applyFill="1" applyBorder="1" applyAlignment="1" applyProtection="1">
      <alignment horizontal="justify" vertical="top"/>
      <protection locked="0"/>
    </xf>
    <xf numFmtId="0" fontId="25" fillId="2" borderId="50" xfId="21" applyFont="1" applyFill="1" applyBorder="1" applyAlignment="1" applyProtection="1">
      <alignment horizontal="justify" vertical="top" wrapText="1"/>
      <protection locked="0"/>
    </xf>
    <xf numFmtId="0" fontId="25" fillId="2" borderId="0" xfId="21" applyFont="1" applyFill="1" applyAlignment="1" applyProtection="1">
      <alignment horizontal="justify" vertical="top" wrapText="1"/>
      <protection locked="0"/>
    </xf>
    <xf numFmtId="0" fontId="25" fillId="2" borderId="47" xfId="21" applyFont="1" applyFill="1" applyBorder="1" applyAlignment="1" applyProtection="1">
      <alignment horizontal="justify" vertical="top" wrapText="1"/>
      <protection locked="0"/>
    </xf>
    <xf numFmtId="0" fontId="25" fillId="2" borderId="43" xfId="21" applyFont="1" applyFill="1" applyBorder="1" applyAlignment="1" applyProtection="1">
      <alignment horizontal="justify" vertical="center" wrapText="1"/>
      <protection locked="0"/>
    </xf>
    <xf numFmtId="0" fontId="25" fillId="2" borderId="17" xfId="21" applyFont="1" applyFill="1" applyBorder="1" applyAlignment="1" applyProtection="1">
      <alignment horizontal="justify" vertical="center"/>
      <protection locked="0"/>
    </xf>
    <xf numFmtId="0" fontId="25" fillId="2" borderId="44" xfId="21" applyFont="1" applyFill="1" applyBorder="1" applyAlignment="1" applyProtection="1">
      <alignment horizontal="justify" vertical="center"/>
      <protection locked="0"/>
    </xf>
    <xf numFmtId="0" fontId="24" fillId="6" borderId="4" xfId="21" applyFont="1" applyFill="1" applyBorder="1" applyAlignment="1" applyProtection="1">
      <alignment horizontal="center" vertical="center" wrapText="1"/>
      <protection locked="0"/>
    </xf>
    <xf numFmtId="0" fontId="25" fillId="2" borderId="59" xfId="21" applyFont="1" applyFill="1" applyBorder="1" applyAlignment="1" applyProtection="1">
      <alignment horizontal="justify" vertical="justify" wrapText="1"/>
      <protection locked="0"/>
    </xf>
    <xf numFmtId="0" fontId="25" fillId="2" borderId="29" xfId="21" applyFont="1" applyFill="1" applyBorder="1" applyAlignment="1" applyProtection="1">
      <alignment horizontal="justify" vertical="justify"/>
      <protection locked="0"/>
    </xf>
    <xf numFmtId="0" fontId="25" fillId="2" borderId="60" xfId="21" applyFont="1" applyFill="1" applyBorder="1" applyAlignment="1" applyProtection="1">
      <alignment horizontal="justify" vertical="justify"/>
      <protection locked="0"/>
    </xf>
    <xf numFmtId="0" fontId="25" fillId="2" borderId="43" xfId="21" applyFont="1" applyFill="1" applyBorder="1" applyAlignment="1" applyProtection="1">
      <alignment horizontal="justify" vertical="justify" wrapText="1"/>
      <protection locked="0"/>
    </xf>
    <xf numFmtId="0" fontId="25" fillId="2" borderId="17" xfId="21" applyFont="1" applyFill="1" applyBorder="1" applyAlignment="1" applyProtection="1">
      <alignment horizontal="justify" vertical="justify"/>
      <protection locked="0"/>
    </xf>
    <xf numFmtId="0" fontId="25" fillId="2" borderId="44" xfId="21" applyFont="1" applyFill="1" applyBorder="1" applyAlignment="1" applyProtection="1">
      <alignment horizontal="justify" vertical="justify"/>
      <protection locked="0"/>
    </xf>
  </cellXfs>
  <cellStyles count="59">
    <cellStyle name="Hipervínculo" xfId="57" builtinId="8"/>
    <cellStyle name="Millares" xfId="58" builtinId="3"/>
    <cellStyle name="Millares [0] 2" xfId="1" xr:uid="{00000000-0005-0000-0000-000001000000}"/>
    <cellStyle name="Millares [0] 3" xfId="54" xr:uid="{00000000-0005-0000-0000-000002000000}"/>
    <cellStyle name="Millares 2" xfId="2" xr:uid="{00000000-0005-0000-0000-000003000000}"/>
    <cellStyle name="Millares 2 2" xfId="3" xr:uid="{00000000-0005-0000-0000-000004000000}"/>
    <cellStyle name="Millares 2 3" xfId="24" xr:uid="{00000000-0005-0000-0000-000005000000}"/>
    <cellStyle name="Millares 2 5 2" xfId="31" xr:uid="{00000000-0005-0000-0000-000006000000}"/>
    <cellStyle name="Millares 3" xfId="4" xr:uid="{00000000-0005-0000-0000-000007000000}"/>
    <cellStyle name="Millares 3 2" xfId="5" xr:uid="{00000000-0005-0000-0000-000008000000}"/>
    <cellStyle name="Millares 4" xfId="6" xr:uid="{00000000-0005-0000-0000-000009000000}"/>
    <cellStyle name="Millares 4 2" xfId="22" xr:uid="{00000000-0005-0000-0000-00000A000000}"/>
    <cellStyle name="Millares 5" xfId="46" xr:uid="{00000000-0005-0000-0000-00000B000000}"/>
    <cellStyle name="Moneda" xfId="7" builtinId="4"/>
    <cellStyle name="Moneda [0] 2" xfId="23" xr:uid="{00000000-0005-0000-0000-00000D000000}"/>
    <cellStyle name="Moneda [0] 3" xfId="26" xr:uid="{00000000-0005-0000-0000-00000E000000}"/>
    <cellStyle name="Moneda [0] 3 2" xfId="40" xr:uid="{00000000-0005-0000-0000-00000F000000}"/>
    <cellStyle name="Moneda [0] 4" xfId="29" xr:uid="{00000000-0005-0000-0000-000010000000}"/>
    <cellStyle name="Moneda [0] 5" xfId="43" xr:uid="{00000000-0005-0000-0000-000011000000}"/>
    <cellStyle name="Moneda [0] 6" xfId="53" xr:uid="{00000000-0005-0000-0000-000012000000}"/>
    <cellStyle name="Moneda [0] 7" xfId="56" xr:uid="{00000000-0005-0000-0000-000013000000}"/>
    <cellStyle name="Moneda 2" xfId="8" xr:uid="{00000000-0005-0000-0000-000014000000}"/>
    <cellStyle name="Moneda 3" xfId="19" xr:uid="{00000000-0005-0000-0000-000015000000}"/>
    <cellStyle name="Moneda 4" xfId="35" xr:uid="{00000000-0005-0000-0000-000016000000}"/>
    <cellStyle name="Moneda 5" xfId="37" xr:uid="{00000000-0005-0000-0000-000017000000}"/>
    <cellStyle name="Moneda 6" xfId="33" xr:uid="{00000000-0005-0000-0000-000018000000}"/>
    <cellStyle name="Moneda 7" xfId="49" xr:uid="{00000000-0005-0000-0000-000019000000}"/>
    <cellStyle name="Normal" xfId="0" builtinId="0"/>
    <cellStyle name="Normal 10" xfId="34" xr:uid="{00000000-0005-0000-0000-00001B000000}"/>
    <cellStyle name="Normal 10 2 2" xfId="30" xr:uid="{00000000-0005-0000-0000-00001C000000}"/>
    <cellStyle name="Normal 11" xfId="36" xr:uid="{00000000-0005-0000-0000-00001D000000}"/>
    <cellStyle name="Normal 11 2" xfId="41" xr:uid="{00000000-0005-0000-0000-00001E000000}"/>
    <cellStyle name="Normal 12" xfId="45" xr:uid="{00000000-0005-0000-0000-00001F000000}"/>
    <cellStyle name="Normal 13" xfId="48" xr:uid="{00000000-0005-0000-0000-000020000000}"/>
    <cellStyle name="Normal 14" xfId="52" xr:uid="{00000000-0005-0000-0000-000021000000}"/>
    <cellStyle name="Normal 15" xfId="55" xr:uid="{00000000-0005-0000-0000-000022000000}"/>
    <cellStyle name="Normal 2" xfId="9" xr:uid="{00000000-0005-0000-0000-000023000000}"/>
    <cellStyle name="Normal 2 2" xfId="10" xr:uid="{00000000-0005-0000-0000-000024000000}"/>
    <cellStyle name="Normal 2 3" xfId="50" xr:uid="{00000000-0005-0000-0000-000025000000}"/>
    <cellStyle name="Normal 3" xfId="11" xr:uid="{00000000-0005-0000-0000-000026000000}"/>
    <cellStyle name="Normal 4" xfId="12" xr:uid="{00000000-0005-0000-0000-000027000000}"/>
    <cellStyle name="Normal 4 2" xfId="27" xr:uid="{00000000-0005-0000-0000-000028000000}"/>
    <cellStyle name="Normal 5" xfId="13" xr:uid="{00000000-0005-0000-0000-000029000000}"/>
    <cellStyle name="Normal 5 2" xfId="21" xr:uid="{00000000-0005-0000-0000-00002A000000}"/>
    <cellStyle name="Normal 5 3" xfId="28" xr:uid="{00000000-0005-0000-0000-00002B000000}"/>
    <cellStyle name="Normal 6" xfId="18" xr:uid="{00000000-0005-0000-0000-00002C000000}"/>
    <cellStyle name="Normal 7" xfId="14" xr:uid="{00000000-0005-0000-0000-00002D000000}"/>
    <cellStyle name="Normal 8" xfId="25" xr:uid="{00000000-0005-0000-0000-00002E000000}"/>
    <cellStyle name="Normal 8 2" xfId="39" xr:uid="{00000000-0005-0000-0000-00002F000000}"/>
    <cellStyle name="Normal 8 3" xfId="44" xr:uid="{00000000-0005-0000-0000-000030000000}"/>
    <cellStyle name="Normal 9" xfId="15" xr:uid="{00000000-0005-0000-0000-000031000000}"/>
    <cellStyle name="Porcentaje" xfId="16" builtinId="5"/>
    <cellStyle name="Porcentaje 2" xfId="17" xr:uid="{00000000-0005-0000-0000-000033000000}"/>
    <cellStyle name="Porcentaje 2 3" xfId="32" xr:uid="{00000000-0005-0000-0000-000034000000}"/>
    <cellStyle name="Porcentaje 3" xfId="20" xr:uid="{00000000-0005-0000-0000-000035000000}"/>
    <cellStyle name="Porcentaje 4" xfId="38" xr:uid="{00000000-0005-0000-0000-000036000000}"/>
    <cellStyle name="Porcentaje 4 2" xfId="42" xr:uid="{00000000-0005-0000-0000-000037000000}"/>
    <cellStyle name="Porcentaje 5" xfId="47" xr:uid="{00000000-0005-0000-0000-000038000000}"/>
    <cellStyle name="Porcentaje 6" xfId="51" xr:uid="{00000000-0005-0000-0000-000039000000}"/>
  </cellStyles>
  <dxfs count="46">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AFA50"/>
      <color rgb="FFD4D8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3.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45" Type="http://schemas.openxmlformats.org/officeDocument/2006/relationships/externalLink" Target="externalLinks/externalLink6.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5.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4.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7.xml"/><Relationship Id="rId20" Type="http://schemas.openxmlformats.org/officeDocument/2006/relationships/worksheet" Target="worksheets/sheet20.xml"/><Relationship Id="rId41"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emf"/></Relationships>
</file>

<file path=xl/drawings/_rels/drawing16.xml.rels><?xml version="1.0" encoding="UTF-8" standalone="yes"?>
<Relationships xmlns="http://schemas.openxmlformats.org/package/2006/relationships"><Relationship Id="rId1" Type="http://schemas.openxmlformats.org/officeDocument/2006/relationships/image" Target="../media/image1.emf"/></Relationships>
</file>

<file path=xl/drawings/_rels/drawing17.xml.rels><?xml version="1.0" encoding="UTF-8" standalone="yes"?>
<Relationships xmlns="http://schemas.openxmlformats.org/package/2006/relationships"><Relationship Id="rId1" Type="http://schemas.openxmlformats.org/officeDocument/2006/relationships/image" Target="../media/image1.emf"/></Relationships>
</file>

<file path=xl/drawings/_rels/drawing18.xml.rels><?xml version="1.0" encoding="UTF-8" standalone="yes"?>
<Relationships xmlns="http://schemas.openxmlformats.org/package/2006/relationships"><Relationship Id="rId1" Type="http://schemas.openxmlformats.org/officeDocument/2006/relationships/image" Target="../media/image1.emf"/></Relationships>
</file>

<file path=xl/drawings/_rels/drawing19.xml.rels><?xml version="1.0" encoding="UTF-8" standalone="yes"?>
<Relationships xmlns="http://schemas.openxmlformats.org/package/2006/relationships"><Relationship Id="rId1" Type="http://schemas.openxmlformats.org/officeDocument/2006/relationships/image" Target="../media/image1.emf"/></Relationships>
</file>

<file path=xl/drawings/_rels/drawing20.xml.rels><?xml version="1.0" encoding="UTF-8" standalone="yes"?>
<Relationships xmlns="http://schemas.openxmlformats.org/package/2006/relationships"><Relationship Id="rId1" Type="http://schemas.openxmlformats.org/officeDocument/2006/relationships/image" Target="../media/image1.emf"/></Relationships>
</file>

<file path=xl/drawings/_rels/drawing2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2.xml.rels><?xml version="1.0" encoding="UTF-8" standalone="yes"?>
<Relationships xmlns="http://schemas.openxmlformats.org/package/2006/relationships"><Relationship Id="rId1" Type="http://schemas.openxmlformats.org/officeDocument/2006/relationships/image" Target="../media/image1.emf"/></Relationships>
</file>

<file path=xl/drawings/_rels/drawing23.xml.rels><?xml version="1.0" encoding="UTF-8" standalone="yes"?>
<Relationships xmlns="http://schemas.openxmlformats.org/package/2006/relationships"><Relationship Id="rId1" Type="http://schemas.openxmlformats.org/officeDocument/2006/relationships/image" Target="../media/image1.emf"/></Relationships>
</file>

<file path=xl/drawings/_rels/drawing24.xml.rels><?xml version="1.0" encoding="UTF-8" standalone="yes"?>
<Relationships xmlns="http://schemas.openxmlformats.org/package/2006/relationships"><Relationship Id="rId1" Type="http://schemas.openxmlformats.org/officeDocument/2006/relationships/image" Target="../media/image1.emf"/></Relationships>
</file>

<file path=xl/drawings/_rels/drawing25.xml.rels><?xml version="1.0" encoding="UTF-8" standalone="yes"?>
<Relationships xmlns="http://schemas.openxmlformats.org/package/2006/relationships"><Relationship Id="rId1" Type="http://schemas.openxmlformats.org/officeDocument/2006/relationships/image" Target="../media/image1.emf"/></Relationships>
</file>

<file path=xl/drawings/_rels/drawing26.xml.rels><?xml version="1.0" encoding="UTF-8" standalone="yes"?>
<Relationships xmlns="http://schemas.openxmlformats.org/package/2006/relationships"><Relationship Id="rId1" Type="http://schemas.openxmlformats.org/officeDocument/2006/relationships/image" Target="../media/image1.emf"/></Relationships>
</file>

<file path=xl/drawings/_rels/drawing27.xml.rels><?xml version="1.0" encoding="UTF-8" standalone="yes"?>
<Relationships xmlns="http://schemas.openxmlformats.org/package/2006/relationships"><Relationship Id="rId1" Type="http://schemas.openxmlformats.org/officeDocument/2006/relationships/image" Target="../media/image1.emf"/></Relationships>
</file>

<file path=xl/drawings/_rels/drawing28.xml.rels><?xml version="1.0" encoding="UTF-8" standalone="yes"?>
<Relationships xmlns="http://schemas.openxmlformats.org/package/2006/relationships"><Relationship Id="rId1" Type="http://schemas.openxmlformats.org/officeDocument/2006/relationships/image" Target="../media/image1.emf"/></Relationships>
</file>

<file path=xl/drawings/_rels/drawing29.xml.rels><?xml version="1.0" encoding="UTF-8" standalone="yes"?>
<Relationships xmlns="http://schemas.openxmlformats.org/package/2006/relationships"><Relationship Id="rId1" Type="http://schemas.openxmlformats.org/officeDocument/2006/relationships/image" Target="../media/image1.emf"/></Relationships>
</file>

<file path=xl/drawings/_rels/drawing30.xml.rels><?xml version="1.0" encoding="UTF-8" standalone="yes"?>
<Relationships xmlns="http://schemas.openxmlformats.org/package/2006/relationships"><Relationship Id="rId1" Type="http://schemas.openxmlformats.org/officeDocument/2006/relationships/image" Target="../media/image1.emf"/></Relationships>
</file>

<file path=xl/drawings/_rels/drawing3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3.xml.rels><?xml version="1.0" encoding="UTF-8" standalone="yes"?>
<Relationships xmlns="http://schemas.openxmlformats.org/package/2006/relationships"><Relationship Id="rId1" Type="http://schemas.openxmlformats.org/officeDocument/2006/relationships/image" Target="../media/image1.emf"/></Relationships>
</file>

<file path=xl/drawings/_rels/drawing34.xml.rels><?xml version="1.0" encoding="UTF-8" standalone="yes"?>
<Relationships xmlns="http://schemas.openxmlformats.org/package/2006/relationships"><Relationship Id="rId1" Type="http://schemas.openxmlformats.org/officeDocument/2006/relationships/image" Target="../media/image1.emf"/></Relationships>
</file>

<file path=xl/drawings/_rels/drawing35.xml.rels><?xml version="1.0" encoding="UTF-8" standalone="yes"?>
<Relationships xmlns="http://schemas.openxmlformats.org/package/2006/relationships"><Relationship Id="rId1" Type="http://schemas.openxmlformats.org/officeDocument/2006/relationships/image" Target="../media/image1.emf"/></Relationships>
</file>

<file path=xl/drawings/_rels/drawing36.xml.rels><?xml version="1.0" encoding="UTF-8" standalone="yes"?>
<Relationships xmlns="http://schemas.openxmlformats.org/package/2006/relationships"><Relationship Id="rId1" Type="http://schemas.openxmlformats.org/officeDocument/2006/relationships/image" Target="../media/image1.emf"/></Relationships>
</file>

<file path=xl/drawings/_rels/drawing3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emf"/></Relationships>
</file>

<file path=xl/drawings/_rels/drawing38.xml.rels><?xml version="1.0" encoding="UTF-8" standalone="yes"?>
<Relationships xmlns="http://schemas.openxmlformats.org/package/2006/relationships"><Relationship Id="rId1" Type="http://schemas.openxmlformats.org/officeDocument/2006/relationships/image" Target="../media/image1.emf"/></Relationships>
</file>

<file path=xl/drawings/_rels/drawing39.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238127</xdr:colOff>
      <xdr:row>0</xdr:row>
      <xdr:rowOff>0</xdr:rowOff>
    </xdr:from>
    <xdr:to>
      <xdr:col>1</xdr:col>
      <xdr:colOff>427384</xdr:colOff>
      <xdr:row>2</xdr:row>
      <xdr:rowOff>219074</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61"/>
        <a:stretch/>
      </xdr:blipFill>
      <xdr:spPr bwMode="auto">
        <a:xfrm>
          <a:off x="238127" y="0"/>
          <a:ext cx="970307" cy="676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2</xdr:row>
      <xdr:rowOff>276225</xdr:rowOff>
    </xdr:to>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495300</xdr:colOff>
      <xdr:row>229</xdr:row>
      <xdr:rowOff>0</xdr:rowOff>
    </xdr:from>
    <xdr:to>
      <xdr:col>7</xdr:col>
      <xdr:colOff>1152525</xdr:colOff>
      <xdr:row>231</xdr:row>
      <xdr:rowOff>152400</xdr:rowOff>
    </xdr:to>
    <xdr:pic>
      <xdr:nvPicPr>
        <xdr:cNvPr id="3" name="Imagen 2">
          <a:extLst>
            <a:ext uri="{FF2B5EF4-FFF2-40B4-BE49-F238E27FC236}">
              <a16:creationId xmlns:a16="http://schemas.microsoft.com/office/drawing/2014/main" id="{6F127E0F-49B3-7A3E-E6CE-253C2383969A}"/>
            </a:ext>
            <a:ext uri="{147F2762-F138-4A5C-976F-8EAC2B608ADB}">
              <a16:predDERef xmlns:a16="http://schemas.microsoft.com/office/drawing/2014/main" pred="{00000000-0008-0000-0100-000002000000}"/>
            </a:ext>
          </a:extLst>
        </xdr:cNvPr>
        <xdr:cNvPicPr>
          <a:picLocks noChangeAspect="1"/>
        </xdr:cNvPicPr>
      </xdr:nvPicPr>
      <xdr:blipFill>
        <a:blip xmlns:r="http://schemas.openxmlformats.org/officeDocument/2006/relationships" r:embed="rId2"/>
        <a:stretch>
          <a:fillRect/>
        </a:stretch>
      </xdr:blipFill>
      <xdr:spPr>
        <a:xfrm>
          <a:off x="11287125" y="13077825"/>
          <a:ext cx="657225" cy="609600"/>
        </a:xfrm>
        <a:prstGeom prst="rect">
          <a:avLst/>
        </a:prstGeom>
      </xdr:spPr>
    </xdr:pic>
    <xdr:clientData/>
  </xdr:twoCellAnchor>
  <xdr:twoCellAnchor editAs="oneCell">
    <xdr:from>
      <xdr:col>1</xdr:col>
      <xdr:colOff>1371600</xdr:colOff>
      <xdr:row>228</xdr:row>
      <xdr:rowOff>85725</xdr:rowOff>
    </xdr:from>
    <xdr:to>
      <xdr:col>1</xdr:col>
      <xdr:colOff>2867025</xdr:colOff>
      <xdr:row>231</xdr:row>
      <xdr:rowOff>190500</xdr:rowOff>
    </xdr:to>
    <xdr:pic>
      <xdr:nvPicPr>
        <xdr:cNvPr id="4" name="Imagen 3">
          <a:extLst>
            <a:ext uri="{FF2B5EF4-FFF2-40B4-BE49-F238E27FC236}">
              <a16:creationId xmlns:a16="http://schemas.microsoft.com/office/drawing/2014/main" id="{4FF756E0-9F28-C6E0-9F71-DF3D0004467E}"/>
            </a:ext>
            <a:ext uri="{147F2762-F138-4A5C-976F-8EAC2B608ADB}">
              <a16:predDERef xmlns:a16="http://schemas.microsoft.com/office/drawing/2014/main" pred="{6F127E0F-49B3-7A3E-E6CE-253C2383969A}"/>
            </a:ext>
          </a:extLst>
        </xdr:cNvPr>
        <xdr:cNvPicPr>
          <a:picLocks noChangeAspect="1"/>
        </xdr:cNvPicPr>
      </xdr:nvPicPr>
      <xdr:blipFill>
        <a:blip xmlns:r="http://schemas.openxmlformats.org/officeDocument/2006/relationships" r:embed="rId3"/>
        <a:stretch>
          <a:fillRect/>
        </a:stretch>
      </xdr:blipFill>
      <xdr:spPr>
        <a:xfrm>
          <a:off x="3095625" y="12934950"/>
          <a:ext cx="1495425" cy="790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900113</xdr:colOff>
      <xdr:row>0</xdr:row>
      <xdr:rowOff>0</xdr:rowOff>
    </xdr:from>
    <xdr:to>
      <xdr:col>1</xdr:col>
      <xdr:colOff>161925</xdr:colOff>
      <xdr:row>2</xdr:row>
      <xdr:rowOff>188838</xdr:rowOff>
    </xdr:to>
    <xdr:pic>
      <xdr:nvPicPr>
        <xdr:cNvPr id="2" name="Imagen 2">
          <a:extLst>
            <a:ext uri="{FF2B5EF4-FFF2-40B4-BE49-F238E27FC236}">
              <a16:creationId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209"/>
        <a:stretch/>
      </xdr:blipFill>
      <xdr:spPr bwMode="auto">
        <a:xfrm>
          <a:off x="900113" y="0"/>
          <a:ext cx="985837" cy="646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2</xdr:row>
      <xdr:rowOff>276225</xdr:rowOff>
    </xdr:to>
    <xdr:pic>
      <xdr:nvPicPr>
        <xdr:cNvPr id="2" name="Imagen 2">
          <a:extLst>
            <a:ext uri="{FF2B5EF4-FFF2-40B4-BE49-F238E27FC236}">
              <a16:creationId xmlns:a16="http://schemas.microsoft.com/office/drawing/2014/main" id="{117AE58F-36A0-4322-B082-966827D566A5}"/>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412750</xdr:colOff>
      <xdr:row>228</xdr:row>
      <xdr:rowOff>149087</xdr:rowOff>
    </xdr:from>
    <xdr:to>
      <xdr:col>7</xdr:col>
      <xdr:colOff>1003712</xdr:colOff>
      <xdr:row>231</xdr:row>
      <xdr:rowOff>142875</xdr:rowOff>
    </xdr:to>
    <xdr:pic>
      <xdr:nvPicPr>
        <xdr:cNvPr id="3" name="Imagen 2">
          <a:extLst>
            <a:ext uri="{FF2B5EF4-FFF2-40B4-BE49-F238E27FC236}">
              <a16:creationId xmlns:a16="http://schemas.microsoft.com/office/drawing/2014/main" id="{025D6201-DD61-46DB-B6D1-09EEADB75225}"/>
            </a:ext>
          </a:extLst>
        </xdr:cNvPr>
        <xdr:cNvPicPr>
          <a:picLocks noChangeAspect="1"/>
        </xdr:cNvPicPr>
      </xdr:nvPicPr>
      <xdr:blipFill>
        <a:blip xmlns:r="http://schemas.openxmlformats.org/officeDocument/2006/relationships" r:embed="rId2"/>
        <a:stretch>
          <a:fillRect/>
        </a:stretch>
      </xdr:blipFill>
      <xdr:spPr>
        <a:xfrm>
          <a:off x="11204989" y="14047304"/>
          <a:ext cx="590962" cy="6895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1495</xdr:colOff>
      <xdr:row>0</xdr:row>
      <xdr:rowOff>0</xdr:rowOff>
    </xdr:from>
    <xdr:to>
      <xdr:col>1</xdr:col>
      <xdr:colOff>941424</xdr:colOff>
      <xdr:row>2</xdr:row>
      <xdr:rowOff>318680</xdr:rowOff>
    </xdr:to>
    <xdr:pic>
      <xdr:nvPicPr>
        <xdr:cNvPr id="4" name="Imagen 2">
          <a:extLst>
            <a:ext uri="{FF2B5EF4-FFF2-40B4-BE49-F238E27FC236}">
              <a16:creationId xmlns:a16="http://schemas.microsoft.com/office/drawing/2014/main" id="{D5187F28-5691-4102-95DE-562685968B94}"/>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688181" y="0"/>
          <a:ext cx="939929" cy="650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498475</xdr:colOff>
      <xdr:row>228</xdr:row>
      <xdr:rowOff>15424</xdr:rowOff>
    </xdr:from>
    <xdr:to>
      <xdr:col>7</xdr:col>
      <xdr:colOff>904875</xdr:colOff>
      <xdr:row>231</xdr:row>
      <xdr:rowOff>95251</xdr:rowOff>
    </xdr:to>
    <xdr:pic>
      <xdr:nvPicPr>
        <xdr:cNvPr id="5" name="Imagen 4">
          <a:extLst>
            <a:ext uri="{FF2B5EF4-FFF2-40B4-BE49-F238E27FC236}">
              <a16:creationId xmlns:a16="http://schemas.microsoft.com/office/drawing/2014/main" id="{70D85EBB-B801-411E-8DCF-F1C9C7C41CD5}"/>
            </a:ext>
          </a:extLst>
        </xdr:cNvPr>
        <xdr:cNvPicPr>
          <a:picLocks noChangeAspect="1"/>
        </xdr:cNvPicPr>
      </xdr:nvPicPr>
      <xdr:blipFill>
        <a:blip xmlns:r="http://schemas.openxmlformats.org/officeDocument/2006/relationships" r:embed="rId2"/>
        <a:stretch>
          <a:fillRect/>
        </a:stretch>
      </xdr:blipFill>
      <xdr:spPr>
        <a:xfrm>
          <a:off x="8070850" y="16855624"/>
          <a:ext cx="406400" cy="56560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475538</xdr:colOff>
      <xdr:row>0</xdr:row>
      <xdr:rowOff>30727</xdr:rowOff>
    </xdr:from>
    <xdr:to>
      <xdr:col>0</xdr:col>
      <xdr:colOff>1533525</xdr:colOff>
      <xdr:row>2</xdr:row>
      <xdr:rowOff>225698</xdr:rowOff>
    </xdr:to>
    <xdr:pic>
      <xdr:nvPicPr>
        <xdr:cNvPr id="2" name="Imagen 2">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705"/>
        <a:stretch/>
      </xdr:blipFill>
      <xdr:spPr bwMode="auto">
        <a:xfrm>
          <a:off x="475538" y="30727"/>
          <a:ext cx="1057987"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275304</xdr:colOff>
      <xdr:row>0</xdr:row>
      <xdr:rowOff>0</xdr:rowOff>
    </xdr:from>
    <xdr:to>
      <xdr:col>0</xdr:col>
      <xdr:colOff>1304925</xdr:colOff>
      <xdr:row>2</xdr:row>
      <xdr:rowOff>234122</xdr:rowOff>
    </xdr:to>
    <xdr:pic>
      <xdr:nvPicPr>
        <xdr:cNvPr id="2" name="Imagen 2">
          <a:extLst>
            <a:ext uri="{FF2B5EF4-FFF2-40B4-BE49-F238E27FC236}">
              <a16:creationId xmlns:a16="http://schemas.microsoft.com/office/drawing/2014/main" id="{00000000-0008-0000-04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104"/>
        <a:stretch/>
      </xdr:blipFill>
      <xdr:spPr bwMode="auto">
        <a:xfrm>
          <a:off x="275304" y="0"/>
          <a:ext cx="1029621" cy="729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1293707</xdr:colOff>
      <xdr:row>0</xdr:row>
      <xdr:rowOff>9260</xdr:rowOff>
    </xdr:from>
    <xdr:to>
      <xdr:col>1</xdr:col>
      <xdr:colOff>702470</xdr:colOff>
      <xdr:row>2</xdr:row>
      <xdr:rowOff>212712</xdr:rowOff>
    </xdr:to>
    <xdr:pic>
      <xdr:nvPicPr>
        <xdr:cNvPr id="2" name="Imagen 2">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33"/>
        <a:stretch/>
      </xdr:blipFill>
      <xdr:spPr bwMode="auto">
        <a:xfrm>
          <a:off x="1293707" y="9260"/>
          <a:ext cx="1182794" cy="763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475538</xdr:colOff>
      <xdr:row>0</xdr:row>
      <xdr:rowOff>30727</xdr:rowOff>
    </xdr:from>
    <xdr:to>
      <xdr:col>0</xdr:col>
      <xdr:colOff>1533525</xdr:colOff>
      <xdr:row>2</xdr:row>
      <xdr:rowOff>225698</xdr:rowOff>
    </xdr:to>
    <xdr:pic>
      <xdr:nvPicPr>
        <xdr:cNvPr id="2" name="Imagen 2">
          <a:extLst>
            <a:ext uri="{FF2B5EF4-FFF2-40B4-BE49-F238E27FC236}">
              <a16:creationId xmlns:a16="http://schemas.microsoft.com/office/drawing/2014/main" id="{74754AE8-EB8B-4155-A4F5-24565BE949BE}"/>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705"/>
        <a:stretch/>
      </xdr:blipFill>
      <xdr:spPr bwMode="auto">
        <a:xfrm>
          <a:off x="475538" y="30727"/>
          <a:ext cx="1057987"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628650</xdr:colOff>
      <xdr:row>0</xdr:row>
      <xdr:rowOff>9525</xdr:rowOff>
    </xdr:from>
    <xdr:to>
      <xdr:col>0</xdr:col>
      <xdr:colOff>1724026</xdr:colOff>
      <xdr:row>2</xdr:row>
      <xdr:rowOff>235872</xdr:rowOff>
    </xdr:to>
    <xdr:pic>
      <xdr:nvPicPr>
        <xdr:cNvPr id="2" name="Imagen 2">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414"/>
        <a:stretch/>
      </xdr:blipFill>
      <xdr:spPr bwMode="auto">
        <a:xfrm>
          <a:off x="628650" y="9525"/>
          <a:ext cx="1095376" cy="7216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560918</xdr:colOff>
      <xdr:row>0</xdr:row>
      <xdr:rowOff>0</xdr:rowOff>
    </xdr:from>
    <xdr:to>
      <xdr:col>0</xdr:col>
      <xdr:colOff>1576917</xdr:colOff>
      <xdr:row>2</xdr:row>
      <xdr:rowOff>216137</xdr:rowOff>
    </xdr:to>
    <xdr:pic>
      <xdr:nvPicPr>
        <xdr:cNvPr id="4" name="Imagen 2">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333"/>
        <a:stretch/>
      </xdr:blipFill>
      <xdr:spPr bwMode="auto">
        <a:xfrm>
          <a:off x="560918" y="0"/>
          <a:ext cx="1015999" cy="6818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2</xdr:col>
      <xdr:colOff>95250</xdr:colOff>
      <xdr:row>2</xdr:row>
      <xdr:rowOff>216137</xdr:rowOff>
    </xdr:to>
    <xdr:pic>
      <xdr:nvPicPr>
        <xdr:cNvPr id="2" name="Imagen 2">
          <a:extLst>
            <a:ext uri="{FF2B5EF4-FFF2-40B4-BE49-F238E27FC236}">
              <a16:creationId xmlns:a16="http://schemas.microsoft.com/office/drawing/2014/main" id="{00000000-0008-0000-08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994835" cy="6818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590550</xdr:colOff>
      <xdr:row>0</xdr:row>
      <xdr:rowOff>0</xdr:rowOff>
    </xdr:from>
    <xdr:to>
      <xdr:col>0</xdr:col>
      <xdr:colOff>1504950</xdr:colOff>
      <xdr:row>2</xdr:row>
      <xdr:rowOff>194971</xdr:rowOff>
    </xdr:to>
    <xdr:pic>
      <xdr:nvPicPr>
        <xdr:cNvPr id="2" name="Imagen 2">
          <a:extLst>
            <a:ext uri="{FF2B5EF4-FFF2-40B4-BE49-F238E27FC236}">
              <a16:creationId xmlns:a16="http://schemas.microsoft.com/office/drawing/2014/main" id="{00000000-0008-0000-0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637"/>
        <a:stretch/>
      </xdr:blipFill>
      <xdr:spPr bwMode="auto">
        <a:xfrm>
          <a:off x="590550" y="0"/>
          <a:ext cx="914400"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628649</xdr:colOff>
      <xdr:row>0</xdr:row>
      <xdr:rowOff>0</xdr:rowOff>
    </xdr:from>
    <xdr:to>
      <xdr:col>0</xdr:col>
      <xdr:colOff>1533525</xdr:colOff>
      <xdr:row>2</xdr:row>
      <xdr:rowOff>186257</xdr:rowOff>
    </xdr:to>
    <xdr:pic>
      <xdr:nvPicPr>
        <xdr:cNvPr id="2" name="Imagen 1">
          <a:extLst>
            <a:ext uri="{FF2B5EF4-FFF2-40B4-BE49-F238E27FC236}">
              <a16:creationId xmlns:a16="http://schemas.microsoft.com/office/drawing/2014/main" id="{00000000-0008-0000-0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50"/>
        <a:stretch/>
      </xdr:blipFill>
      <xdr:spPr bwMode="auto">
        <a:xfrm>
          <a:off x="628649" y="0"/>
          <a:ext cx="904876" cy="6434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334928</xdr:colOff>
      <xdr:row>0</xdr:row>
      <xdr:rowOff>0</xdr:rowOff>
    </xdr:from>
    <xdr:to>
      <xdr:col>3</xdr:col>
      <xdr:colOff>933061</xdr:colOff>
      <xdr:row>2</xdr:row>
      <xdr:rowOff>202145</xdr:rowOff>
    </xdr:to>
    <xdr:pic>
      <xdr:nvPicPr>
        <xdr:cNvPr id="2" name="Imagen 1">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872"/>
        <a:stretch/>
      </xdr:blipFill>
      <xdr:spPr bwMode="auto">
        <a:xfrm>
          <a:off x="334928" y="0"/>
          <a:ext cx="1025786" cy="6686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962025</xdr:colOff>
      <xdr:row>0</xdr:row>
      <xdr:rowOff>0</xdr:rowOff>
    </xdr:from>
    <xdr:to>
      <xdr:col>0</xdr:col>
      <xdr:colOff>1885950</xdr:colOff>
      <xdr:row>2</xdr:row>
      <xdr:rowOff>204496</xdr:rowOff>
    </xdr:to>
    <xdr:pic>
      <xdr:nvPicPr>
        <xdr:cNvPr id="2" name="Imagen 2">
          <a:extLst>
            <a:ext uri="{FF2B5EF4-FFF2-40B4-BE49-F238E27FC236}">
              <a16:creationId xmlns:a16="http://schemas.microsoft.com/office/drawing/2014/main" id="{00000000-0008-0000-0C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81"/>
        <a:stretch/>
      </xdr:blipFill>
      <xdr:spPr bwMode="auto">
        <a:xfrm>
          <a:off x="962025" y="0"/>
          <a:ext cx="923925" cy="699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1133476</xdr:colOff>
      <xdr:row>0</xdr:row>
      <xdr:rowOff>0</xdr:rowOff>
    </xdr:from>
    <xdr:to>
      <xdr:col>1</xdr:col>
      <xdr:colOff>466726</xdr:colOff>
      <xdr:row>2</xdr:row>
      <xdr:rowOff>190928</xdr:rowOff>
    </xdr:to>
    <xdr:pic>
      <xdr:nvPicPr>
        <xdr:cNvPr id="2" name="Imagen 2">
          <a:extLst>
            <a:ext uri="{FF2B5EF4-FFF2-40B4-BE49-F238E27FC236}">
              <a16:creationId xmlns:a16="http://schemas.microsoft.com/office/drawing/2014/main" id="{00000000-0008-0000-0D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012"/>
        <a:stretch/>
      </xdr:blipFill>
      <xdr:spPr bwMode="auto">
        <a:xfrm>
          <a:off x="1133476" y="0"/>
          <a:ext cx="933450" cy="6481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801158</xdr:colOff>
      <xdr:row>0</xdr:row>
      <xdr:rowOff>0</xdr:rowOff>
    </xdr:from>
    <xdr:to>
      <xdr:col>1</xdr:col>
      <xdr:colOff>419100</xdr:colOff>
      <xdr:row>2</xdr:row>
      <xdr:rowOff>213012</xdr:rowOff>
    </xdr:to>
    <xdr:pic>
      <xdr:nvPicPr>
        <xdr:cNvPr id="2" name="Imagen 2">
          <a:extLst>
            <a:ext uri="{FF2B5EF4-FFF2-40B4-BE49-F238E27FC236}">
              <a16:creationId xmlns:a16="http://schemas.microsoft.com/office/drawing/2014/main" id="{00000000-0008-0000-0E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652"/>
        <a:stretch/>
      </xdr:blipFill>
      <xdr:spPr bwMode="auto">
        <a:xfrm>
          <a:off x="801158" y="0"/>
          <a:ext cx="913342" cy="670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209550</xdr:colOff>
      <xdr:row>0</xdr:row>
      <xdr:rowOff>0</xdr:rowOff>
    </xdr:from>
    <xdr:to>
      <xdr:col>0</xdr:col>
      <xdr:colOff>1238250</xdr:colOff>
      <xdr:row>2</xdr:row>
      <xdr:rowOff>225970</xdr:rowOff>
    </xdr:to>
    <xdr:pic>
      <xdr:nvPicPr>
        <xdr:cNvPr id="2" name="Imagen 2">
          <a:extLst>
            <a:ext uri="{FF2B5EF4-FFF2-40B4-BE49-F238E27FC236}">
              <a16:creationId xmlns:a16="http://schemas.microsoft.com/office/drawing/2014/main" id="{00000000-0008-0000-0F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547"/>
        <a:stretch/>
      </xdr:blipFill>
      <xdr:spPr bwMode="auto">
        <a:xfrm>
          <a:off x="209550" y="0"/>
          <a:ext cx="1028700" cy="7212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10</xdr:row>
      <xdr:rowOff>38100</xdr:rowOff>
    </xdr:from>
    <xdr:to>
      <xdr:col>1</xdr:col>
      <xdr:colOff>0</xdr:colOff>
      <xdr:row>10</xdr:row>
      <xdr:rowOff>628650</xdr:rowOff>
    </xdr:to>
    <xdr:cxnSp macro="">
      <xdr:nvCxnSpPr>
        <xdr:cNvPr id="2" name="1 Conector recto">
          <a:extLst>
            <a:ext uri="{FF2B5EF4-FFF2-40B4-BE49-F238E27FC236}">
              <a16:creationId xmlns:a16="http://schemas.microsoft.com/office/drawing/2014/main" id="{00000000-0008-0000-1000-000002000000}"/>
            </a:ext>
          </a:extLst>
        </xdr:cNvPr>
        <xdr:cNvCxnSpPr/>
      </xdr:nvCxnSpPr>
      <xdr:spPr>
        <a:xfrm flipV="1">
          <a:off x="0" y="3000375"/>
          <a:ext cx="1762125" cy="59055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editAs="oneCell">
    <xdr:from>
      <xdr:col>0</xdr:col>
      <xdr:colOff>1278466</xdr:colOff>
      <xdr:row>0</xdr:row>
      <xdr:rowOff>0</xdr:rowOff>
    </xdr:from>
    <xdr:to>
      <xdr:col>1</xdr:col>
      <xdr:colOff>476250</xdr:colOff>
      <xdr:row>2</xdr:row>
      <xdr:rowOff>204496</xdr:rowOff>
    </xdr:to>
    <xdr:pic>
      <xdr:nvPicPr>
        <xdr:cNvPr id="4" name="Imagen 2">
          <a:extLst>
            <a:ext uri="{FF2B5EF4-FFF2-40B4-BE49-F238E27FC236}">
              <a16:creationId xmlns:a16="http://schemas.microsoft.com/office/drawing/2014/main" id="{00000000-0008-0000-10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845"/>
        <a:stretch/>
      </xdr:blipFill>
      <xdr:spPr bwMode="auto">
        <a:xfrm>
          <a:off x="1278466" y="0"/>
          <a:ext cx="965201" cy="6913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18</xdr:row>
      <xdr:rowOff>38100</xdr:rowOff>
    </xdr:from>
    <xdr:to>
      <xdr:col>1</xdr:col>
      <xdr:colOff>0</xdr:colOff>
      <xdr:row>18</xdr:row>
      <xdr:rowOff>628650</xdr:rowOff>
    </xdr:to>
    <xdr:cxnSp macro="">
      <xdr:nvCxnSpPr>
        <xdr:cNvPr id="5" name="1 Conector recto">
          <a:extLst>
            <a:ext uri="{FF2B5EF4-FFF2-40B4-BE49-F238E27FC236}">
              <a16:creationId xmlns:a16="http://schemas.microsoft.com/office/drawing/2014/main" id="{00000000-0008-0000-1000-000005000000}"/>
            </a:ext>
          </a:extLst>
        </xdr:cNvPr>
        <xdr:cNvCxnSpPr/>
      </xdr:nvCxnSpPr>
      <xdr:spPr>
        <a:xfrm flipV="1">
          <a:off x="0" y="2916767"/>
          <a:ext cx="1767417" cy="59055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103716</xdr:colOff>
      <xdr:row>0</xdr:row>
      <xdr:rowOff>28575</xdr:rowOff>
    </xdr:from>
    <xdr:to>
      <xdr:col>1</xdr:col>
      <xdr:colOff>1051348</xdr:colOff>
      <xdr:row>2</xdr:row>
      <xdr:rowOff>238125</xdr:rowOff>
    </xdr:to>
    <xdr:pic>
      <xdr:nvPicPr>
        <xdr:cNvPr id="2" name="Imagen 2">
          <a:extLst>
            <a:ext uri="{FF2B5EF4-FFF2-40B4-BE49-F238E27FC236}">
              <a16:creationId xmlns:a16="http://schemas.microsoft.com/office/drawing/2014/main" id="{00000000-0008-0000-1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992"/>
        <a:stretch/>
      </xdr:blipFill>
      <xdr:spPr bwMode="auto">
        <a:xfrm>
          <a:off x="1180041" y="28575"/>
          <a:ext cx="947632"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609600</xdr:colOff>
      <xdr:row>0</xdr:row>
      <xdr:rowOff>0</xdr:rowOff>
    </xdr:from>
    <xdr:to>
      <xdr:col>0</xdr:col>
      <xdr:colOff>1590676</xdr:colOff>
      <xdr:row>2</xdr:row>
      <xdr:rowOff>211865</xdr:rowOff>
    </xdr:to>
    <xdr:pic>
      <xdr:nvPicPr>
        <xdr:cNvPr id="2" name="Imagen 2">
          <a:extLst>
            <a:ext uri="{FF2B5EF4-FFF2-40B4-BE49-F238E27FC236}">
              <a16:creationId xmlns:a16="http://schemas.microsoft.com/office/drawing/2014/main" id="{00000000-0008-0000-1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186"/>
        <a:stretch/>
      </xdr:blipFill>
      <xdr:spPr bwMode="auto">
        <a:xfrm>
          <a:off x="609600" y="0"/>
          <a:ext cx="981076" cy="669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619126</xdr:colOff>
      <xdr:row>0</xdr:row>
      <xdr:rowOff>0</xdr:rowOff>
    </xdr:from>
    <xdr:to>
      <xdr:col>0</xdr:col>
      <xdr:colOff>1514476</xdr:colOff>
      <xdr:row>2</xdr:row>
      <xdr:rowOff>205794</xdr:rowOff>
    </xdr:to>
    <xdr:pic>
      <xdr:nvPicPr>
        <xdr:cNvPr id="2" name="Imagen 2">
          <a:extLst>
            <a:ext uri="{FF2B5EF4-FFF2-40B4-BE49-F238E27FC236}">
              <a16:creationId xmlns:a16="http://schemas.microsoft.com/office/drawing/2014/main" id="{00000000-0008-0000-1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848"/>
        <a:stretch/>
      </xdr:blipFill>
      <xdr:spPr bwMode="auto">
        <a:xfrm>
          <a:off x="619126" y="0"/>
          <a:ext cx="895350" cy="6629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542926</xdr:colOff>
      <xdr:row>0</xdr:row>
      <xdr:rowOff>0</xdr:rowOff>
    </xdr:from>
    <xdr:to>
      <xdr:col>1</xdr:col>
      <xdr:colOff>819151</xdr:colOff>
      <xdr:row>2</xdr:row>
      <xdr:rowOff>200196</xdr:rowOff>
    </xdr:to>
    <xdr:pic>
      <xdr:nvPicPr>
        <xdr:cNvPr id="2" name="Imagen 2">
          <a:extLst>
            <a:ext uri="{FF2B5EF4-FFF2-40B4-BE49-F238E27FC236}">
              <a16:creationId xmlns:a16="http://schemas.microsoft.com/office/drawing/2014/main" id="{00000000-0008-0000-14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378"/>
        <a:stretch/>
      </xdr:blipFill>
      <xdr:spPr bwMode="auto">
        <a:xfrm>
          <a:off x="542926" y="0"/>
          <a:ext cx="895350" cy="657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485775</xdr:colOff>
      <xdr:row>0</xdr:row>
      <xdr:rowOff>0</xdr:rowOff>
    </xdr:from>
    <xdr:to>
      <xdr:col>1</xdr:col>
      <xdr:colOff>733425</xdr:colOff>
      <xdr:row>2</xdr:row>
      <xdr:rowOff>200196</xdr:rowOff>
    </xdr:to>
    <xdr:pic>
      <xdr:nvPicPr>
        <xdr:cNvPr id="3" name="Imagen 2">
          <a:extLst>
            <a:ext uri="{FF2B5EF4-FFF2-40B4-BE49-F238E27FC236}">
              <a16:creationId xmlns:a16="http://schemas.microsoft.com/office/drawing/2014/main" id="{00000000-0008-0000-15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154"/>
        <a:stretch/>
      </xdr:blipFill>
      <xdr:spPr bwMode="auto">
        <a:xfrm>
          <a:off x="485775" y="0"/>
          <a:ext cx="866775" cy="657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381000</xdr:colOff>
      <xdr:row>0</xdr:row>
      <xdr:rowOff>0</xdr:rowOff>
    </xdr:from>
    <xdr:to>
      <xdr:col>0</xdr:col>
      <xdr:colOff>1433017</xdr:colOff>
      <xdr:row>2</xdr:row>
      <xdr:rowOff>200025</xdr:rowOff>
    </xdr:to>
    <xdr:pic>
      <xdr:nvPicPr>
        <xdr:cNvPr id="2" name="Imagen 1">
          <a:extLst>
            <a:ext uri="{FF2B5EF4-FFF2-40B4-BE49-F238E27FC236}">
              <a16:creationId xmlns:a16="http://schemas.microsoft.com/office/drawing/2014/main" id="{00000000-0008-0000-16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461" b="1565"/>
        <a:stretch/>
      </xdr:blipFill>
      <xdr:spPr bwMode="auto">
        <a:xfrm>
          <a:off x="381000" y="0"/>
          <a:ext cx="1052017"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384175</xdr:colOff>
      <xdr:row>0</xdr:row>
      <xdr:rowOff>0</xdr:rowOff>
    </xdr:from>
    <xdr:to>
      <xdr:col>0</xdr:col>
      <xdr:colOff>1552574</xdr:colOff>
      <xdr:row>2</xdr:row>
      <xdr:rowOff>222722</xdr:rowOff>
    </xdr:to>
    <xdr:pic>
      <xdr:nvPicPr>
        <xdr:cNvPr id="2" name="Imagen 1">
          <a:extLst>
            <a:ext uri="{FF2B5EF4-FFF2-40B4-BE49-F238E27FC236}">
              <a16:creationId xmlns:a16="http://schemas.microsoft.com/office/drawing/2014/main" id="{00000000-0008-0000-17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226"/>
        <a:stretch/>
      </xdr:blipFill>
      <xdr:spPr bwMode="auto">
        <a:xfrm>
          <a:off x="384175" y="0"/>
          <a:ext cx="1168399" cy="718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584200</xdr:colOff>
      <xdr:row>0</xdr:row>
      <xdr:rowOff>0</xdr:rowOff>
    </xdr:from>
    <xdr:to>
      <xdr:col>1</xdr:col>
      <xdr:colOff>104775</xdr:colOff>
      <xdr:row>2</xdr:row>
      <xdr:rowOff>231099</xdr:rowOff>
    </xdr:to>
    <xdr:pic>
      <xdr:nvPicPr>
        <xdr:cNvPr id="2" name="Imagen 1">
          <a:extLst>
            <a:ext uri="{FF2B5EF4-FFF2-40B4-BE49-F238E27FC236}">
              <a16:creationId xmlns:a16="http://schemas.microsoft.com/office/drawing/2014/main" id="{00000000-0008-0000-18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92"/>
        <a:stretch/>
      </xdr:blipFill>
      <xdr:spPr bwMode="auto">
        <a:xfrm>
          <a:off x="584200" y="0"/>
          <a:ext cx="1092200" cy="726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533400</xdr:colOff>
      <xdr:row>0</xdr:row>
      <xdr:rowOff>9524</xdr:rowOff>
    </xdr:from>
    <xdr:to>
      <xdr:col>1</xdr:col>
      <xdr:colOff>485775</xdr:colOff>
      <xdr:row>2</xdr:row>
      <xdr:rowOff>225423</xdr:rowOff>
    </xdr:to>
    <xdr:pic>
      <xdr:nvPicPr>
        <xdr:cNvPr id="2" name="Imagen 1">
          <a:extLst>
            <a:ext uri="{FF2B5EF4-FFF2-40B4-BE49-F238E27FC236}">
              <a16:creationId xmlns:a16="http://schemas.microsoft.com/office/drawing/2014/main" id="{00000000-0008-0000-1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13"/>
        <a:stretch/>
      </xdr:blipFill>
      <xdr:spPr bwMode="auto">
        <a:xfrm>
          <a:off x="533400" y="9524"/>
          <a:ext cx="1009650" cy="673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333376</xdr:colOff>
      <xdr:row>0</xdr:row>
      <xdr:rowOff>0</xdr:rowOff>
    </xdr:from>
    <xdr:to>
      <xdr:col>0</xdr:col>
      <xdr:colOff>1381126</xdr:colOff>
      <xdr:row>2</xdr:row>
      <xdr:rowOff>209550</xdr:rowOff>
    </xdr:to>
    <xdr:pic>
      <xdr:nvPicPr>
        <xdr:cNvPr id="2" name="Imagen 1">
          <a:extLst>
            <a:ext uri="{FF2B5EF4-FFF2-40B4-BE49-F238E27FC236}">
              <a16:creationId xmlns:a16="http://schemas.microsoft.com/office/drawing/2014/main" id="{00000000-0008-0000-1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929"/>
        <a:stretch/>
      </xdr:blipFill>
      <xdr:spPr bwMode="auto">
        <a:xfrm>
          <a:off x="333376" y="0"/>
          <a:ext cx="10477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508000</xdr:colOff>
      <xdr:row>0</xdr:row>
      <xdr:rowOff>42544</xdr:rowOff>
    </xdr:from>
    <xdr:to>
      <xdr:col>0</xdr:col>
      <xdr:colOff>1555631</xdr:colOff>
      <xdr:row>2</xdr:row>
      <xdr:rowOff>228600</xdr:rowOff>
    </xdr:to>
    <xdr:pic>
      <xdr:nvPicPr>
        <xdr:cNvPr id="2" name="Imagen 1">
          <a:extLst>
            <a:ext uri="{FF2B5EF4-FFF2-40B4-BE49-F238E27FC236}">
              <a16:creationId xmlns:a16="http://schemas.microsoft.com/office/drawing/2014/main" id="{00000000-0008-0000-1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465"/>
        <a:stretch/>
      </xdr:blipFill>
      <xdr:spPr bwMode="auto">
        <a:xfrm>
          <a:off x="508000" y="42544"/>
          <a:ext cx="1047631" cy="6813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408515</xdr:colOff>
      <xdr:row>0</xdr:row>
      <xdr:rowOff>0</xdr:rowOff>
    </xdr:from>
    <xdr:to>
      <xdr:col>0</xdr:col>
      <xdr:colOff>1238250</xdr:colOff>
      <xdr:row>2</xdr:row>
      <xdr:rowOff>227770</xdr:rowOff>
    </xdr:to>
    <xdr:pic>
      <xdr:nvPicPr>
        <xdr:cNvPr id="2" name="Imagen 1">
          <a:extLst>
            <a:ext uri="{FF2B5EF4-FFF2-40B4-BE49-F238E27FC236}">
              <a16:creationId xmlns:a16="http://schemas.microsoft.com/office/drawing/2014/main" id="{00000000-0008-0000-1C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180" b="1023"/>
        <a:stretch/>
      </xdr:blipFill>
      <xdr:spPr bwMode="auto">
        <a:xfrm>
          <a:off x="408515" y="0"/>
          <a:ext cx="829735" cy="693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419099</xdr:colOff>
      <xdr:row>0</xdr:row>
      <xdr:rowOff>0</xdr:rowOff>
    </xdr:from>
    <xdr:to>
      <xdr:col>0</xdr:col>
      <xdr:colOff>1252521</xdr:colOff>
      <xdr:row>2</xdr:row>
      <xdr:rowOff>201083</xdr:rowOff>
    </xdr:to>
    <xdr:pic>
      <xdr:nvPicPr>
        <xdr:cNvPr id="2" name="Imagen 1">
          <a:extLst>
            <a:ext uri="{FF2B5EF4-FFF2-40B4-BE49-F238E27FC236}">
              <a16:creationId xmlns:a16="http://schemas.microsoft.com/office/drawing/2014/main" id="{00000000-0008-0000-1D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139"/>
        <a:stretch/>
      </xdr:blipFill>
      <xdr:spPr bwMode="auto">
        <a:xfrm>
          <a:off x="419099" y="0"/>
          <a:ext cx="833422"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387351</xdr:colOff>
      <xdr:row>0</xdr:row>
      <xdr:rowOff>46566</xdr:rowOff>
    </xdr:from>
    <xdr:to>
      <xdr:col>0</xdr:col>
      <xdr:colOff>1111251</xdr:colOff>
      <xdr:row>2</xdr:row>
      <xdr:rowOff>212837</xdr:rowOff>
    </xdr:to>
    <xdr:pic>
      <xdr:nvPicPr>
        <xdr:cNvPr id="2" name="Imagen 1">
          <a:extLst>
            <a:ext uri="{FF2B5EF4-FFF2-40B4-BE49-F238E27FC236}">
              <a16:creationId xmlns:a16="http://schemas.microsoft.com/office/drawing/2014/main" id="{00000000-0008-0000-1E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r="45448" b="-2879"/>
        <a:stretch/>
      </xdr:blipFill>
      <xdr:spPr bwMode="auto">
        <a:xfrm>
          <a:off x="387351" y="46566"/>
          <a:ext cx="723900" cy="631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1F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058"/>
        <a:stretch/>
      </xdr:blipFill>
      <xdr:spPr bwMode="auto">
        <a:xfrm>
          <a:off x="523874" y="0"/>
          <a:ext cx="8382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1343025</xdr:colOff>
      <xdr:row>2</xdr:row>
      <xdr:rowOff>202145</xdr:rowOff>
    </xdr:to>
    <xdr:pic>
      <xdr:nvPicPr>
        <xdr:cNvPr id="2" name="Imagen 1">
          <a:extLst>
            <a:ext uri="{FF2B5EF4-FFF2-40B4-BE49-F238E27FC236}">
              <a16:creationId xmlns:a16="http://schemas.microsoft.com/office/drawing/2014/main" id="{00000000-0008-0000-2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74"/>
        <a:stretch/>
      </xdr:blipFill>
      <xdr:spPr bwMode="auto">
        <a:xfrm>
          <a:off x="523874" y="0"/>
          <a:ext cx="81915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561974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2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692"/>
        <a:stretch/>
      </xdr:blipFill>
      <xdr:spPr bwMode="auto">
        <a:xfrm>
          <a:off x="561974" y="0"/>
          <a:ext cx="8001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116418</xdr:rowOff>
    </xdr:from>
    <xdr:to>
      <xdr:col>1</xdr:col>
      <xdr:colOff>2095499</xdr:colOff>
      <xdr:row>21</xdr:row>
      <xdr:rowOff>4134734</xdr:rowOff>
    </xdr:to>
    <xdr:pic>
      <xdr:nvPicPr>
        <xdr:cNvPr id="3" name="Imagen 2">
          <a:extLst>
            <a:ext uri="{FF2B5EF4-FFF2-40B4-BE49-F238E27FC236}">
              <a16:creationId xmlns:a16="http://schemas.microsoft.com/office/drawing/2014/main" id="{00000000-0008-0000-2100-000003000000}"/>
            </a:ext>
          </a:extLst>
        </xdr:cNvPr>
        <xdr:cNvPicPr>
          <a:picLocks noChangeAspect="1"/>
        </xdr:cNvPicPr>
      </xdr:nvPicPr>
      <xdr:blipFill rotWithShape="1">
        <a:blip xmlns:r="http://schemas.openxmlformats.org/officeDocument/2006/relationships" r:embed="rId2"/>
        <a:srcRect l="35100" t="29336" r="35806" b="18573"/>
        <a:stretch/>
      </xdr:blipFill>
      <xdr:spPr>
        <a:xfrm>
          <a:off x="0" y="5736168"/>
          <a:ext cx="3989916" cy="4018316"/>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447675</xdr:colOff>
      <xdr:row>0</xdr:row>
      <xdr:rowOff>0</xdr:rowOff>
    </xdr:from>
    <xdr:to>
      <xdr:col>0</xdr:col>
      <xdr:colOff>1343024</xdr:colOff>
      <xdr:row>2</xdr:row>
      <xdr:rowOff>216990</xdr:rowOff>
    </xdr:to>
    <xdr:pic>
      <xdr:nvPicPr>
        <xdr:cNvPr id="2" name="Imagen 2">
          <a:extLst>
            <a:ext uri="{FF2B5EF4-FFF2-40B4-BE49-F238E27FC236}">
              <a16:creationId xmlns:a16="http://schemas.microsoft.com/office/drawing/2014/main" id="{00000000-0008-0000-2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4936"/>
        <a:stretch/>
      </xdr:blipFill>
      <xdr:spPr bwMode="auto">
        <a:xfrm>
          <a:off x="447675" y="0"/>
          <a:ext cx="895349" cy="674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0</xdr:col>
      <xdr:colOff>981075</xdr:colOff>
      <xdr:row>2</xdr:row>
      <xdr:rowOff>206128</xdr:rowOff>
    </xdr:to>
    <xdr:pic>
      <xdr:nvPicPr>
        <xdr:cNvPr id="2" name="Imagen 1">
          <a:extLst>
            <a:ext uri="{FF2B5EF4-FFF2-40B4-BE49-F238E27FC236}">
              <a16:creationId xmlns:a16="http://schemas.microsoft.com/office/drawing/2014/main" id="{00000000-0008-0000-2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76"/>
        <a:stretch/>
      </xdr:blipFill>
      <xdr:spPr bwMode="auto">
        <a:xfrm>
          <a:off x="190500" y="0"/>
          <a:ext cx="790575" cy="6633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2063EA66\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Paral. 1"/>
      <sheetName val="Paral. 2"/>
      <sheetName val="Paral. 3"/>
      <sheetName val="Paral.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CORTE DE OBRA N° 1"/>
      <sheetName val="memoria"/>
      <sheetName val="memoria 1"/>
      <sheetName val="Tramo 2"/>
      <sheetName val="TARIFAS MATERIALES"/>
      <sheetName val="TARIFAS EQUIPOS "/>
      <sheetName val="TARIFA SALARIOS"/>
      <sheetName val="ó&gt;_x005f_x0000__x005f_x0001__x005f_x0000__x005f_x0000__"/>
      <sheetName val="PRES"/>
      <sheetName val="LISTA"/>
      <sheetName val="AMOBLAMINETO"/>
      <sheetName val="Causa Posible"/>
      <sheetName val="Accidentalidad"/>
      <sheetName val="Elementos Involucrados"/>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ó&gt;????j0$?#???j_$?#???LÓu????"/>
      <sheetName val="Base de Datos"/>
      <sheetName val="CRA.MODI"/>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refreshError="1"/>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sheetData sheetId="1047"/>
      <sheetData sheetId="1048"/>
      <sheetData sheetId="1049"/>
      <sheetData sheetId="1050" refreshError="1"/>
      <sheetData sheetId="105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refreshError="1"/>
      <sheetData sheetId="1986" refreshError="1"/>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efreshError="1"/>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refreshError="1"/>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sheetData sheetId="5527"/>
      <sheetData sheetId="5528" refreshError="1"/>
      <sheetData sheetId="5529" refreshError="1"/>
      <sheetData sheetId="5530"/>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sheetData sheetId="5544"/>
      <sheetData sheetId="5545"/>
      <sheetData sheetId="5546"/>
      <sheetData sheetId="5547"/>
      <sheetData sheetId="5548"/>
      <sheetData sheetId="5549"/>
      <sheetData sheetId="5550"/>
      <sheetData sheetId="5551" refreshError="1"/>
      <sheetData sheetId="5552" refreshError="1"/>
      <sheetData sheetId="5553"/>
      <sheetData sheetId="5554"/>
      <sheetData sheetId="5555" refreshError="1"/>
      <sheetData sheetId="5556" refreshError="1"/>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sheetData sheetId="5567"/>
      <sheetData sheetId="5568"/>
      <sheetData sheetId="5569"/>
      <sheetData sheetId="5570"/>
      <sheetData sheetId="5571"/>
      <sheetData sheetId="5572"/>
      <sheetData sheetId="5573"/>
      <sheetData sheetId="5574"/>
      <sheetData sheetId="5575" refreshError="1"/>
      <sheetData sheetId="5576" refreshError="1"/>
      <sheetData sheetId="5577" refreshError="1"/>
      <sheetData sheetId="5578" refreshError="1"/>
      <sheetData sheetId="557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U"/>
      <sheetName val="Anexo 5-1 (2)"/>
      <sheetName val="Check List Reajustes FM- 101"/>
      <sheetName val="Check List Acta FM- 101"/>
      <sheetName val="FICHA FINANCIERA MFM"/>
      <sheetName val="ACTAS"/>
      <sheetName val="REAJUS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6.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8.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9.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0.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1.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2.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3.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4.bin"/><Relationship Id="rId1" Type="http://schemas.openxmlformats.org/officeDocument/2006/relationships/hyperlink" Target="http://pbn.vuce.gov.co/consultas/index.php" TargetMode="External"/><Relationship Id="rId5" Type="http://schemas.openxmlformats.org/officeDocument/2006/relationships/comments" Target="../comments15.xml"/><Relationship Id="rId4"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5.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6.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7.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8.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19.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0.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1.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2.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8.xml"/><Relationship Id="rId1" Type="http://schemas.openxmlformats.org/officeDocument/2006/relationships/printerSettings" Target="../printerSettings/printerSettings27.bin"/><Relationship Id="rId4" Type="http://schemas.openxmlformats.org/officeDocument/2006/relationships/comments" Target="../comments24.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9.xml"/><Relationship Id="rId1" Type="http://schemas.openxmlformats.org/officeDocument/2006/relationships/printerSettings" Target="../printerSettings/printerSettings28.bin"/><Relationship Id="rId4" Type="http://schemas.openxmlformats.org/officeDocument/2006/relationships/comments" Target="../comments25.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30.xml"/><Relationship Id="rId1" Type="http://schemas.openxmlformats.org/officeDocument/2006/relationships/printerSettings" Target="../printerSettings/printerSettings29.bin"/><Relationship Id="rId4" Type="http://schemas.openxmlformats.org/officeDocument/2006/relationships/comments" Target="../comments26.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2.xml"/><Relationship Id="rId1" Type="http://schemas.openxmlformats.org/officeDocument/2006/relationships/printerSettings" Target="../printerSettings/printerSettings31.bin"/><Relationship Id="rId4" Type="http://schemas.openxmlformats.org/officeDocument/2006/relationships/comments" Target="../comments27.xml"/></Relationships>
</file>

<file path=xl/worksheets/_rels/sheet33.xml.rels><?xml version="1.0" encoding="UTF-8" standalone="yes"?>
<Relationships xmlns="http://schemas.openxmlformats.org/package/2006/relationships"><Relationship Id="rId3" Type="http://schemas.openxmlformats.org/officeDocument/2006/relationships/hyperlink" Target="https://colombiacompra.gov.co/sites/cce_public/files/cce_documents/cce_guia_elaboracion_estudios.pdf" TargetMode="External"/><Relationship Id="rId7" Type="http://schemas.openxmlformats.org/officeDocument/2006/relationships/drawing" Target="../drawings/drawing33.xml"/><Relationship Id="rId2" Type="http://schemas.openxmlformats.org/officeDocument/2006/relationships/hyperlink" Target="https://colombiacompra.gov.co/manuales-guias-y-pliegos-tipo/manuales-y-guias/guia-para-el-manejo-de-ofertas-artificialmente-bajas" TargetMode="External"/><Relationship Id="rId1" Type="http://schemas.openxmlformats.org/officeDocument/2006/relationships/hyperlink" Target="https://colombiacompra.gov.co/manuales-guias-y-pliegos-tipo/manuales-y-guias/manual-para-determinar-y-verificar-los-requisitos" TargetMode="External"/><Relationship Id="rId6" Type="http://schemas.openxmlformats.org/officeDocument/2006/relationships/printerSettings" Target="../printerSettings/printerSettings32.bin"/><Relationship Id="rId5" Type="http://schemas.openxmlformats.org/officeDocument/2006/relationships/hyperlink" Target="https://colombiacompra.gov.co/manuales-guias-y-pliegos-tipo/manuales-y-guias/guia-para-determinar-y-verificar-la-capacidad" TargetMode="External"/><Relationship Id="rId4" Type="http://schemas.openxmlformats.org/officeDocument/2006/relationships/hyperlink" Target="https://colombiacompra.gov.co/sites/cce_public/files/cce_documents/cce_guia_esal.pdf" TargetMode="Externa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5.xml"/><Relationship Id="rId1" Type="http://schemas.openxmlformats.org/officeDocument/2006/relationships/printerSettings" Target="../printerSettings/printerSettings34.bin"/><Relationship Id="rId4" Type="http://schemas.openxmlformats.org/officeDocument/2006/relationships/comments" Target="../comments28.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3" Type="http://schemas.openxmlformats.org/officeDocument/2006/relationships/drawing" Target="../drawings/drawing37.xml"/><Relationship Id="rId2" Type="http://schemas.openxmlformats.org/officeDocument/2006/relationships/printerSettings" Target="../printerSettings/printerSettings36.bin"/><Relationship Id="rId1" Type="http://schemas.openxmlformats.org/officeDocument/2006/relationships/hyperlink" Target="https://www.gerencie.com/impuesto-a-las-ventas." TargetMode="External"/></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0" tint="-0.249977111117893"/>
    <pageSetUpPr fitToPage="1"/>
  </sheetPr>
  <dimension ref="A1:L75"/>
  <sheetViews>
    <sheetView showGridLines="0" topLeftCell="A10" zoomScaleNormal="100" workbookViewId="0">
      <selection activeCell="D36" sqref="D36:H36"/>
    </sheetView>
  </sheetViews>
  <sheetFormatPr defaultColWidth="18.83203125" defaultRowHeight="18" customHeight="1"/>
  <cols>
    <col min="1" max="1" width="13.6640625" style="610" customWidth="1"/>
    <col min="2" max="2" width="17.6640625" style="610" customWidth="1"/>
    <col min="3" max="3" width="14" style="610" customWidth="1"/>
    <col min="4" max="8" width="18.83203125" style="610"/>
    <col min="9" max="11" width="16.83203125" style="610" customWidth="1"/>
    <col min="12" max="12" width="38.83203125" style="610" customWidth="1"/>
    <col min="13" max="16384" width="18.83203125" style="610"/>
  </cols>
  <sheetData>
    <row r="1" spans="1:11" ht="18" customHeight="1">
      <c r="A1" s="903"/>
      <c r="B1" s="904"/>
      <c r="C1" s="904" t="s">
        <v>0</v>
      </c>
      <c r="D1" s="904"/>
      <c r="E1" s="904"/>
      <c r="F1" s="904"/>
      <c r="G1" s="904"/>
      <c r="H1" s="904"/>
      <c r="I1" s="904"/>
      <c r="J1" s="904"/>
      <c r="K1" s="912"/>
    </row>
    <row r="2" spans="1:11" ht="18" customHeight="1">
      <c r="A2" s="905"/>
      <c r="B2" s="906"/>
      <c r="C2" s="906" t="s">
        <v>1</v>
      </c>
      <c r="D2" s="906"/>
      <c r="E2" s="906"/>
      <c r="F2" s="906"/>
      <c r="G2" s="906"/>
      <c r="H2" s="906"/>
      <c r="I2" s="906"/>
      <c r="J2" s="906"/>
      <c r="K2" s="913"/>
    </row>
    <row r="3" spans="1:11" ht="18" customHeight="1" thickBot="1">
      <c r="A3" s="907"/>
      <c r="B3" s="908"/>
      <c r="C3" s="908" t="s">
        <v>2</v>
      </c>
      <c r="D3" s="908"/>
      <c r="E3" s="908"/>
      <c r="F3" s="908"/>
      <c r="G3" s="908" t="s">
        <v>3</v>
      </c>
      <c r="H3" s="908"/>
      <c r="I3" s="908"/>
      <c r="J3" s="908"/>
      <c r="K3" s="914"/>
    </row>
    <row r="4" spans="1:11" ht="18" customHeight="1" thickBot="1"/>
    <row r="5" spans="1:11" ht="18" customHeight="1" thickBot="1">
      <c r="A5" s="611" t="s">
        <v>4</v>
      </c>
      <c r="B5" s="612" t="s">
        <v>5</v>
      </c>
      <c r="D5" s="611" t="s">
        <v>4</v>
      </c>
      <c r="E5" s="612" t="s">
        <v>6</v>
      </c>
    </row>
    <row r="6" spans="1:11" ht="18" customHeight="1" thickBot="1">
      <c r="A6" s="821" t="s">
        <v>7</v>
      </c>
      <c r="B6" s="822" t="s">
        <v>8</v>
      </c>
      <c r="D6" s="827" t="s">
        <v>9</v>
      </c>
      <c r="E6" s="828" t="s">
        <v>10</v>
      </c>
    </row>
    <row r="7" spans="1:11" ht="18" customHeight="1">
      <c r="A7" s="823" t="s">
        <v>11</v>
      </c>
      <c r="B7" s="824" t="s">
        <v>12</v>
      </c>
    </row>
    <row r="8" spans="1:11" ht="18" customHeight="1" thickBot="1">
      <c r="A8" s="825" t="s">
        <v>13</v>
      </c>
      <c r="B8" s="826" t="s">
        <v>14</v>
      </c>
    </row>
    <row r="9" spans="1:11" ht="18" customHeight="1" thickBot="1"/>
    <row r="10" spans="1:11" ht="67.5" customHeight="1" thickBot="1">
      <c r="A10" s="915" t="s">
        <v>15</v>
      </c>
      <c r="B10" s="916"/>
      <c r="C10" s="916"/>
      <c r="D10" s="916"/>
      <c r="E10" s="916"/>
      <c r="F10" s="916"/>
      <c r="G10" s="916"/>
      <c r="H10" s="916"/>
      <c r="I10" s="916"/>
      <c r="J10" s="916"/>
      <c r="K10" s="917"/>
    </row>
    <row r="11" spans="1:11" ht="18" customHeight="1" thickBot="1"/>
    <row r="12" spans="1:11" ht="20.100000000000001" customHeight="1">
      <c r="A12" s="918" t="s">
        <v>16</v>
      </c>
      <c r="B12" s="919"/>
      <c r="C12" s="919"/>
      <c r="D12" s="919"/>
      <c r="E12" s="919"/>
      <c r="F12" s="919"/>
      <c r="G12" s="919"/>
      <c r="H12" s="920"/>
    </row>
    <row r="13" spans="1:11" ht="20.100000000000001" customHeight="1">
      <c r="A13" s="909" t="s">
        <v>17</v>
      </c>
      <c r="B13" s="910"/>
      <c r="C13" s="910"/>
      <c r="D13" s="910" t="s">
        <v>18</v>
      </c>
      <c r="E13" s="910"/>
      <c r="F13" s="910"/>
      <c r="G13" s="910"/>
      <c r="H13" s="911"/>
    </row>
    <row r="14" spans="1:11" ht="45.75" customHeight="1">
      <c r="A14" s="870" t="s">
        <v>19</v>
      </c>
      <c r="B14" s="871"/>
      <c r="C14" s="871"/>
      <c r="D14" s="872" t="s">
        <v>20</v>
      </c>
      <c r="E14" s="872"/>
      <c r="F14" s="872"/>
      <c r="G14" s="872"/>
      <c r="H14" s="873"/>
    </row>
    <row r="15" spans="1:11" ht="93" customHeight="1">
      <c r="A15" s="870" t="s">
        <v>21</v>
      </c>
      <c r="B15" s="871"/>
      <c r="C15" s="871"/>
      <c r="D15" s="872" t="s">
        <v>22</v>
      </c>
      <c r="E15" s="872"/>
      <c r="F15" s="872"/>
      <c r="G15" s="872"/>
      <c r="H15" s="873"/>
    </row>
    <row r="16" spans="1:11" ht="44.25" customHeight="1">
      <c r="A16" s="870" t="s">
        <v>23</v>
      </c>
      <c r="B16" s="871"/>
      <c r="C16" s="871"/>
      <c r="D16" s="872" t="s">
        <v>24</v>
      </c>
      <c r="E16" s="872"/>
      <c r="F16" s="872"/>
      <c r="G16" s="872"/>
      <c r="H16" s="873"/>
    </row>
    <row r="17" spans="1:12" ht="54" customHeight="1">
      <c r="A17" s="870" t="s">
        <v>25</v>
      </c>
      <c r="B17" s="871"/>
      <c r="C17" s="871"/>
      <c r="D17" s="872" t="s">
        <v>26</v>
      </c>
      <c r="E17" s="872"/>
      <c r="F17" s="872"/>
      <c r="G17" s="872"/>
      <c r="H17" s="873"/>
    </row>
    <row r="18" spans="1:12" ht="54" customHeight="1">
      <c r="A18" s="885" t="s">
        <v>27</v>
      </c>
      <c r="B18" s="886"/>
      <c r="C18" s="886"/>
      <c r="D18" s="872" t="s">
        <v>28</v>
      </c>
      <c r="E18" s="872"/>
      <c r="F18" s="872"/>
      <c r="G18" s="872"/>
      <c r="H18" s="873"/>
    </row>
    <row r="19" spans="1:12" ht="32.25" customHeight="1">
      <c r="A19" s="870" t="s">
        <v>29</v>
      </c>
      <c r="B19" s="871"/>
      <c r="C19" s="871"/>
      <c r="D19" s="872" t="s">
        <v>30</v>
      </c>
      <c r="E19" s="872"/>
      <c r="F19" s="872"/>
      <c r="G19" s="872"/>
      <c r="H19" s="873"/>
    </row>
    <row r="20" spans="1:12" ht="54.75" customHeight="1">
      <c r="A20" s="883" t="s">
        <v>31</v>
      </c>
      <c r="B20" s="884"/>
      <c r="C20" s="884"/>
      <c r="D20" s="872" t="s">
        <v>32</v>
      </c>
      <c r="E20" s="872"/>
      <c r="F20" s="872"/>
      <c r="G20" s="872"/>
      <c r="H20" s="873"/>
    </row>
    <row r="21" spans="1:12" ht="36" customHeight="1" thickBot="1">
      <c r="A21" s="899" t="s">
        <v>33</v>
      </c>
      <c r="B21" s="900"/>
      <c r="C21" s="900"/>
      <c r="D21" s="877" t="s">
        <v>34</v>
      </c>
      <c r="E21" s="877"/>
      <c r="F21" s="877"/>
      <c r="G21" s="877"/>
      <c r="H21" s="878"/>
    </row>
    <row r="22" spans="1:12" ht="18" customHeight="1" thickBot="1"/>
    <row r="23" spans="1:12" ht="20.100000000000001" customHeight="1">
      <c r="A23" s="897" t="s">
        <v>35</v>
      </c>
      <c r="B23" s="898"/>
      <c r="C23" s="898"/>
      <c r="D23" s="898"/>
      <c r="E23" s="898"/>
      <c r="F23" s="898"/>
      <c r="G23" s="898"/>
      <c r="H23" s="898"/>
      <c r="I23" s="898" t="s">
        <v>36</v>
      </c>
      <c r="J23" s="898"/>
      <c r="K23" s="902"/>
    </row>
    <row r="24" spans="1:12" ht="38.25" customHeight="1" thickBot="1">
      <c r="A24" s="901" t="s">
        <v>17</v>
      </c>
      <c r="B24" s="879"/>
      <c r="C24" s="879"/>
      <c r="D24" s="879" t="s">
        <v>18</v>
      </c>
      <c r="E24" s="879"/>
      <c r="F24" s="879"/>
      <c r="G24" s="879"/>
      <c r="H24" s="879"/>
      <c r="I24" s="613" t="s">
        <v>37</v>
      </c>
      <c r="J24" s="613" t="s">
        <v>38</v>
      </c>
      <c r="K24" s="614" t="s">
        <v>39</v>
      </c>
    </row>
    <row r="25" spans="1:12" ht="20.100000000000001" customHeight="1">
      <c r="A25" s="880" t="s">
        <v>40</v>
      </c>
      <c r="B25" s="881"/>
      <c r="C25" s="881"/>
      <c r="D25" s="881"/>
      <c r="E25" s="881"/>
      <c r="F25" s="881"/>
      <c r="G25" s="881"/>
      <c r="H25" s="881"/>
      <c r="I25" s="881"/>
      <c r="J25" s="881"/>
      <c r="K25" s="882"/>
    </row>
    <row r="26" spans="1:12" ht="78" customHeight="1">
      <c r="A26" s="874" t="s">
        <v>41</v>
      </c>
      <c r="B26" s="875"/>
      <c r="C26" s="875"/>
      <c r="D26" s="875"/>
      <c r="E26" s="875"/>
      <c r="F26" s="875"/>
      <c r="G26" s="875"/>
      <c r="H26" s="875"/>
      <c r="I26" s="875"/>
      <c r="J26" s="875"/>
      <c r="K26" s="876"/>
    </row>
    <row r="27" spans="1:12" ht="42.75" customHeight="1">
      <c r="A27" s="887" t="s">
        <v>42</v>
      </c>
      <c r="B27" s="888"/>
      <c r="C27" s="888"/>
      <c r="D27" s="872" t="s">
        <v>43</v>
      </c>
      <c r="E27" s="872"/>
      <c r="F27" s="872"/>
      <c r="G27" s="872"/>
      <c r="H27" s="872"/>
      <c r="I27" s="615" t="s">
        <v>44</v>
      </c>
      <c r="J27" s="615" t="s">
        <v>44</v>
      </c>
      <c r="K27" s="616" t="s">
        <v>44</v>
      </c>
    </row>
    <row r="28" spans="1:12" ht="66" customHeight="1">
      <c r="A28" s="886" t="s">
        <v>45</v>
      </c>
      <c r="B28" s="886"/>
      <c r="C28" s="886"/>
      <c r="D28" s="872" t="s">
        <v>46</v>
      </c>
      <c r="E28" s="872"/>
      <c r="F28" s="872"/>
      <c r="G28" s="872"/>
      <c r="H28" s="872"/>
      <c r="I28" s="615" t="s">
        <v>44</v>
      </c>
      <c r="J28" s="615"/>
      <c r="K28" s="616"/>
      <c r="L28" s="617"/>
    </row>
    <row r="29" spans="1:12" ht="45" customHeight="1">
      <c r="A29" s="887" t="s">
        <v>47</v>
      </c>
      <c r="B29" s="888"/>
      <c r="C29" s="888"/>
      <c r="D29" s="872" t="s">
        <v>48</v>
      </c>
      <c r="E29" s="872"/>
      <c r="F29" s="872"/>
      <c r="G29" s="872"/>
      <c r="H29" s="872"/>
      <c r="I29" s="615" t="s">
        <v>44</v>
      </c>
      <c r="J29" s="615" t="s">
        <v>44</v>
      </c>
      <c r="K29" s="616"/>
    </row>
    <row r="30" spans="1:12" ht="55.5" customHeight="1">
      <c r="A30" s="886" t="s">
        <v>49</v>
      </c>
      <c r="B30" s="886"/>
      <c r="C30" s="886"/>
      <c r="D30" s="872" t="s">
        <v>50</v>
      </c>
      <c r="E30" s="872"/>
      <c r="F30" s="872"/>
      <c r="G30" s="872"/>
      <c r="H30" s="872"/>
      <c r="I30" s="615" t="s">
        <v>44</v>
      </c>
      <c r="J30" s="615"/>
      <c r="K30" s="616"/>
      <c r="L30" s="617"/>
    </row>
    <row r="31" spans="1:12" ht="42" customHeight="1">
      <c r="A31" s="887" t="s">
        <v>51</v>
      </c>
      <c r="B31" s="888"/>
      <c r="C31" s="888"/>
      <c r="D31" s="872" t="s">
        <v>52</v>
      </c>
      <c r="E31" s="872"/>
      <c r="F31" s="872"/>
      <c r="G31" s="872"/>
      <c r="H31" s="872"/>
      <c r="I31" s="615"/>
      <c r="J31" s="615"/>
      <c r="K31" s="616" t="s">
        <v>44</v>
      </c>
    </row>
    <row r="32" spans="1:12" ht="156" customHeight="1">
      <c r="A32" s="887" t="s">
        <v>53</v>
      </c>
      <c r="B32" s="888"/>
      <c r="C32" s="888"/>
      <c r="D32" s="872" t="s">
        <v>54</v>
      </c>
      <c r="E32" s="872"/>
      <c r="F32" s="872"/>
      <c r="G32" s="872"/>
      <c r="H32" s="872"/>
      <c r="I32" s="928" t="s">
        <v>55</v>
      </c>
      <c r="J32" s="929"/>
      <c r="K32" s="930"/>
    </row>
    <row r="33" spans="1:11" ht="133.5" customHeight="1">
      <c r="A33" s="887" t="s">
        <v>56</v>
      </c>
      <c r="B33" s="888"/>
      <c r="C33" s="888"/>
      <c r="D33" s="872" t="s">
        <v>57</v>
      </c>
      <c r="E33" s="872"/>
      <c r="F33" s="872"/>
      <c r="G33" s="872"/>
      <c r="H33" s="872"/>
      <c r="I33" s="931"/>
      <c r="J33" s="932"/>
      <c r="K33" s="933"/>
    </row>
    <row r="34" spans="1:11" ht="162.75" customHeight="1">
      <c r="A34" s="887" t="s">
        <v>58</v>
      </c>
      <c r="B34" s="888"/>
      <c r="C34" s="888"/>
      <c r="D34" s="872" t="s">
        <v>59</v>
      </c>
      <c r="E34" s="872"/>
      <c r="F34" s="872"/>
      <c r="G34" s="872"/>
      <c r="H34" s="872"/>
      <c r="I34" s="934"/>
      <c r="J34" s="935"/>
      <c r="K34" s="936"/>
    </row>
    <row r="35" spans="1:11" ht="225.75" customHeight="1">
      <c r="A35" s="887" t="s">
        <v>60</v>
      </c>
      <c r="B35" s="888"/>
      <c r="C35" s="888"/>
      <c r="D35" s="872" t="s">
        <v>61</v>
      </c>
      <c r="E35" s="872"/>
      <c r="F35" s="872"/>
      <c r="G35" s="872"/>
      <c r="H35" s="872"/>
      <c r="I35" s="615" t="s">
        <v>44</v>
      </c>
      <c r="J35" s="615" t="s">
        <v>44</v>
      </c>
      <c r="K35" s="616" t="s">
        <v>44</v>
      </c>
    </row>
    <row r="36" spans="1:11" ht="42" customHeight="1">
      <c r="A36" s="887" t="s">
        <v>62</v>
      </c>
      <c r="B36" s="888"/>
      <c r="C36" s="888"/>
      <c r="D36" s="872" t="s">
        <v>63</v>
      </c>
      <c r="E36" s="872"/>
      <c r="F36" s="872"/>
      <c r="G36" s="872"/>
      <c r="H36" s="872"/>
      <c r="I36" s="615" t="s">
        <v>44</v>
      </c>
      <c r="J36" s="615" t="s">
        <v>44</v>
      </c>
      <c r="K36" s="616" t="s">
        <v>44</v>
      </c>
    </row>
    <row r="37" spans="1:11" ht="18" customHeight="1">
      <c r="A37" s="895" t="s">
        <v>64</v>
      </c>
      <c r="B37" s="896"/>
      <c r="C37" s="896"/>
      <c r="D37" s="872" t="s">
        <v>65</v>
      </c>
      <c r="E37" s="872"/>
      <c r="F37" s="872"/>
      <c r="G37" s="872"/>
      <c r="H37" s="872"/>
      <c r="I37" s="615"/>
      <c r="J37" s="615" t="s">
        <v>44</v>
      </c>
      <c r="K37" s="616"/>
    </row>
    <row r="38" spans="1:11" ht="20.100000000000001" customHeight="1">
      <c r="A38" s="892" t="s">
        <v>66</v>
      </c>
      <c r="B38" s="893"/>
      <c r="C38" s="893"/>
      <c r="D38" s="893"/>
      <c r="E38" s="893"/>
      <c r="F38" s="893"/>
      <c r="G38" s="893"/>
      <c r="H38" s="893"/>
      <c r="I38" s="893"/>
      <c r="J38" s="893"/>
      <c r="K38" s="894"/>
    </row>
    <row r="39" spans="1:11" ht="45" customHeight="1">
      <c r="A39" s="887" t="s">
        <v>67</v>
      </c>
      <c r="B39" s="888"/>
      <c r="C39" s="888"/>
      <c r="D39" s="872" t="s">
        <v>68</v>
      </c>
      <c r="E39" s="872"/>
      <c r="F39" s="872"/>
      <c r="G39" s="872"/>
      <c r="H39" s="872"/>
      <c r="I39" s="615"/>
      <c r="J39" s="615" t="s">
        <v>44</v>
      </c>
      <c r="K39" s="616"/>
    </row>
    <row r="40" spans="1:11" ht="45" customHeight="1">
      <c r="A40" s="887" t="s">
        <v>69</v>
      </c>
      <c r="B40" s="888"/>
      <c r="C40" s="888"/>
      <c r="D40" s="872" t="s">
        <v>70</v>
      </c>
      <c r="E40" s="872"/>
      <c r="F40" s="872"/>
      <c r="G40" s="872"/>
      <c r="H40" s="872"/>
      <c r="I40" s="615"/>
      <c r="J40" s="615" t="s">
        <v>44</v>
      </c>
      <c r="K40" s="616"/>
    </row>
    <row r="41" spans="1:11" ht="42.75" customHeight="1">
      <c r="A41" s="887" t="s">
        <v>71</v>
      </c>
      <c r="B41" s="888"/>
      <c r="C41" s="888"/>
      <c r="D41" s="872" t="s">
        <v>72</v>
      </c>
      <c r="E41" s="872"/>
      <c r="F41" s="872"/>
      <c r="G41" s="872"/>
      <c r="H41" s="872"/>
      <c r="I41" s="615"/>
      <c r="J41" s="615" t="s">
        <v>44</v>
      </c>
      <c r="K41" s="616"/>
    </row>
    <row r="42" spans="1:11" ht="30" customHeight="1">
      <c r="A42" s="895" t="s">
        <v>73</v>
      </c>
      <c r="B42" s="896"/>
      <c r="C42" s="896"/>
      <c r="D42" s="872" t="s">
        <v>74</v>
      </c>
      <c r="E42" s="872"/>
      <c r="F42" s="872"/>
      <c r="G42" s="872"/>
      <c r="H42" s="872"/>
      <c r="I42" s="615"/>
      <c r="J42" s="615" t="s">
        <v>44</v>
      </c>
      <c r="K42" s="616"/>
    </row>
    <row r="43" spans="1:11" ht="20.100000000000001" customHeight="1">
      <c r="A43" s="892" t="s">
        <v>75</v>
      </c>
      <c r="B43" s="893"/>
      <c r="C43" s="893"/>
      <c r="D43" s="893"/>
      <c r="E43" s="893"/>
      <c r="F43" s="893"/>
      <c r="G43" s="893"/>
      <c r="H43" s="893"/>
      <c r="I43" s="893"/>
      <c r="J43" s="893"/>
      <c r="K43" s="894"/>
    </row>
    <row r="44" spans="1:11" ht="45.75" customHeight="1">
      <c r="A44" s="887" t="s">
        <v>76</v>
      </c>
      <c r="B44" s="888"/>
      <c r="C44" s="888"/>
      <c r="D44" s="872" t="s">
        <v>77</v>
      </c>
      <c r="E44" s="872"/>
      <c r="F44" s="872"/>
      <c r="G44" s="872"/>
      <c r="H44" s="872"/>
      <c r="I44" s="615"/>
      <c r="J44" s="615" t="s">
        <v>44</v>
      </c>
      <c r="K44" s="616"/>
    </row>
    <row r="45" spans="1:11" ht="42" customHeight="1">
      <c r="A45" s="895" t="s">
        <v>78</v>
      </c>
      <c r="B45" s="896"/>
      <c r="C45" s="896"/>
      <c r="D45" s="872" t="s">
        <v>79</v>
      </c>
      <c r="E45" s="872"/>
      <c r="F45" s="872"/>
      <c r="G45" s="872"/>
      <c r="H45" s="872"/>
      <c r="I45" s="615"/>
      <c r="J45" s="615" t="s">
        <v>44</v>
      </c>
      <c r="K45" s="616"/>
    </row>
    <row r="46" spans="1:11" ht="20.100000000000001" customHeight="1">
      <c r="A46" s="892" t="s">
        <v>80</v>
      </c>
      <c r="B46" s="893"/>
      <c r="C46" s="893"/>
      <c r="D46" s="893"/>
      <c r="E46" s="893"/>
      <c r="F46" s="893"/>
      <c r="G46" s="893"/>
      <c r="H46" s="893"/>
      <c r="I46" s="893"/>
      <c r="J46" s="893"/>
      <c r="K46" s="894"/>
    </row>
    <row r="47" spans="1:11" ht="21" customHeight="1">
      <c r="A47" s="887" t="s">
        <v>81</v>
      </c>
      <c r="B47" s="888"/>
      <c r="C47" s="888"/>
      <c r="D47" s="872" t="s">
        <v>82</v>
      </c>
      <c r="E47" s="872"/>
      <c r="F47" s="872"/>
      <c r="G47" s="872"/>
      <c r="H47" s="872"/>
      <c r="I47" s="615"/>
      <c r="J47" s="615" t="s">
        <v>44</v>
      </c>
      <c r="K47" s="616"/>
    </row>
    <row r="48" spans="1:11" ht="20.25" customHeight="1">
      <c r="A48" s="887" t="s">
        <v>83</v>
      </c>
      <c r="B48" s="888"/>
      <c r="C48" s="888"/>
      <c r="D48" s="872" t="s">
        <v>84</v>
      </c>
      <c r="E48" s="872"/>
      <c r="F48" s="872"/>
      <c r="G48" s="872"/>
      <c r="H48" s="872"/>
      <c r="I48" s="615"/>
      <c r="J48" s="615" t="s">
        <v>44</v>
      </c>
      <c r="K48" s="616"/>
    </row>
    <row r="49" spans="1:12" ht="32.25" customHeight="1">
      <c r="A49" s="887" t="s">
        <v>85</v>
      </c>
      <c r="B49" s="888"/>
      <c r="C49" s="888"/>
      <c r="D49" s="872" t="s">
        <v>86</v>
      </c>
      <c r="E49" s="872"/>
      <c r="F49" s="872"/>
      <c r="G49" s="872"/>
      <c r="H49" s="872"/>
      <c r="I49" s="615"/>
      <c r="J49" s="615" t="s">
        <v>44</v>
      </c>
      <c r="K49" s="616"/>
    </row>
    <row r="50" spans="1:12" ht="32.25" customHeight="1" thickBot="1">
      <c r="A50" s="921" t="s">
        <v>87</v>
      </c>
      <c r="B50" s="922"/>
      <c r="C50" s="922"/>
      <c r="D50" s="877" t="s">
        <v>86</v>
      </c>
      <c r="E50" s="877"/>
      <c r="F50" s="877"/>
      <c r="G50" s="877"/>
      <c r="H50" s="877"/>
      <c r="I50" s="618"/>
      <c r="J50" s="618" t="s">
        <v>44</v>
      </c>
      <c r="K50" s="619"/>
    </row>
    <row r="51" spans="1:12" ht="18" customHeight="1" thickBot="1">
      <c r="A51" s="620"/>
      <c r="B51" s="620"/>
      <c r="C51" s="620"/>
    </row>
    <row r="52" spans="1:12" ht="20.100000000000001" customHeight="1">
      <c r="A52" s="923" t="s">
        <v>88</v>
      </c>
      <c r="B52" s="924"/>
      <c r="C52" s="924"/>
      <c r="D52" s="924"/>
      <c r="E52" s="924"/>
      <c r="F52" s="924"/>
      <c r="G52" s="924"/>
      <c r="H52" s="925"/>
    </row>
    <row r="53" spans="1:12" ht="20.100000000000001" customHeight="1" thickBot="1">
      <c r="A53" s="926" t="s">
        <v>17</v>
      </c>
      <c r="B53" s="927"/>
      <c r="C53" s="927"/>
      <c r="D53" s="927" t="s">
        <v>18</v>
      </c>
      <c r="E53" s="927"/>
      <c r="F53" s="927"/>
      <c r="G53" s="927"/>
      <c r="H53" s="937"/>
    </row>
    <row r="54" spans="1:12" ht="41.25" customHeight="1">
      <c r="A54" s="938" t="s">
        <v>89</v>
      </c>
      <c r="B54" s="939"/>
      <c r="C54" s="939"/>
      <c r="D54" s="940" t="s">
        <v>90</v>
      </c>
      <c r="E54" s="940"/>
      <c r="F54" s="940"/>
      <c r="G54" s="940"/>
      <c r="H54" s="941"/>
    </row>
    <row r="55" spans="1:12" ht="33" customHeight="1">
      <c r="A55" s="887" t="s">
        <v>91</v>
      </c>
      <c r="B55" s="888"/>
      <c r="C55" s="888"/>
      <c r="D55" s="872" t="s">
        <v>92</v>
      </c>
      <c r="E55" s="872"/>
      <c r="F55" s="872"/>
      <c r="G55" s="872"/>
      <c r="H55" s="873"/>
    </row>
    <row r="56" spans="1:12" ht="29.25" customHeight="1">
      <c r="A56" s="887" t="s">
        <v>93</v>
      </c>
      <c r="B56" s="888"/>
      <c r="C56" s="888"/>
      <c r="D56" s="872" t="s">
        <v>94</v>
      </c>
      <c r="E56" s="872"/>
      <c r="F56" s="872"/>
      <c r="G56" s="872"/>
      <c r="H56" s="873"/>
    </row>
    <row r="57" spans="1:12" ht="44.25" customHeight="1">
      <c r="A57" s="887" t="s">
        <v>95</v>
      </c>
      <c r="B57" s="888"/>
      <c r="C57" s="888"/>
      <c r="D57" s="872" t="s">
        <v>96</v>
      </c>
      <c r="E57" s="872"/>
      <c r="F57" s="872"/>
      <c r="G57" s="872"/>
      <c r="H57" s="873"/>
    </row>
    <row r="58" spans="1:12" ht="32.25" customHeight="1">
      <c r="A58" s="887" t="s">
        <v>97</v>
      </c>
      <c r="B58" s="888"/>
      <c r="C58" s="888"/>
      <c r="D58" s="872" t="s">
        <v>98</v>
      </c>
      <c r="E58" s="872"/>
      <c r="F58" s="872"/>
      <c r="G58" s="872"/>
      <c r="H58" s="873"/>
    </row>
    <row r="59" spans="1:12" ht="33" customHeight="1" thickBot="1">
      <c r="A59" s="921" t="s">
        <v>99</v>
      </c>
      <c r="B59" s="922"/>
      <c r="C59" s="922"/>
      <c r="D59" s="877" t="s">
        <v>100</v>
      </c>
      <c r="E59" s="877"/>
      <c r="F59" s="877"/>
      <c r="G59" s="877"/>
      <c r="H59" s="878"/>
    </row>
    <row r="60" spans="1:12" ht="18" customHeight="1" thickBot="1">
      <c r="A60" s="617"/>
      <c r="B60" s="617"/>
      <c r="C60" s="617"/>
      <c r="D60" s="617"/>
      <c r="E60" s="617"/>
      <c r="F60" s="617"/>
      <c r="G60" s="617"/>
      <c r="H60" s="617"/>
    </row>
    <row r="61" spans="1:12" ht="67.5" customHeight="1" thickBot="1">
      <c r="A61" s="889" t="s">
        <v>101</v>
      </c>
      <c r="B61" s="890"/>
      <c r="C61" s="890"/>
      <c r="D61" s="890"/>
      <c r="E61" s="890"/>
      <c r="F61" s="890"/>
      <c r="G61" s="890"/>
      <c r="H61" s="890"/>
      <c r="I61" s="890"/>
      <c r="J61" s="890"/>
      <c r="K61" s="891"/>
    </row>
    <row r="62" spans="1:12" ht="126" customHeight="1" thickBot="1">
      <c r="A62" s="889" t="s">
        <v>102</v>
      </c>
      <c r="B62" s="890"/>
      <c r="C62" s="890"/>
      <c r="D62" s="890"/>
      <c r="E62" s="890"/>
      <c r="F62" s="890"/>
      <c r="G62" s="890"/>
      <c r="H62" s="890"/>
      <c r="I62" s="890"/>
      <c r="J62" s="890"/>
      <c r="K62" s="891"/>
      <c r="L62" s="620"/>
    </row>
    <row r="63" spans="1:12" ht="76.5" customHeight="1" thickBot="1">
      <c r="A63" s="889" t="s">
        <v>103</v>
      </c>
      <c r="B63" s="890"/>
      <c r="C63" s="890"/>
      <c r="D63" s="890"/>
      <c r="E63" s="890"/>
      <c r="F63" s="890"/>
      <c r="G63" s="890"/>
      <c r="H63" s="890"/>
      <c r="I63" s="890"/>
      <c r="J63" s="890"/>
      <c r="K63" s="891"/>
    </row>
    <row r="64" spans="1:12" ht="18" customHeight="1">
      <c r="B64" s="617"/>
      <c r="C64" s="617"/>
      <c r="D64" s="617"/>
      <c r="E64" s="617"/>
      <c r="F64" s="617"/>
      <c r="G64" s="617"/>
      <c r="H64" s="617"/>
    </row>
    <row r="65" spans="1:8" ht="18" customHeight="1">
      <c r="A65" s="617"/>
      <c r="B65" s="617"/>
      <c r="C65" s="617"/>
      <c r="D65" s="617"/>
      <c r="E65" s="617"/>
      <c r="F65" s="617"/>
      <c r="G65" s="617"/>
      <c r="H65" s="617"/>
    </row>
    <row r="66" spans="1:8" ht="18" customHeight="1">
      <c r="A66" s="617"/>
      <c r="B66" s="617"/>
      <c r="C66" s="617"/>
      <c r="D66" s="617"/>
      <c r="E66" s="617"/>
      <c r="F66" s="617"/>
      <c r="G66" s="617"/>
      <c r="H66" s="617"/>
    </row>
    <row r="67" spans="1:8" ht="18" customHeight="1">
      <c r="A67" s="617"/>
      <c r="B67" s="617"/>
      <c r="C67" s="617"/>
      <c r="D67" s="617"/>
      <c r="E67" s="617"/>
      <c r="F67" s="617"/>
      <c r="G67" s="617"/>
      <c r="H67" s="617"/>
    </row>
    <row r="68" spans="1:8" ht="18" customHeight="1">
      <c r="A68" s="617"/>
      <c r="B68" s="617"/>
      <c r="C68" s="617"/>
      <c r="D68" s="617"/>
      <c r="E68" s="617"/>
      <c r="F68" s="617"/>
      <c r="G68" s="617"/>
      <c r="H68" s="617"/>
    </row>
    <row r="69" spans="1:8" ht="18" customHeight="1">
      <c r="A69" s="617"/>
      <c r="B69" s="617"/>
      <c r="C69" s="617"/>
      <c r="D69" s="617"/>
      <c r="E69" s="617"/>
      <c r="F69" s="617"/>
      <c r="G69" s="617"/>
      <c r="H69" s="617"/>
    </row>
    <row r="70" spans="1:8" ht="18" customHeight="1">
      <c r="A70" s="617"/>
      <c r="B70" s="617"/>
      <c r="C70" s="617"/>
      <c r="D70" s="617"/>
      <c r="E70" s="617"/>
      <c r="F70" s="617"/>
      <c r="G70" s="617"/>
      <c r="H70" s="617"/>
    </row>
    <row r="71" spans="1:8" ht="18" customHeight="1">
      <c r="A71" s="617"/>
      <c r="B71" s="617"/>
      <c r="C71" s="617"/>
      <c r="D71" s="617"/>
      <c r="E71" s="617"/>
      <c r="F71" s="617"/>
      <c r="G71" s="617"/>
      <c r="H71" s="617"/>
    </row>
    <row r="72" spans="1:8" ht="18" customHeight="1">
      <c r="A72" s="617"/>
      <c r="B72" s="617"/>
      <c r="C72" s="617"/>
      <c r="D72" s="617"/>
      <c r="E72" s="617"/>
      <c r="F72" s="617"/>
      <c r="G72" s="617"/>
      <c r="H72" s="617"/>
    </row>
    <row r="73" spans="1:8" ht="18" customHeight="1">
      <c r="A73" s="617"/>
      <c r="B73" s="617"/>
      <c r="C73" s="617"/>
      <c r="D73" s="617"/>
      <c r="E73" s="617"/>
      <c r="F73" s="617"/>
      <c r="G73" s="617"/>
      <c r="H73" s="617"/>
    </row>
    <row r="74" spans="1:8" ht="18" customHeight="1">
      <c r="A74" s="617"/>
      <c r="B74" s="617"/>
      <c r="C74" s="617"/>
      <c r="D74" s="617"/>
      <c r="E74" s="617"/>
      <c r="F74" s="617"/>
      <c r="G74" s="617"/>
      <c r="H74" s="617"/>
    </row>
    <row r="75" spans="1:8" ht="18" customHeight="1">
      <c r="A75" s="617"/>
      <c r="B75" s="617"/>
      <c r="C75" s="617"/>
      <c r="D75" s="617"/>
      <c r="E75" s="617"/>
      <c r="F75" s="617"/>
      <c r="G75" s="617"/>
      <c r="H75" s="617"/>
    </row>
  </sheetData>
  <sheetProtection formatCells="0" formatColumns="0" formatRows="0" insertColumns="0" insertRows="0" insertHyperlinks="0" deleteColumns="0" deleteRows="0" sort="0" autoFilter="0" pivotTables="0"/>
  <mergeCells count="95">
    <mergeCell ref="A61:K61"/>
    <mergeCell ref="A63:K63"/>
    <mergeCell ref="I32:K34"/>
    <mergeCell ref="A58:C58"/>
    <mergeCell ref="D58:H58"/>
    <mergeCell ref="A59:C59"/>
    <mergeCell ref="D59:H59"/>
    <mergeCell ref="A57:C57"/>
    <mergeCell ref="D57:H57"/>
    <mergeCell ref="D53:H53"/>
    <mergeCell ref="A54:C54"/>
    <mergeCell ref="A40:C40"/>
    <mergeCell ref="D54:H54"/>
    <mergeCell ref="A56:C56"/>
    <mergeCell ref="A55:C55"/>
    <mergeCell ref="D55:H55"/>
    <mergeCell ref="A50:C50"/>
    <mergeCell ref="D50:H50"/>
    <mergeCell ref="D56:H56"/>
    <mergeCell ref="A52:H52"/>
    <mergeCell ref="A53:C53"/>
    <mergeCell ref="A49:C49"/>
    <mergeCell ref="D49:H49"/>
    <mergeCell ref="A41:C41"/>
    <mergeCell ref="A44:C44"/>
    <mergeCell ref="A46:K46"/>
    <mergeCell ref="D44:H44"/>
    <mergeCell ref="A48:C48"/>
    <mergeCell ref="D48:H48"/>
    <mergeCell ref="A47:C47"/>
    <mergeCell ref="D47:H47"/>
    <mergeCell ref="D40:H40"/>
    <mergeCell ref="A1:B3"/>
    <mergeCell ref="A13:C13"/>
    <mergeCell ref="D13:H13"/>
    <mergeCell ref="C1:K1"/>
    <mergeCell ref="C2:K2"/>
    <mergeCell ref="C3:F3"/>
    <mergeCell ref="G3:K3"/>
    <mergeCell ref="A10:K10"/>
    <mergeCell ref="A12:H12"/>
    <mergeCell ref="D34:H34"/>
    <mergeCell ref="A28:C28"/>
    <mergeCell ref="D28:H28"/>
    <mergeCell ref="A30:C30"/>
    <mergeCell ref="D30:H30"/>
    <mergeCell ref="D39:H39"/>
    <mergeCell ref="A38:K38"/>
    <mergeCell ref="A16:C16"/>
    <mergeCell ref="D16:H16"/>
    <mergeCell ref="A45:C45"/>
    <mergeCell ref="D45:H45"/>
    <mergeCell ref="A43:K43"/>
    <mergeCell ref="D42:H42"/>
    <mergeCell ref="A42:C42"/>
    <mergeCell ref="A23:H23"/>
    <mergeCell ref="A21:C21"/>
    <mergeCell ref="A24:C24"/>
    <mergeCell ref="I23:K23"/>
    <mergeCell ref="D41:H41"/>
    <mergeCell ref="A35:C35"/>
    <mergeCell ref="A39:C39"/>
    <mergeCell ref="A37:C37"/>
    <mergeCell ref="A15:C15"/>
    <mergeCell ref="D15:H15"/>
    <mergeCell ref="A62:K62"/>
    <mergeCell ref="A34:C34"/>
    <mergeCell ref="A27:C27"/>
    <mergeCell ref="A29:C29"/>
    <mergeCell ref="A31:C31"/>
    <mergeCell ref="A32:C32"/>
    <mergeCell ref="A33:C33"/>
    <mergeCell ref="D27:H27"/>
    <mergeCell ref="D29:H29"/>
    <mergeCell ref="D31:H31"/>
    <mergeCell ref="D32:H32"/>
    <mergeCell ref="D33:H33"/>
    <mergeCell ref="D36:H36"/>
    <mergeCell ref="D35:H35"/>
    <mergeCell ref="A14:C14"/>
    <mergeCell ref="D14:H14"/>
    <mergeCell ref="D37:H37"/>
    <mergeCell ref="A17:C17"/>
    <mergeCell ref="D17:H17"/>
    <mergeCell ref="A19:C19"/>
    <mergeCell ref="D19:H19"/>
    <mergeCell ref="A26:K26"/>
    <mergeCell ref="D21:H21"/>
    <mergeCell ref="D24:H24"/>
    <mergeCell ref="A25:K25"/>
    <mergeCell ref="A20:C20"/>
    <mergeCell ref="D20:H20"/>
    <mergeCell ref="A18:C18"/>
    <mergeCell ref="D18:H18"/>
    <mergeCell ref="A36:C36"/>
  </mergeCells>
  <hyperlinks>
    <hyperlink ref="A27:C27" location="PEFI" display="Plan de ejecución física y de inversiones" xr:uid="{00000000-0004-0000-0000-000000000000}"/>
    <hyperlink ref="A29:C29" location="PC" display="Presupuesto - modalidad contrato" xr:uid="{00000000-0004-0000-0000-000001000000}"/>
    <hyperlink ref="A31:C31" location="PCV" display="Presupuesto - modalidad convenio" xr:uid="{00000000-0004-0000-0000-000002000000}"/>
    <hyperlink ref="A32:C32" location="MCOP1" display="Memoria de cálculo - opción 1" xr:uid="{00000000-0004-0000-0000-000003000000}"/>
    <hyperlink ref="A33:C33" location="MCCOP2" display="Memoria de cálculo - Opción 2" xr:uid="{00000000-0004-0000-0000-000004000000}"/>
    <hyperlink ref="A34:C34" location="MCCOP3" display="Memoria de cálculo - opción 3" xr:uid="{00000000-0004-0000-0000-000005000000}"/>
    <hyperlink ref="A36:C36" location="gtosadm" display="Determinación de gastos de administración" xr:uid="{00000000-0004-0000-0000-000006000000}"/>
    <hyperlink ref="A35:C35" location="estmercado" display="Estudio de mercado" xr:uid="{00000000-0004-0000-0000-000007000000}"/>
    <hyperlink ref="A39:C39" location="ppta" display="Propuesta económica" xr:uid="{00000000-0004-0000-0000-000008000000}"/>
    <hyperlink ref="A48:C48" location="subasta1" display="Subasta inversa presencial - análisis de lances" xr:uid="{00000000-0004-0000-0000-000009000000}"/>
    <hyperlink ref="A47:C47" location="subasta2" display="Subasta inversa presencial - análisis de habilitados" xr:uid="{00000000-0004-0000-0000-00000A000000}"/>
    <hyperlink ref="A49:C49" location="subasta3" display="Subasta inversa presencial - lances de precios" xr:uid="{00000000-0004-0000-0000-00000B000000}"/>
    <hyperlink ref="A50:C50" location="subasta4" display="Subasta inversa presencial - declinación de lances" xr:uid="{00000000-0004-0000-0000-00000C000000}"/>
    <hyperlink ref="A54:C54" location="gdym" display="Valores de gastos de desplazamiento y manutención" xr:uid="{00000000-0004-0000-0000-00000D000000}"/>
    <hyperlink ref="A55:C55" location="honorarios" display="Valores de honorarios (prestadores de servicios)" xr:uid="{00000000-0004-0000-0000-00000E000000}"/>
    <hyperlink ref="A56:C56" location="jornal" display="Valores de jornales" xr:uid="{00000000-0004-0000-0000-00000F000000}"/>
    <hyperlink ref="A57:C57" location="salarios" display="Valores de salarios" xr:uid="{00000000-0004-0000-0000-000010000000}"/>
    <hyperlink ref="A58:C58" location="alimentación" display="Valores de alimentación" xr:uid="{00000000-0004-0000-0000-000011000000}"/>
    <hyperlink ref="A59:C59" location="distintivos" display="Valores de distintivos corporativos" xr:uid="{00000000-0004-0000-0000-000012000000}"/>
    <hyperlink ref="A40:C41" location="ppta" display="Propuesta económica" xr:uid="{00000000-0004-0000-0000-000013000000}"/>
    <hyperlink ref="A40:C40" location="PPTA2" display="Propuesta económica opción 2" xr:uid="{00000000-0004-0000-0000-000014000000}"/>
    <hyperlink ref="A41:C41" location="ppta3" display="Propuesta económica opción 3" xr:uid="{00000000-0004-0000-0000-000015000000}"/>
    <hyperlink ref="A16:C16" location="impg" display="Impuestos y garantías" xr:uid="{00000000-0004-0000-0000-000016000000}"/>
    <hyperlink ref="A44:C44" location="evafin" display="Verificación de requisitos habilitantes de los proponentes sobre capacidad financiera y organizacional" xr:uid="{00000000-0004-0000-0000-000017000000}"/>
    <hyperlink ref="A42:C42" location="PABCA" display="Estimación PAB comparación absoluta" xr:uid="{00000000-0004-0000-0000-000018000000}"/>
    <hyperlink ref="A45:C45" location="PABCR" display="Estimación PAB comparación relativa" xr:uid="{00000000-0004-0000-0000-000019000000}"/>
    <hyperlink ref="A17:C17" location="ANTI" display="Información anticipos" xr:uid="{00000000-0004-0000-0000-00001A000000}"/>
    <hyperlink ref="A19:C19" location="IVA" display="Información IVA" xr:uid="{00000000-0004-0000-0000-00001B000000}"/>
    <hyperlink ref="A20:C20" location="NPE" display="Notas propuesta económica" xr:uid="{00000000-0004-0000-0000-00001C000000}"/>
    <hyperlink ref="A21:C21" location="RFO" display="Requisitos habilitantes capacidad financiera y organizacional" xr:uid="{00000000-0004-0000-0000-00001D000000}"/>
    <hyperlink ref="A18:C18" location="CRK" display="Información procesos de obra y capacidad residual (K)" xr:uid="{00000000-0004-0000-0000-00001E000000}"/>
    <hyperlink ref="A15:C15" location="APOYO" display="Documentos de apoyo" xr:uid="{00000000-0004-0000-0000-00001F000000}"/>
    <hyperlink ref="A28:C28" location="PEPSP1" display="Plan de ejecución física y de inversiones - Prestación de Servicios Personales" xr:uid="{00000000-0004-0000-0000-000020000000}"/>
    <hyperlink ref="A30:C30" location="PPTOPSP" display="Presupuesto - Modalidad contrato - Prestación de Servicios Personales" xr:uid="{00000000-0004-0000-0000-000021000000}"/>
    <hyperlink ref="A37:C37" location="rele" display="Identificación de bienes nacionales relevantes" xr:uid="{00000000-0004-0000-0000-000022000000}"/>
    <hyperlink ref="A14:C14" location="CUANTIAS" display="Cuantías de contratación (por pluralidad de oferentes)" xr:uid="{00000000-0004-0000-0000-000023000000}"/>
  </hyperlinks>
  <printOptions horizontalCentered="1"/>
  <pageMargins left="0" right="0" top="0" bottom="0" header="0" footer="0"/>
  <pageSetup scale="79" fitToHeight="0"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5" tint="0.39997558519241921"/>
    <pageSetUpPr fitToPage="1"/>
  </sheetPr>
  <dimension ref="A1:AQ234"/>
  <sheetViews>
    <sheetView showGridLines="0" tabSelected="1" topLeftCell="A224" zoomScale="80" zoomScaleNormal="80" zoomScaleSheetLayoutView="80" workbookViewId="0">
      <selection activeCell="B232" sqref="B232"/>
    </sheetView>
  </sheetViews>
  <sheetFormatPr defaultColWidth="12" defaultRowHeight="18" customHeight="1"/>
  <cols>
    <col min="1" max="1" width="30.1640625" style="65" customWidth="1"/>
    <col min="2" max="2" width="52.5" style="65" customWidth="1"/>
    <col min="3" max="3" width="20.33203125" style="65" customWidth="1"/>
    <col min="4" max="4" width="19.6640625" style="91" customWidth="1"/>
    <col min="5" max="6" width="22.83203125" style="65" customWidth="1"/>
    <col min="7" max="7" width="20.5" style="65" customWidth="1"/>
    <col min="8" max="8" width="27.33203125" style="65" customWidth="1"/>
    <col min="9" max="10" width="22.83203125" style="65" customWidth="1"/>
    <col min="11" max="30" width="22.83203125" style="65" hidden="1" customWidth="1"/>
    <col min="31" max="31" width="22.83203125" style="65" customWidth="1"/>
    <col min="32" max="32" width="21.1640625" style="65" customWidth="1"/>
    <col min="33" max="268" width="12" style="65"/>
    <col min="269" max="269" width="16.33203125" style="65" customWidth="1"/>
    <col min="270" max="270" width="30.83203125" style="65" customWidth="1"/>
    <col min="271" max="271" width="15.1640625" style="65" customWidth="1"/>
    <col min="272" max="272" width="17" style="65" customWidth="1"/>
    <col min="273" max="273" width="16.33203125" style="65" customWidth="1"/>
    <col min="274" max="277" width="13" style="65" bestFit="1" customWidth="1"/>
    <col min="278" max="284" width="13" style="65" customWidth="1"/>
    <col min="285" max="285" width="13" style="65" bestFit="1" customWidth="1"/>
    <col min="286" max="286" width="17.5" style="65" customWidth="1"/>
    <col min="287" max="524" width="12" style="65"/>
    <col min="525" max="525" width="16.33203125" style="65" customWidth="1"/>
    <col min="526" max="526" width="30.83203125" style="65" customWidth="1"/>
    <col min="527" max="527" width="15.1640625" style="65" customWidth="1"/>
    <col min="528" max="528" width="17" style="65" customWidth="1"/>
    <col min="529" max="529" width="16.33203125" style="65" customWidth="1"/>
    <col min="530" max="533" width="13" style="65" bestFit="1" customWidth="1"/>
    <col min="534" max="540" width="13" style="65" customWidth="1"/>
    <col min="541" max="541" width="13" style="65" bestFit="1" customWidth="1"/>
    <col min="542" max="542" width="17.5" style="65" customWidth="1"/>
    <col min="543" max="780" width="12" style="65"/>
    <col min="781" max="781" width="16.33203125" style="65" customWidth="1"/>
    <col min="782" max="782" width="30.83203125" style="65" customWidth="1"/>
    <col min="783" max="783" width="15.1640625" style="65" customWidth="1"/>
    <col min="784" max="784" width="17" style="65" customWidth="1"/>
    <col min="785" max="785" width="16.33203125" style="65" customWidth="1"/>
    <col min="786" max="789" width="13" style="65" bestFit="1" customWidth="1"/>
    <col min="790" max="796" width="13" style="65" customWidth="1"/>
    <col min="797" max="797" width="13" style="65" bestFit="1" customWidth="1"/>
    <col min="798" max="798" width="17.5" style="65" customWidth="1"/>
    <col min="799" max="1036" width="12" style="65"/>
    <col min="1037" max="1037" width="16.33203125" style="65" customWidth="1"/>
    <col min="1038" max="1038" width="30.83203125" style="65" customWidth="1"/>
    <col min="1039" max="1039" width="15.1640625" style="65" customWidth="1"/>
    <col min="1040" max="1040" width="17" style="65" customWidth="1"/>
    <col min="1041" max="1041" width="16.33203125" style="65" customWidth="1"/>
    <col min="1042" max="1045" width="13" style="65" bestFit="1" customWidth="1"/>
    <col min="1046" max="1052" width="13" style="65" customWidth="1"/>
    <col min="1053" max="1053" width="13" style="65" bestFit="1" customWidth="1"/>
    <col min="1054" max="1054" width="17.5" style="65" customWidth="1"/>
    <col min="1055" max="1292" width="12" style="65"/>
    <col min="1293" max="1293" width="16.33203125" style="65" customWidth="1"/>
    <col min="1294" max="1294" width="30.83203125" style="65" customWidth="1"/>
    <col min="1295" max="1295" width="15.1640625" style="65" customWidth="1"/>
    <col min="1296" max="1296" width="17" style="65" customWidth="1"/>
    <col min="1297" max="1297" width="16.33203125" style="65" customWidth="1"/>
    <col min="1298" max="1301" width="13" style="65" bestFit="1" customWidth="1"/>
    <col min="1302" max="1308" width="13" style="65" customWidth="1"/>
    <col min="1309" max="1309" width="13" style="65" bestFit="1" customWidth="1"/>
    <col min="1310" max="1310" width="17.5" style="65" customWidth="1"/>
    <col min="1311" max="1548" width="12" style="65"/>
    <col min="1549" max="1549" width="16.33203125" style="65" customWidth="1"/>
    <col min="1550" max="1550" width="30.83203125" style="65" customWidth="1"/>
    <col min="1551" max="1551" width="15.1640625" style="65" customWidth="1"/>
    <col min="1552" max="1552" width="17" style="65" customWidth="1"/>
    <col min="1553" max="1553" width="16.33203125" style="65" customWidth="1"/>
    <col min="1554" max="1557" width="13" style="65" bestFit="1" customWidth="1"/>
    <col min="1558" max="1564" width="13" style="65" customWidth="1"/>
    <col min="1565" max="1565" width="13" style="65" bestFit="1" customWidth="1"/>
    <col min="1566" max="1566" width="17.5" style="65" customWidth="1"/>
    <col min="1567" max="1804" width="12" style="65"/>
    <col min="1805" max="1805" width="16.33203125" style="65" customWidth="1"/>
    <col min="1806" max="1806" width="30.83203125" style="65" customWidth="1"/>
    <col min="1807" max="1807" width="15.1640625" style="65" customWidth="1"/>
    <col min="1808" max="1808" width="17" style="65" customWidth="1"/>
    <col min="1809" max="1809" width="16.33203125" style="65" customWidth="1"/>
    <col min="1810" max="1813" width="13" style="65" bestFit="1" customWidth="1"/>
    <col min="1814" max="1820" width="13" style="65" customWidth="1"/>
    <col min="1821" max="1821" width="13" style="65" bestFit="1" customWidth="1"/>
    <col min="1822" max="1822" width="17.5" style="65" customWidth="1"/>
    <col min="1823" max="2060" width="12" style="65"/>
    <col min="2061" max="2061" width="16.33203125" style="65" customWidth="1"/>
    <col min="2062" max="2062" width="30.83203125" style="65" customWidth="1"/>
    <col min="2063" max="2063" width="15.1640625" style="65" customWidth="1"/>
    <col min="2064" max="2064" width="17" style="65" customWidth="1"/>
    <col min="2065" max="2065" width="16.33203125" style="65" customWidth="1"/>
    <col min="2066" max="2069" width="13" style="65" bestFit="1" customWidth="1"/>
    <col min="2070" max="2076" width="13" style="65" customWidth="1"/>
    <col min="2077" max="2077" width="13" style="65" bestFit="1" customWidth="1"/>
    <col min="2078" max="2078" width="17.5" style="65" customWidth="1"/>
    <col min="2079" max="2316" width="12" style="65"/>
    <col min="2317" max="2317" width="16.33203125" style="65" customWidth="1"/>
    <col min="2318" max="2318" width="30.83203125" style="65" customWidth="1"/>
    <col min="2319" max="2319" width="15.1640625" style="65" customWidth="1"/>
    <col min="2320" max="2320" width="17" style="65" customWidth="1"/>
    <col min="2321" max="2321" width="16.33203125" style="65" customWidth="1"/>
    <col min="2322" max="2325" width="13" style="65" bestFit="1" customWidth="1"/>
    <col min="2326" max="2332" width="13" style="65" customWidth="1"/>
    <col min="2333" max="2333" width="13" style="65" bestFit="1" customWidth="1"/>
    <col min="2334" max="2334" width="17.5" style="65" customWidth="1"/>
    <col min="2335" max="2572" width="12" style="65"/>
    <col min="2573" max="2573" width="16.33203125" style="65" customWidth="1"/>
    <col min="2574" max="2574" width="30.83203125" style="65" customWidth="1"/>
    <col min="2575" max="2575" width="15.1640625" style="65" customWidth="1"/>
    <col min="2576" max="2576" width="17" style="65" customWidth="1"/>
    <col min="2577" max="2577" width="16.33203125" style="65" customWidth="1"/>
    <col min="2578" max="2581" width="13" style="65" bestFit="1" customWidth="1"/>
    <col min="2582" max="2588" width="13" style="65" customWidth="1"/>
    <col min="2589" max="2589" width="13" style="65" bestFit="1" customWidth="1"/>
    <col min="2590" max="2590" width="17.5" style="65" customWidth="1"/>
    <col min="2591" max="2828" width="12" style="65"/>
    <col min="2829" max="2829" width="16.33203125" style="65" customWidth="1"/>
    <col min="2830" max="2830" width="30.83203125" style="65" customWidth="1"/>
    <col min="2831" max="2831" width="15.1640625" style="65" customWidth="1"/>
    <col min="2832" max="2832" width="17" style="65" customWidth="1"/>
    <col min="2833" max="2833" width="16.33203125" style="65" customWidth="1"/>
    <col min="2834" max="2837" width="13" style="65" bestFit="1" customWidth="1"/>
    <col min="2838" max="2844" width="13" style="65" customWidth="1"/>
    <col min="2845" max="2845" width="13" style="65" bestFit="1" customWidth="1"/>
    <col min="2846" max="2846" width="17.5" style="65" customWidth="1"/>
    <col min="2847" max="3084" width="12" style="65"/>
    <col min="3085" max="3085" width="16.33203125" style="65" customWidth="1"/>
    <col min="3086" max="3086" width="30.83203125" style="65" customWidth="1"/>
    <col min="3087" max="3087" width="15.1640625" style="65" customWidth="1"/>
    <col min="3088" max="3088" width="17" style="65" customWidth="1"/>
    <col min="3089" max="3089" width="16.33203125" style="65" customWidth="1"/>
    <col min="3090" max="3093" width="13" style="65" bestFit="1" customWidth="1"/>
    <col min="3094" max="3100" width="13" style="65" customWidth="1"/>
    <col min="3101" max="3101" width="13" style="65" bestFit="1" customWidth="1"/>
    <col min="3102" max="3102" width="17.5" style="65" customWidth="1"/>
    <col min="3103" max="3340" width="12" style="65"/>
    <col min="3341" max="3341" width="16.33203125" style="65" customWidth="1"/>
    <col min="3342" max="3342" width="30.83203125" style="65" customWidth="1"/>
    <col min="3343" max="3343" width="15.1640625" style="65" customWidth="1"/>
    <col min="3344" max="3344" width="17" style="65" customWidth="1"/>
    <col min="3345" max="3345" width="16.33203125" style="65" customWidth="1"/>
    <col min="3346" max="3349" width="13" style="65" bestFit="1" customWidth="1"/>
    <col min="3350" max="3356" width="13" style="65" customWidth="1"/>
    <col min="3357" max="3357" width="13" style="65" bestFit="1" customWidth="1"/>
    <col min="3358" max="3358" width="17.5" style="65" customWidth="1"/>
    <col min="3359" max="3596" width="12" style="65"/>
    <col min="3597" max="3597" width="16.33203125" style="65" customWidth="1"/>
    <col min="3598" max="3598" width="30.83203125" style="65" customWidth="1"/>
    <col min="3599" max="3599" width="15.1640625" style="65" customWidth="1"/>
    <col min="3600" max="3600" width="17" style="65" customWidth="1"/>
    <col min="3601" max="3601" width="16.33203125" style="65" customWidth="1"/>
    <col min="3602" max="3605" width="13" style="65" bestFit="1" customWidth="1"/>
    <col min="3606" max="3612" width="13" style="65" customWidth="1"/>
    <col min="3613" max="3613" width="13" style="65" bestFit="1" customWidth="1"/>
    <col min="3614" max="3614" width="17.5" style="65" customWidth="1"/>
    <col min="3615" max="3852" width="12" style="65"/>
    <col min="3853" max="3853" width="16.33203125" style="65" customWidth="1"/>
    <col min="3854" max="3854" width="30.83203125" style="65" customWidth="1"/>
    <col min="3855" max="3855" width="15.1640625" style="65" customWidth="1"/>
    <col min="3856" max="3856" width="17" style="65" customWidth="1"/>
    <col min="3857" max="3857" width="16.33203125" style="65" customWidth="1"/>
    <col min="3858" max="3861" width="13" style="65" bestFit="1" customWidth="1"/>
    <col min="3862" max="3868" width="13" style="65" customWidth="1"/>
    <col min="3869" max="3869" width="13" style="65" bestFit="1" customWidth="1"/>
    <col min="3870" max="3870" width="17.5" style="65" customWidth="1"/>
    <col min="3871" max="4108" width="12" style="65"/>
    <col min="4109" max="4109" width="16.33203125" style="65" customWidth="1"/>
    <col min="4110" max="4110" width="30.83203125" style="65" customWidth="1"/>
    <col min="4111" max="4111" width="15.1640625" style="65" customWidth="1"/>
    <col min="4112" max="4112" width="17" style="65" customWidth="1"/>
    <col min="4113" max="4113" width="16.33203125" style="65" customWidth="1"/>
    <col min="4114" max="4117" width="13" style="65" bestFit="1" customWidth="1"/>
    <col min="4118" max="4124" width="13" style="65" customWidth="1"/>
    <col min="4125" max="4125" width="13" style="65" bestFit="1" customWidth="1"/>
    <col min="4126" max="4126" width="17.5" style="65" customWidth="1"/>
    <col min="4127" max="4364" width="12" style="65"/>
    <col min="4365" max="4365" width="16.33203125" style="65" customWidth="1"/>
    <col min="4366" max="4366" width="30.83203125" style="65" customWidth="1"/>
    <col min="4367" max="4367" width="15.1640625" style="65" customWidth="1"/>
    <col min="4368" max="4368" width="17" style="65" customWidth="1"/>
    <col min="4369" max="4369" width="16.33203125" style="65" customWidth="1"/>
    <col min="4370" max="4373" width="13" style="65" bestFit="1" customWidth="1"/>
    <col min="4374" max="4380" width="13" style="65" customWidth="1"/>
    <col min="4381" max="4381" width="13" style="65" bestFit="1" customWidth="1"/>
    <col min="4382" max="4382" width="17.5" style="65" customWidth="1"/>
    <col min="4383" max="4620" width="12" style="65"/>
    <col min="4621" max="4621" width="16.33203125" style="65" customWidth="1"/>
    <col min="4622" max="4622" width="30.83203125" style="65" customWidth="1"/>
    <col min="4623" max="4623" width="15.1640625" style="65" customWidth="1"/>
    <col min="4624" max="4624" width="17" style="65" customWidth="1"/>
    <col min="4625" max="4625" width="16.33203125" style="65" customWidth="1"/>
    <col min="4626" max="4629" width="13" style="65" bestFit="1" customWidth="1"/>
    <col min="4630" max="4636" width="13" style="65" customWidth="1"/>
    <col min="4637" max="4637" width="13" style="65" bestFit="1" customWidth="1"/>
    <col min="4638" max="4638" width="17.5" style="65" customWidth="1"/>
    <col min="4639" max="4876" width="12" style="65"/>
    <col min="4877" max="4877" width="16.33203125" style="65" customWidth="1"/>
    <col min="4878" max="4878" width="30.83203125" style="65" customWidth="1"/>
    <col min="4879" max="4879" width="15.1640625" style="65" customWidth="1"/>
    <col min="4880" max="4880" width="17" style="65" customWidth="1"/>
    <col min="4881" max="4881" width="16.33203125" style="65" customWidth="1"/>
    <col min="4882" max="4885" width="13" style="65" bestFit="1" customWidth="1"/>
    <col min="4886" max="4892" width="13" style="65" customWidth="1"/>
    <col min="4893" max="4893" width="13" style="65" bestFit="1" customWidth="1"/>
    <col min="4894" max="4894" width="17.5" style="65" customWidth="1"/>
    <col min="4895" max="5132" width="12" style="65"/>
    <col min="5133" max="5133" width="16.33203125" style="65" customWidth="1"/>
    <col min="5134" max="5134" width="30.83203125" style="65" customWidth="1"/>
    <col min="5135" max="5135" width="15.1640625" style="65" customWidth="1"/>
    <col min="5136" max="5136" width="17" style="65" customWidth="1"/>
    <col min="5137" max="5137" width="16.33203125" style="65" customWidth="1"/>
    <col min="5138" max="5141" width="13" style="65" bestFit="1" customWidth="1"/>
    <col min="5142" max="5148" width="13" style="65" customWidth="1"/>
    <col min="5149" max="5149" width="13" style="65" bestFit="1" customWidth="1"/>
    <col min="5150" max="5150" width="17.5" style="65" customWidth="1"/>
    <col min="5151" max="5388" width="12" style="65"/>
    <col min="5389" max="5389" width="16.33203125" style="65" customWidth="1"/>
    <col min="5390" max="5390" width="30.83203125" style="65" customWidth="1"/>
    <col min="5391" max="5391" width="15.1640625" style="65" customWidth="1"/>
    <col min="5392" max="5392" width="17" style="65" customWidth="1"/>
    <col min="5393" max="5393" width="16.33203125" style="65" customWidth="1"/>
    <col min="5394" max="5397" width="13" style="65" bestFit="1" customWidth="1"/>
    <col min="5398" max="5404" width="13" style="65" customWidth="1"/>
    <col min="5405" max="5405" width="13" style="65" bestFit="1" customWidth="1"/>
    <col min="5406" max="5406" width="17.5" style="65" customWidth="1"/>
    <col min="5407" max="5644" width="12" style="65"/>
    <col min="5645" max="5645" width="16.33203125" style="65" customWidth="1"/>
    <col min="5646" max="5646" width="30.83203125" style="65" customWidth="1"/>
    <col min="5647" max="5647" width="15.1640625" style="65" customWidth="1"/>
    <col min="5648" max="5648" width="17" style="65" customWidth="1"/>
    <col min="5649" max="5649" width="16.33203125" style="65" customWidth="1"/>
    <col min="5650" max="5653" width="13" style="65" bestFit="1" customWidth="1"/>
    <col min="5654" max="5660" width="13" style="65" customWidth="1"/>
    <col min="5661" max="5661" width="13" style="65" bestFit="1" customWidth="1"/>
    <col min="5662" max="5662" width="17.5" style="65" customWidth="1"/>
    <col min="5663" max="5900" width="12" style="65"/>
    <col min="5901" max="5901" width="16.33203125" style="65" customWidth="1"/>
    <col min="5902" max="5902" width="30.83203125" style="65" customWidth="1"/>
    <col min="5903" max="5903" width="15.1640625" style="65" customWidth="1"/>
    <col min="5904" max="5904" width="17" style="65" customWidth="1"/>
    <col min="5905" max="5905" width="16.33203125" style="65" customWidth="1"/>
    <col min="5906" max="5909" width="13" style="65" bestFit="1" customWidth="1"/>
    <col min="5910" max="5916" width="13" style="65" customWidth="1"/>
    <col min="5917" max="5917" width="13" style="65" bestFit="1" customWidth="1"/>
    <col min="5918" max="5918" width="17.5" style="65" customWidth="1"/>
    <col min="5919" max="6156" width="12" style="65"/>
    <col min="6157" max="6157" width="16.33203125" style="65" customWidth="1"/>
    <col min="6158" max="6158" width="30.83203125" style="65" customWidth="1"/>
    <col min="6159" max="6159" width="15.1640625" style="65" customWidth="1"/>
    <col min="6160" max="6160" width="17" style="65" customWidth="1"/>
    <col min="6161" max="6161" width="16.33203125" style="65" customWidth="1"/>
    <col min="6162" max="6165" width="13" style="65" bestFit="1" customWidth="1"/>
    <col min="6166" max="6172" width="13" style="65" customWidth="1"/>
    <col min="6173" max="6173" width="13" style="65" bestFit="1" customWidth="1"/>
    <col min="6174" max="6174" width="17.5" style="65" customWidth="1"/>
    <col min="6175" max="6412" width="12" style="65"/>
    <col min="6413" max="6413" width="16.33203125" style="65" customWidth="1"/>
    <col min="6414" max="6414" width="30.83203125" style="65" customWidth="1"/>
    <col min="6415" max="6415" width="15.1640625" style="65" customWidth="1"/>
    <col min="6416" max="6416" width="17" style="65" customWidth="1"/>
    <col min="6417" max="6417" width="16.33203125" style="65" customWidth="1"/>
    <col min="6418" max="6421" width="13" style="65" bestFit="1" customWidth="1"/>
    <col min="6422" max="6428" width="13" style="65" customWidth="1"/>
    <col min="6429" max="6429" width="13" style="65" bestFit="1" customWidth="1"/>
    <col min="6430" max="6430" width="17.5" style="65" customWidth="1"/>
    <col min="6431" max="6668" width="12" style="65"/>
    <col min="6669" max="6669" width="16.33203125" style="65" customWidth="1"/>
    <col min="6670" max="6670" width="30.83203125" style="65" customWidth="1"/>
    <col min="6671" max="6671" width="15.1640625" style="65" customWidth="1"/>
    <col min="6672" max="6672" width="17" style="65" customWidth="1"/>
    <col min="6673" max="6673" width="16.33203125" style="65" customWidth="1"/>
    <col min="6674" max="6677" width="13" style="65" bestFit="1" customWidth="1"/>
    <col min="6678" max="6684" width="13" style="65" customWidth="1"/>
    <col min="6685" max="6685" width="13" style="65" bestFit="1" customWidth="1"/>
    <col min="6686" max="6686" width="17.5" style="65" customWidth="1"/>
    <col min="6687" max="6924" width="12" style="65"/>
    <col min="6925" max="6925" width="16.33203125" style="65" customWidth="1"/>
    <col min="6926" max="6926" width="30.83203125" style="65" customWidth="1"/>
    <col min="6927" max="6927" width="15.1640625" style="65" customWidth="1"/>
    <col min="6928" max="6928" width="17" style="65" customWidth="1"/>
    <col min="6929" max="6929" width="16.33203125" style="65" customWidth="1"/>
    <col min="6930" max="6933" width="13" style="65" bestFit="1" customWidth="1"/>
    <col min="6934" max="6940" width="13" style="65" customWidth="1"/>
    <col min="6941" max="6941" width="13" style="65" bestFit="1" customWidth="1"/>
    <col min="6942" max="6942" width="17.5" style="65" customWidth="1"/>
    <col min="6943" max="7180" width="12" style="65"/>
    <col min="7181" max="7181" width="16.33203125" style="65" customWidth="1"/>
    <col min="7182" max="7182" width="30.83203125" style="65" customWidth="1"/>
    <col min="7183" max="7183" width="15.1640625" style="65" customWidth="1"/>
    <col min="7184" max="7184" width="17" style="65" customWidth="1"/>
    <col min="7185" max="7185" width="16.33203125" style="65" customWidth="1"/>
    <col min="7186" max="7189" width="13" style="65" bestFit="1" customWidth="1"/>
    <col min="7190" max="7196" width="13" style="65" customWidth="1"/>
    <col min="7197" max="7197" width="13" style="65" bestFit="1" customWidth="1"/>
    <col min="7198" max="7198" width="17.5" style="65" customWidth="1"/>
    <col min="7199" max="7436" width="12" style="65"/>
    <col min="7437" max="7437" width="16.33203125" style="65" customWidth="1"/>
    <col min="7438" max="7438" width="30.83203125" style="65" customWidth="1"/>
    <col min="7439" max="7439" width="15.1640625" style="65" customWidth="1"/>
    <col min="7440" max="7440" width="17" style="65" customWidth="1"/>
    <col min="7441" max="7441" width="16.33203125" style="65" customWidth="1"/>
    <col min="7442" max="7445" width="13" style="65" bestFit="1" customWidth="1"/>
    <col min="7446" max="7452" width="13" style="65" customWidth="1"/>
    <col min="7453" max="7453" width="13" style="65" bestFit="1" customWidth="1"/>
    <col min="7454" max="7454" width="17.5" style="65" customWidth="1"/>
    <col min="7455" max="7692" width="12" style="65"/>
    <col min="7693" max="7693" width="16.33203125" style="65" customWidth="1"/>
    <col min="7694" max="7694" width="30.83203125" style="65" customWidth="1"/>
    <col min="7695" max="7695" width="15.1640625" style="65" customWidth="1"/>
    <col min="7696" max="7696" width="17" style="65" customWidth="1"/>
    <col min="7697" max="7697" width="16.33203125" style="65" customWidth="1"/>
    <col min="7698" max="7701" width="13" style="65" bestFit="1" customWidth="1"/>
    <col min="7702" max="7708" width="13" style="65" customWidth="1"/>
    <col min="7709" max="7709" width="13" style="65" bestFit="1" customWidth="1"/>
    <col min="7710" max="7710" width="17.5" style="65" customWidth="1"/>
    <col min="7711" max="7948" width="12" style="65"/>
    <col min="7949" max="7949" width="16.33203125" style="65" customWidth="1"/>
    <col min="7950" max="7950" width="30.83203125" style="65" customWidth="1"/>
    <col min="7951" max="7951" width="15.1640625" style="65" customWidth="1"/>
    <col min="7952" max="7952" width="17" style="65" customWidth="1"/>
    <col min="7953" max="7953" width="16.33203125" style="65" customWidth="1"/>
    <col min="7954" max="7957" width="13" style="65" bestFit="1" customWidth="1"/>
    <col min="7958" max="7964" width="13" style="65" customWidth="1"/>
    <col min="7965" max="7965" width="13" style="65" bestFit="1" customWidth="1"/>
    <col min="7966" max="7966" width="17.5" style="65" customWidth="1"/>
    <col min="7967" max="8204" width="12" style="65"/>
    <col min="8205" max="8205" width="16.33203125" style="65" customWidth="1"/>
    <col min="8206" max="8206" width="30.83203125" style="65" customWidth="1"/>
    <col min="8207" max="8207" width="15.1640625" style="65" customWidth="1"/>
    <col min="8208" max="8208" width="17" style="65" customWidth="1"/>
    <col min="8209" max="8209" width="16.33203125" style="65" customWidth="1"/>
    <col min="8210" max="8213" width="13" style="65" bestFit="1" customWidth="1"/>
    <col min="8214" max="8220" width="13" style="65" customWidth="1"/>
    <col min="8221" max="8221" width="13" style="65" bestFit="1" customWidth="1"/>
    <col min="8222" max="8222" width="17.5" style="65" customWidth="1"/>
    <col min="8223" max="8460" width="12" style="65"/>
    <col min="8461" max="8461" width="16.33203125" style="65" customWidth="1"/>
    <col min="8462" max="8462" width="30.83203125" style="65" customWidth="1"/>
    <col min="8463" max="8463" width="15.1640625" style="65" customWidth="1"/>
    <col min="8464" max="8464" width="17" style="65" customWidth="1"/>
    <col min="8465" max="8465" width="16.33203125" style="65" customWidth="1"/>
    <col min="8466" max="8469" width="13" style="65" bestFit="1" customWidth="1"/>
    <col min="8470" max="8476" width="13" style="65" customWidth="1"/>
    <col min="8477" max="8477" width="13" style="65" bestFit="1" customWidth="1"/>
    <col min="8478" max="8478" width="17.5" style="65" customWidth="1"/>
    <col min="8479" max="8716" width="12" style="65"/>
    <col min="8717" max="8717" width="16.33203125" style="65" customWidth="1"/>
    <col min="8718" max="8718" width="30.83203125" style="65" customWidth="1"/>
    <col min="8719" max="8719" width="15.1640625" style="65" customWidth="1"/>
    <col min="8720" max="8720" width="17" style="65" customWidth="1"/>
    <col min="8721" max="8721" width="16.33203125" style="65" customWidth="1"/>
    <col min="8722" max="8725" width="13" style="65" bestFit="1" customWidth="1"/>
    <col min="8726" max="8732" width="13" style="65" customWidth="1"/>
    <col min="8733" max="8733" width="13" style="65" bestFit="1" customWidth="1"/>
    <col min="8734" max="8734" width="17.5" style="65" customWidth="1"/>
    <col min="8735" max="8972" width="12" style="65"/>
    <col min="8973" max="8973" width="16.33203125" style="65" customWidth="1"/>
    <col min="8974" max="8974" width="30.83203125" style="65" customWidth="1"/>
    <col min="8975" max="8975" width="15.1640625" style="65" customWidth="1"/>
    <col min="8976" max="8976" width="17" style="65" customWidth="1"/>
    <col min="8977" max="8977" width="16.33203125" style="65" customWidth="1"/>
    <col min="8978" max="8981" width="13" style="65" bestFit="1" customWidth="1"/>
    <col min="8982" max="8988" width="13" style="65" customWidth="1"/>
    <col min="8989" max="8989" width="13" style="65" bestFit="1" customWidth="1"/>
    <col min="8990" max="8990" width="17.5" style="65" customWidth="1"/>
    <col min="8991" max="9228" width="12" style="65"/>
    <col min="9229" max="9229" width="16.33203125" style="65" customWidth="1"/>
    <col min="9230" max="9230" width="30.83203125" style="65" customWidth="1"/>
    <col min="9231" max="9231" width="15.1640625" style="65" customWidth="1"/>
    <col min="9232" max="9232" width="17" style="65" customWidth="1"/>
    <col min="9233" max="9233" width="16.33203125" style="65" customWidth="1"/>
    <col min="9234" max="9237" width="13" style="65" bestFit="1" customWidth="1"/>
    <col min="9238" max="9244" width="13" style="65" customWidth="1"/>
    <col min="9245" max="9245" width="13" style="65" bestFit="1" customWidth="1"/>
    <col min="9246" max="9246" width="17.5" style="65" customWidth="1"/>
    <col min="9247" max="9484" width="12" style="65"/>
    <col min="9485" max="9485" width="16.33203125" style="65" customWidth="1"/>
    <col min="9486" max="9486" width="30.83203125" style="65" customWidth="1"/>
    <col min="9487" max="9487" width="15.1640625" style="65" customWidth="1"/>
    <col min="9488" max="9488" width="17" style="65" customWidth="1"/>
    <col min="9489" max="9489" width="16.33203125" style="65" customWidth="1"/>
    <col min="9490" max="9493" width="13" style="65" bestFit="1" customWidth="1"/>
    <col min="9494" max="9500" width="13" style="65" customWidth="1"/>
    <col min="9501" max="9501" width="13" style="65" bestFit="1" customWidth="1"/>
    <col min="9502" max="9502" width="17.5" style="65" customWidth="1"/>
    <col min="9503" max="9740" width="12" style="65"/>
    <col min="9741" max="9741" width="16.33203125" style="65" customWidth="1"/>
    <col min="9742" max="9742" width="30.83203125" style="65" customWidth="1"/>
    <col min="9743" max="9743" width="15.1640625" style="65" customWidth="1"/>
    <col min="9744" max="9744" width="17" style="65" customWidth="1"/>
    <col min="9745" max="9745" width="16.33203125" style="65" customWidth="1"/>
    <col min="9746" max="9749" width="13" style="65" bestFit="1" customWidth="1"/>
    <col min="9750" max="9756" width="13" style="65" customWidth="1"/>
    <col min="9757" max="9757" width="13" style="65" bestFit="1" customWidth="1"/>
    <col min="9758" max="9758" width="17.5" style="65" customWidth="1"/>
    <col min="9759" max="9996" width="12" style="65"/>
    <col min="9997" max="9997" width="16.33203125" style="65" customWidth="1"/>
    <col min="9998" max="9998" width="30.83203125" style="65" customWidth="1"/>
    <col min="9999" max="9999" width="15.1640625" style="65" customWidth="1"/>
    <col min="10000" max="10000" width="17" style="65" customWidth="1"/>
    <col min="10001" max="10001" width="16.33203125" style="65" customWidth="1"/>
    <col min="10002" max="10005" width="13" style="65" bestFit="1" customWidth="1"/>
    <col min="10006" max="10012" width="13" style="65" customWidth="1"/>
    <col min="10013" max="10013" width="13" style="65" bestFit="1" customWidth="1"/>
    <col min="10014" max="10014" width="17.5" style="65" customWidth="1"/>
    <col min="10015" max="10252" width="12" style="65"/>
    <col min="10253" max="10253" width="16.33203125" style="65" customWidth="1"/>
    <col min="10254" max="10254" width="30.83203125" style="65" customWidth="1"/>
    <col min="10255" max="10255" width="15.1640625" style="65" customWidth="1"/>
    <col min="10256" max="10256" width="17" style="65" customWidth="1"/>
    <col min="10257" max="10257" width="16.33203125" style="65" customWidth="1"/>
    <col min="10258" max="10261" width="13" style="65" bestFit="1" customWidth="1"/>
    <col min="10262" max="10268" width="13" style="65" customWidth="1"/>
    <col min="10269" max="10269" width="13" style="65" bestFit="1" customWidth="1"/>
    <col min="10270" max="10270" width="17.5" style="65" customWidth="1"/>
    <col min="10271" max="10508" width="12" style="65"/>
    <col min="10509" max="10509" width="16.33203125" style="65" customWidth="1"/>
    <col min="10510" max="10510" width="30.83203125" style="65" customWidth="1"/>
    <col min="10511" max="10511" width="15.1640625" style="65" customWidth="1"/>
    <col min="10512" max="10512" width="17" style="65" customWidth="1"/>
    <col min="10513" max="10513" width="16.33203125" style="65" customWidth="1"/>
    <col min="10514" max="10517" width="13" style="65" bestFit="1" customWidth="1"/>
    <col min="10518" max="10524" width="13" style="65" customWidth="1"/>
    <col min="10525" max="10525" width="13" style="65" bestFit="1" customWidth="1"/>
    <col min="10526" max="10526" width="17.5" style="65" customWidth="1"/>
    <col min="10527" max="10764" width="12" style="65"/>
    <col min="10765" max="10765" width="16.33203125" style="65" customWidth="1"/>
    <col min="10766" max="10766" width="30.83203125" style="65" customWidth="1"/>
    <col min="10767" max="10767" width="15.1640625" style="65" customWidth="1"/>
    <col min="10768" max="10768" width="17" style="65" customWidth="1"/>
    <col min="10769" max="10769" width="16.33203125" style="65" customWidth="1"/>
    <col min="10770" max="10773" width="13" style="65" bestFit="1" customWidth="1"/>
    <col min="10774" max="10780" width="13" style="65" customWidth="1"/>
    <col min="10781" max="10781" width="13" style="65" bestFit="1" customWidth="1"/>
    <col min="10782" max="10782" width="17.5" style="65" customWidth="1"/>
    <col min="10783" max="11020" width="12" style="65"/>
    <col min="11021" max="11021" width="16.33203125" style="65" customWidth="1"/>
    <col min="11022" max="11022" width="30.83203125" style="65" customWidth="1"/>
    <col min="11023" max="11023" width="15.1640625" style="65" customWidth="1"/>
    <col min="11024" max="11024" width="17" style="65" customWidth="1"/>
    <col min="11025" max="11025" width="16.33203125" style="65" customWidth="1"/>
    <col min="11026" max="11029" width="13" style="65" bestFit="1" customWidth="1"/>
    <col min="11030" max="11036" width="13" style="65" customWidth="1"/>
    <col min="11037" max="11037" width="13" style="65" bestFit="1" customWidth="1"/>
    <col min="11038" max="11038" width="17.5" style="65" customWidth="1"/>
    <col min="11039" max="11276" width="12" style="65"/>
    <col min="11277" max="11277" width="16.33203125" style="65" customWidth="1"/>
    <col min="11278" max="11278" width="30.83203125" style="65" customWidth="1"/>
    <col min="11279" max="11279" width="15.1640625" style="65" customWidth="1"/>
    <col min="11280" max="11280" width="17" style="65" customWidth="1"/>
    <col min="11281" max="11281" width="16.33203125" style="65" customWidth="1"/>
    <col min="11282" max="11285" width="13" style="65" bestFit="1" customWidth="1"/>
    <col min="11286" max="11292" width="13" style="65" customWidth="1"/>
    <col min="11293" max="11293" width="13" style="65" bestFit="1" customWidth="1"/>
    <col min="11294" max="11294" width="17.5" style="65" customWidth="1"/>
    <col min="11295" max="11532" width="12" style="65"/>
    <col min="11533" max="11533" width="16.33203125" style="65" customWidth="1"/>
    <col min="11534" max="11534" width="30.83203125" style="65" customWidth="1"/>
    <col min="11535" max="11535" width="15.1640625" style="65" customWidth="1"/>
    <col min="11536" max="11536" width="17" style="65" customWidth="1"/>
    <col min="11537" max="11537" width="16.33203125" style="65" customWidth="1"/>
    <col min="11538" max="11541" width="13" style="65" bestFit="1" customWidth="1"/>
    <col min="11542" max="11548" width="13" style="65" customWidth="1"/>
    <col min="11549" max="11549" width="13" style="65" bestFit="1" customWidth="1"/>
    <col min="11550" max="11550" width="17.5" style="65" customWidth="1"/>
    <col min="11551" max="11788" width="12" style="65"/>
    <col min="11789" max="11789" width="16.33203125" style="65" customWidth="1"/>
    <col min="11790" max="11790" width="30.83203125" style="65" customWidth="1"/>
    <col min="11791" max="11791" width="15.1640625" style="65" customWidth="1"/>
    <col min="11792" max="11792" width="17" style="65" customWidth="1"/>
    <col min="11793" max="11793" width="16.33203125" style="65" customWidth="1"/>
    <col min="11794" max="11797" width="13" style="65" bestFit="1" customWidth="1"/>
    <col min="11798" max="11804" width="13" style="65" customWidth="1"/>
    <col min="11805" max="11805" width="13" style="65" bestFit="1" customWidth="1"/>
    <col min="11806" max="11806" width="17.5" style="65" customWidth="1"/>
    <col min="11807" max="12044" width="12" style="65"/>
    <col min="12045" max="12045" width="16.33203125" style="65" customWidth="1"/>
    <col min="12046" max="12046" width="30.83203125" style="65" customWidth="1"/>
    <col min="12047" max="12047" width="15.1640625" style="65" customWidth="1"/>
    <col min="12048" max="12048" width="17" style="65" customWidth="1"/>
    <col min="12049" max="12049" width="16.33203125" style="65" customWidth="1"/>
    <col min="12050" max="12053" width="13" style="65" bestFit="1" customWidth="1"/>
    <col min="12054" max="12060" width="13" style="65" customWidth="1"/>
    <col min="12061" max="12061" width="13" style="65" bestFit="1" customWidth="1"/>
    <col min="12062" max="12062" width="17.5" style="65" customWidth="1"/>
    <col min="12063" max="12300" width="12" style="65"/>
    <col min="12301" max="12301" width="16.33203125" style="65" customWidth="1"/>
    <col min="12302" max="12302" width="30.83203125" style="65" customWidth="1"/>
    <col min="12303" max="12303" width="15.1640625" style="65" customWidth="1"/>
    <col min="12304" max="12304" width="17" style="65" customWidth="1"/>
    <col min="12305" max="12305" width="16.33203125" style="65" customWidth="1"/>
    <col min="12306" max="12309" width="13" style="65" bestFit="1" customWidth="1"/>
    <col min="12310" max="12316" width="13" style="65" customWidth="1"/>
    <col min="12317" max="12317" width="13" style="65" bestFit="1" customWidth="1"/>
    <col min="12318" max="12318" width="17.5" style="65" customWidth="1"/>
    <col min="12319" max="12556" width="12" style="65"/>
    <col min="12557" max="12557" width="16.33203125" style="65" customWidth="1"/>
    <col min="12558" max="12558" width="30.83203125" style="65" customWidth="1"/>
    <col min="12559" max="12559" width="15.1640625" style="65" customWidth="1"/>
    <col min="12560" max="12560" width="17" style="65" customWidth="1"/>
    <col min="12561" max="12561" width="16.33203125" style="65" customWidth="1"/>
    <col min="12562" max="12565" width="13" style="65" bestFit="1" customWidth="1"/>
    <col min="12566" max="12572" width="13" style="65" customWidth="1"/>
    <col min="12573" max="12573" width="13" style="65" bestFit="1" customWidth="1"/>
    <col min="12574" max="12574" width="17.5" style="65" customWidth="1"/>
    <col min="12575" max="12812" width="12" style="65"/>
    <col min="12813" max="12813" width="16.33203125" style="65" customWidth="1"/>
    <col min="12814" max="12814" width="30.83203125" style="65" customWidth="1"/>
    <col min="12815" max="12815" width="15.1640625" style="65" customWidth="1"/>
    <col min="12816" max="12816" width="17" style="65" customWidth="1"/>
    <col min="12817" max="12817" width="16.33203125" style="65" customWidth="1"/>
    <col min="12818" max="12821" width="13" style="65" bestFit="1" customWidth="1"/>
    <col min="12822" max="12828" width="13" style="65" customWidth="1"/>
    <col min="12829" max="12829" width="13" style="65" bestFit="1" customWidth="1"/>
    <col min="12830" max="12830" width="17.5" style="65" customWidth="1"/>
    <col min="12831" max="13068" width="12" style="65"/>
    <col min="13069" max="13069" width="16.33203125" style="65" customWidth="1"/>
    <col min="13070" max="13070" width="30.83203125" style="65" customWidth="1"/>
    <col min="13071" max="13071" width="15.1640625" style="65" customWidth="1"/>
    <col min="13072" max="13072" width="17" style="65" customWidth="1"/>
    <col min="13073" max="13073" width="16.33203125" style="65" customWidth="1"/>
    <col min="13074" max="13077" width="13" style="65" bestFit="1" customWidth="1"/>
    <col min="13078" max="13084" width="13" style="65" customWidth="1"/>
    <col min="13085" max="13085" width="13" style="65" bestFit="1" customWidth="1"/>
    <col min="13086" max="13086" width="17.5" style="65" customWidth="1"/>
    <col min="13087" max="13324" width="12" style="65"/>
    <col min="13325" max="13325" width="16.33203125" style="65" customWidth="1"/>
    <col min="13326" max="13326" width="30.83203125" style="65" customWidth="1"/>
    <col min="13327" max="13327" width="15.1640625" style="65" customWidth="1"/>
    <col min="13328" max="13328" width="17" style="65" customWidth="1"/>
    <col min="13329" max="13329" width="16.33203125" style="65" customWidth="1"/>
    <col min="13330" max="13333" width="13" style="65" bestFit="1" customWidth="1"/>
    <col min="13334" max="13340" width="13" style="65" customWidth="1"/>
    <col min="13341" max="13341" width="13" style="65" bestFit="1" customWidth="1"/>
    <col min="13342" max="13342" width="17.5" style="65" customWidth="1"/>
    <col min="13343" max="13580" width="12" style="65"/>
    <col min="13581" max="13581" width="16.33203125" style="65" customWidth="1"/>
    <col min="13582" max="13582" width="30.83203125" style="65" customWidth="1"/>
    <col min="13583" max="13583" width="15.1640625" style="65" customWidth="1"/>
    <col min="13584" max="13584" width="17" style="65" customWidth="1"/>
    <col min="13585" max="13585" width="16.33203125" style="65" customWidth="1"/>
    <col min="13586" max="13589" width="13" style="65" bestFit="1" customWidth="1"/>
    <col min="13590" max="13596" width="13" style="65" customWidth="1"/>
    <col min="13597" max="13597" width="13" style="65" bestFit="1" customWidth="1"/>
    <col min="13598" max="13598" width="17.5" style="65" customWidth="1"/>
    <col min="13599" max="13836" width="12" style="65"/>
    <col min="13837" max="13837" width="16.33203125" style="65" customWidth="1"/>
    <col min="13838" max="13838" width="30.83203125" style="65" customWidth="1"/>
    <col min="13839" max="13839" width="15.1640625" style="65" customWidth="1"/>
    <col min="13840" max="13840" width="17" style="65" customWidth="1"/>
    <col min="13841" max="13841" width="16.33203125" style="65" customWidth="1"/>
    <col min="13842" max="13845" width="13" style="65" bestFit="1" customWidth="1"/>
    <col min="13846" max="13852" width="13" style="65" customWidth="1"/>
    <col min="13853" max="13853" width="13" style="65" bestFit="1" customWidth="1"/>
    <col min="13854" max="13854" width="17.5" style="65" customWidth="1"/>
    <col min="13855" max="14092" width="12" style="65"/>
    <col min="14093" max="14093" width="16.33203125" style="65" customWidth="1"/>
    <col min="14094" max="14094" width="30.83203125" style="65" customWidth="1"/>
    <col min="14095" max="14095" width="15.1640625" style="65" customWidth="1"/>
    <col min="14096" max="14096" width="17" style="65" customWidth="1"/>
    <col min="14097" max="14097" width="16.33203125" style="65" customWidth="1"/>
    <col min="14098" max="14101" width="13" style="65" bestFit="1" customWidth="1"/>
    <col min="14102" max="14108" width="13" style="65" customWidth="1"/>
    <col min="14109" max="14109" width="13" style="65" bestFit="1" customWidth="1"/>
    <col min="14110" max="14110" width="17.5" style="65" customWidth="1"/>
    <col min="14111" max="14348" width="12" style="65"/>
    <col min="14349" max="14349" width="16.33203125" style="65" customWidth="1"/>
    <col min="14350" max="14350" width="30.83203125" style="65" customWidth="1"/>
    <col min="14351" max="14351" width="15.1640625" style="65" customWidth="1"/>
    <col min="14352" max="14352" width="17" style="65" customWidth="1"/>
    <col min="14353" max="14353" width="16.33203125" style="65" customWidth="1"/>
    <col min="14354" max="14357" width="13" style="65" bestFit="1" customWidth="1"/>
    <col min="14358" max="14364" width="13" style="65" customWidth="1"/>
    <col min="14365" max="14365" width="13" style="65" bestFit="1" customWidth="1"/>
    <col min="14366" max="14366" width="17.5" style="65" customWidth="1"/>
    <col min="14367" max="14604" width="12" style="65"/>
    <col min="14605" max="14605" width="16.33203125" style="65" customWidth="1"/>
    <col min="14606" max="14606" width="30.83203125" style="65" customWidth="1"/>
    <col min="14607" max="14607" width="15.1640625" style="65" customWidth="1"/>
    <col min="14608" max="14608" width="17" style="65" customWidth="1"/>
    <col min="14609" max="14609" width="16.33203125" style="65" customWidth="1"/>
    <col min="14610" max="14613" width="13" style="65" bestFit="1" customWidth="1"/>
    <col min="14614" max="14620" width="13" style="65" customWidth="1"/>
    <col min="14621" max="14621" width="13" style="65" bestFit="1" customWidth="1"/>
    <col min="14622" max="14622" width="17.5" style="65" customWidth="1"/>
    <col min="14623" max="14860" width="12" style="65"/>
    <col min="14861" max="14861" width="16.33203125" style="65" customWidth="1"/>
    <col min="14862" max="14862" width="30.83203125" style="65" customWidth="1"/>
    <col min="14863" max="14863" width="15.1640625" style="65" customWidth="1"/>
    <col min="14864" max="14864" width="17" style="65" customWidth="1"/>
    <col min="14865" max="14865" width="16.33203125" style="65" customWidth="1"/>
    <col min="14866" max="14869" width="13" style="65" bestFit="1" customWidth="1"/>
    <col min="14870" max="14876" width="13" style="65" customWidth="1"/>
    <col min="14877" max="14877" width="13" style="65" bestFit="1" customWidth="1"/>
    <col min="14878" max="14878" width="17.5" style="65" customWidth="1"/>
    <col min="14879" max="15116" width="12" style="65"/>
    <col min="15117" max="15117" width="16.33203125" style="65" customWidth="1"/>
    <col min="15118" max="15118" width="30.83203125" style="65" customWidth="1"/>
    <col min="15119" max="15119" width="15.1640625" style="65" customWidth="1"/>
    <col min="15120" max="15120" width="17" style="65" customWidth="1"/>
    <col min="15121" max="15121" width="16.33203125" style="65" customWidth="1"/>
    <col min="15122" max="15125" width="13" style="65" bestFit="1" customWidth="1"/>
    <col min="15126" max="15132" width="13" style="65" customWidth="1"/>
    <col min="15133" max="15133" width="13" style="65" bestFit="1" customWidth="1"/>
    <col min="15134" max="15134" width="17.5" style="65" customWidth="1"/>
    <col min="15135" max="15372" width="12" style="65"/>
    <col min="15373" max="15373" width="16.33203125" style="65" customWidth="1"/>
    <col min="15374" max="15374" width="30.83203125" style="65" customWidth="1"/>
    <col min="15375" max="15375" width="15.1640625" style="65" customWidth="1"/>
    <col min="15376" max="15376" width="17" style="65" customWidth="1"/>
    <col min="15377" max="15377" width="16.33203125" style="65" customWidth="1"/>
    <col min="15378" max="15381" width="13" style="65" bestFit="1" customWidth="1"/>
    <col min="15382" max="15388" width="13" style="65" customWidth="1"/>
    <col min="15389" max="15389" width="13" style="65" bestFit="1" customWidth="1"/>
    <col min="15390" max="15390" width="17.5" style="65" customWidth="1"/>
    <col min="15391" max="15628" width="12" style="65"/>
    <col min="15629" max="15629" width="16.33203125" style="65" customWidth="1"/>
    <col min="15630" max="15630" width="30.83203125" style="65" customWidth="1"/>
    <col min="15631" max="15631" width="15.1640625" style="65" customWidth="1"/>
    <col min="15632" max="15632" width="17" style="65" customWidth="1"/>
    <col min="15633" max="15633" width="16.33203125" style="65" customWidth="1"/>
    <col min="15634" max="15637" width="13" style="65" bestFit="1" customWidth="1"/>
    <col min="15638" max="15644" width="13" style="65" customWidth="1"/>
    <col min="15645" max="15645" width="13" style="65" bestFit="1" customWidth="1"/>
    <col min="15646" max="15646" width="17.5" style="65" customWidth="1"/>
    <col min="15647" max="15884" width="12" style="65"/>
    <col min="15885" max="15885" width="16.33203125" style="65" customWidth="1"/>
    <col min="15886" max="15886" width="30.83203125" style="65" customWidth="1"/>
    <col min="15887" max="15887" width="15.1640625" style="65" customWidth="1"/>
    <col min="15888" max="15888" width="17" style="65" customWidth="1"/>
    <col min="15889" max="15889" width="16.33203125" style="65" customWidth="1"/>
    <col min="15890" max="15893" width="13" style="65" bestFit="1" customWidth="1"/>
    <col min="15894" max="15900" width="13" style="65" customWidth="1"/>
    <col min="15901" max="15901" width="13" style="65" bestFit="1" customWidth="1"/>
    <col min="15902" max="15902" width="17.5" style="65" customWidth="1"/>
    <col min="15903" max="16140" width="12" style="65"/>
    <col min="16141" max="16141" width="16.33203125" style="65" customWidth="1"/>
    <col min="16142" max="16142" width="30.83203125" style="65" customWidth="1"/>
    <col min="16143" max="16143" width="15.1640625" style="65" customWidth="1"/>
    <col min="16144" max="16144" width="17" style="65" customWidth="1"/>
    <col min="16145" max="16145" width="16.33203125" style="65" customWidth="1"/>
    <col min="16146" max="16149" width="13" style="65" bestFit="1" customWidth="1"/>
    <col min="16150" max="16156" width="13" style="65" customWidth="1"/>
    <col min="16157" max="16157" width="13" style="65" bestFit="1" customWidth="1"/>
    <col min="16158" max="16158" width="17.5" style="65" customWidth="1"/>
    <col min="16159" max="16384" width="12" style="65"/>
  </cols>
  <sheetData>
    <row r="1" spans="1:31" ht="18" customHeight="1">
      <c r="A1" s="903"/>
      <c r="B1" s="904"/>
      <c r="C1" s="904" t="s">
        <v>0</v>
      </c>
      <c r="D1" s="904"/>
      <c r="E1" s="904"/>
      <c r="F1" s="904"/>
      <c r="G1" s="904"/>
      <c r="H1" s="904"/>
      <c r="I1" s="904"/>
      <c r="J1" s="904"/>
      <c r="K1" s="904"/>
      <c r="L1" s="904"/>
      <c r="M1" s="904"/>
      <c r="N1" s="904"/>
      <c r="O1" s="904"/>
      <c r="P1" s="904"/>
      <c r="Q1" s="904"/>
      <c r="R1" s="994"/>
      <c r="S1" s="994"/>
      <c r="T1" s="994"/>
      <c r="U1" s="994"/>
      <c r="V1" s="994"/>
      <c r="W1" s="994"/>
      <c r="X1" s="994"/>
      <c r="Y1" s="994"/>
      <c r="Z1" s="994"/>
      <c r="AA1" s="994"/>
      <c r="AB1" s="994"/>
      <c r="AC1" s="994"/>
      <c r="AD1" s="912"/>
      <c r="AE1" s="366" t="s">
        <v>104</v>
      </c>
    </row>
    <row r="2" spans="1:31" ht="23.25" customHeight="1">
      <c r="A2" s="905"/>
      <c r="B2" s="906"/>
      <c r="C2" s="906" t="s">
        <v>105</v>
      </c>
      <c r="D2" s="906"/>
      <c r="E2" s="906"/>
      <c r="F2" s="906"/>
      <c r="G2" s="906"/>
      <c r="H2" s="906"/>
      <c r="I2" s="906"/>
      <c r="J2" s="906"/>
      <c r="K2" s="906"/>
      <c r="L2" s="906"/>
      <c r="M2" s="906"/>
      <c r="N2" s="906"/>
      <c r="O2" s="906"/>
      <c r="P2" s="906"/>
      <c r="Q2" s="906"/>
      <c r="R2" s="995"/>
      <c r="S2" s="995"/>
      <c r="T2" s="995"/>
      <c r="U2" s="995"/>
      <c r="V2" s="995"/>
      <c r="W2" s="995"/>
      <c r="X2" s="995"/>
      <c r="Y2" s="995"/>
      <c r="Z2" s="995"/>
      <c r="AA2" s="995"/>
      <c r="AB2" s="995"/>
      <c r="AC2" s="995"/>
      <c r="AD2" s="913"/>
      <c r="AE2" s="64"/>
    </row>
    <row r="3" spans="1:31" ht="23.25" customHeight="1" thickBot="1">
      <c r="A3" s="907"/>
      <c r="B3" s="908"/>
      <c r="C3" s="908" t="s">
        <v>2</v>
      </c>
      <c r="D3" s="908"/>
      <c r="E3" s="908"/>
      <c r="F3" s="908"/>
      <c r="G3" s="908"/>
      <c r="H3" s="908" t="s">
        <v>106</v>
      </c>
      <c r="I3" s="908"/>
      <c r="J3" s="908"/>
      <c r="K3" s="908"/>
      <c r="L3" s="908"/>
      <c r="M3" s="908"/>
      <c r="N3" s="908"/>
      <c r="O3" s="908"/>
      <c r="P3" s="908"/>
      <c r="Q3" s="908"/>
      <c r="R3" s="996"/>
      <c r="S3" s="996"/>
      <c r="T3" s="996"/>
      <c r="U3" s="996"/>
      <c r="V3" s="996"/>
      <c r="W3" s="996"/>
      <c r="X3" s="996"/>
      <c r="Y3" s="996"/>
      <c r="Z3" s="996"/>
      <c r="AA3" s="996"/>
      <c r="AB3" s="996"/>
      <c r="AC3" s="996"/>
      <c r="AD3" s="914"/>
      <c r="AE3" s="64"/>
    </row>
    <row r="4" spans="1:31" ht="18" customHeight="1" thickBot="1">
      <c r="A4" s="66"/>
      <c r="B4" s="67"/>
      <c r="C4" s="67"/>
      <c r="D4" s="68"/>
      <c r="E4" s="67"/>
      <c r="F4" s="67"/>
      <c r="G4" s="67"/>
      <c r="H4" s="67"/>
      <c r="I4" s="67"/>
      <c r="J4" s="67"/>
      <c r="K4" s="67"/>
      <c r="L4" s="67"/>
      <c r="M4" s="67"/>
      <c r="N4" s="67"/>
      <c r="O4" s="67"/>
      <c r="P4" s="67"/>
      <c r="Q4" s="67"/>
      <c r="R4" s="67"/>
      <c r="S4" s="67"/>
      <c r="T4" s="67"/>
      <c r="U4" s="67"/>
      <c r="V4" s="67"/>
      <c r="W4" s="67"/>
      <c r="X4" s="67"/>
      <c r="Y4" s="67"/>
      <c r="Z4" s="67"/>
      <c r="AA4" s="67"/>
      <c r="AB4" s="67"/>
      <c r="AC4" s="67"/>
      <c r="AD4" s="67"/>
      <c r="AE4" s="64"/>
    </row>
    <row r="5" spans="1:31" s="64" customFormat="1" ht="18" customHeight="1" thickBot="1">
      <c r="A5" s="989" t="s">
        <v>107</v>
      </c>
      <c r="B5" s="990"/>
      <c r="C5" s="991" t="s">
        <v>108</v>
      </c>
      <c r="D5" s="992"/>
      <c r="E5" s="992"/>
      <c r="F5" s="992"/>
      <c r="G5" s="992"/>
      <c r="H5" s="992"/>
      <c r="I5" s="992"/>
      <c r="J5" s="992"/>
      <c r="K5" s="992"/>
      <c r="L5" s="992"/>
      <c r="M5" s="992"/>
      <c r="N5" s="992"/>
      <c r="O5" s="992"/>
      <c r="P5" s="992"/>
      <c r="Q5" s="992"/>
      <c r="R5" s="992"/>
      <c r="S5" s="992"/>
      <c r="T5" s="992"/>
      <c r="U5" s="992"/>
      <c r="V5" s="992"/>
      <c r="W5" s="992"/>
      <c r="X5" s="992"/>
      <c r="Y5" s="992"/>
      <c r="Z5" s="992"/>
      <c r="AA5" s="992"/>
      <c r="AB5" s="992"/>
      <c r="AC5" s="992"/>
      <c r="AD5" s="993"/>
      <c r="AE5" s="645" t="str">
        <f>C5</f>
        <v>CONTRATACIÓN DIRECTA</v>
      </c>
    </row>
    <row r="6" spans="1:31" s="64" customFormat="1" ht="18" customHeight="1" thickBot="1">
      <c r="A6" s="989" t="s">
        <v>109</v>
      </c>
      <c r="B6" s="990"/>
      <c r="C6" s="991" t="s">
        <v>110</v>
      </c>
      <c r="D6" s="992"/>
      <c r="E6" s="992"/>
      <c r="F6" s="992"/>
      <c r="G6" s="992"/>
      <c r="H6" s="992"/>
      <c r="I6" s="992"/>
      <c r="J6" s="992"/>
      <c r="K6" s="992"/>
      <c r="L6" s="992"/>
      <c r="M6" s="992"/>
      <c r="N6" s="992"/>
      <c r="O6" s="992"/>
      <c r="P6" s="992"/>
      <c r="Q6" s="992"/>
      <c r="R6" s="992"/>
      <c r="S6" s="992"/>
      <c r="T6" s="992"/>
      <c r="U6" s="992"/>
      <c r="V6" s="992"/>
      <c r="W6" s="992"/>
      <c r="X6" s="992"/>
      <c r="Y6" s="992"/>
      <c r="Z6" s="992"/>
      <c r="AA6" s="992"/>
      <c r="AB6" s="992"/>
      <c r="AC6" s="992"/>
      <c r="AD6" s="993"/>
      <c r="AE6" s="645" t="str">
        <f>C6</f>
        <v xml:space="preserve"> "“SOPORTE, MANTENIMIENTO Y ACTUALIZACIÓN DEL VISOR GEOGRÁFICO – AÑO 2025"</v>
      </c>
    </row>
    <row r="7" spans="1:31" s="64" customFormat="1" ht="18" customHeight="1" thickBot="1">
      <c r="B7" s="70"/>
      <c r="C7" s="70"/>
      <c r="D7" s="71"/>
      <c r="E7" s="70"/>
      <c r="F7" s="72"/>
      <c r="G7" s="72"/>
      <c r="H7" s="72"/>
      <c r="I7" s="72"/>
      <c r="J7" s="73"/>
      <c r="K7" s="73"/>
      <c r="L7" s="73"/>
      <c r="M7" s="73"/>
      <c r="N7" s="73"/>
      <c r="O7" s="73"/>
      <c r="P7" s="73"/>
      <c r="Q7" s="73"/>
      <c r="R7" s="73"/>
      <c r="S7" s="73"/>
      <c r="T7" s="73"/>
      <c r="U7" s="73"/>
      <c r="V7" s="73"/>
      <c r="W7" s="73"/>
      <c r="X7" s="73"/>
      <c r="Y7" s="73"/>
      <c r="Z7" s="73"/>
      <c r="AA7" s="73"/>
      <c r="AB7" s="73"/>
      <c r="AC7" s="73"/>
      <c r="AD7" s="73"/>
      <c r="AE7" s="69"/>
    </row>
    <row r="8" spans="1:31" ht="18" customHeight="1" thickBot="1">
      <c r="A8" s="985" t="s">
        <v>111</v>
      </c>
      <c r="B8" s="985"/>
      <c r="C8" s="986" t="s">
        <v>112</v>
      </c>
      <c r="D8" s="987"/>
      <c r="E8" s="987"/>
      <c r="F8" s="988"/>
      <c r="H8" s="74"/>
      <c r="I8" s="74"/>
      <c r="J8" s="74"/>
      <c r="K8" s="74"/>
      <c r="L8" s="74"/>
      <c r="M8" s="74"/>
      <c r="N8" s="74"/>
      <c r="O8" s="74"/>
      <c r="P8" s="74"/>
      <c r="Q8" s="74"/>
      <c r="R8" s="74"/>
      <c r="S8" s="74"/>
      <c r="T8" s="74"/>
      <c r="U8" s="74"/>
      <c r="V8" s="74"/>
      <c r="W8" s="74"/>
      <c r="X8" s="74"/>
      <c r="Y8" s="74"/>
      <c r="Z8" s="74"/>
      <c r="AA8" s="74"/>
      <c r="AB8" s="74"/>
      <c r="AC8" s="74"/>
    </row>
    <row r="9" spans="1:31" ht="18" customHeight="1" thickBot="1">
      <c r="A9" s="985" t="s">
        <v>113</v>
      </c>
      <c r="B9" s="985"/>
      <c r="C9" s="986" t="s">
        <v>114</v>
      </c>
      <c r="D9" s="987"/>
      <c r="E9" s="987"/>
      <c r="F9" s="988"/>
      <c r="H9" s="108"/>
      <c r="I9" s="74"/>
      <c r="J9" s="74"/>
      <c r="K9" s="74"/>
      <c r="L9" s="74"/>
      <c r="M9" s="74"/>
      <c r="N9" s="74"/>
      <c r="O9" s="74"/>
      <c r="P9" s="74"/>
      <c r="Q9" s="74"/>
      <c r="R9" s="74"/>
      <c r="S9" s="74"/>
      <c r="T9" s="74"/>
      <c r="U9" s="74"/>
      <c r="V9" s="74"/>
      <c r="W9" s="74"/>
      <c r="X9" s="74"/>
      <c r="Y9" s="74"/>
      <c r="Z9" s="74"/>
      <c r="AA9" s="74"/>
      <c r="AB9" s="74"/>
      <c r="AC9" s="74"/>
    </row>
    <row r="10" spans="1:31" ht="18" customHeight="1" thickBot="1">
      <c r="A10" s="958" t="s">
        <v>115</v>
      </c>
      <c r="B10" s="958"/>
      <c r="C10" s="986" t="s">
        <v>116</v>
      </c>
      <c r="D10" s="987"/>
      <c r="E10" s="987"/>
      <c r="F10" s="988"/>
      <c r="H10" s="74"/>
      <c r="I10" s="74"/>
      <c r="J10" s="74"/>
      <c r="K10" s="74"/>
      <c r="L10" s="74"/>
      <c r="M10" s="74"/>
      <c r="N10" s="74"/>
      <c r="O10" s="74"/>
      <c r="P10" s="74"/>
      <c r="Q10" s="74"/>
      <c r="R10" s="74"/>
      <c r="S10" s="74"/>
      <c r="T10" s="74"/>
      <c r="U10" s="74"/>
      <c r="V10" s="74"/>
      <c r="W10" s="74"/>
      <c r="X10" s="74"/>
      <c r="Y10" s="74"/>
      <c r="Z10" s="74"/>
      <c r="AA10" s="74"/>
      <c r="AB10" s="74"/>
      <c r="AC10" s="74"/>
    </row>
    <row r="11" spans="1:31" ht="18" customHeight="1" thickBot="1">
      <c r="A11" s="958" t="s">
        <v>117</v>
      </c>
      <c r="B11" s="958"/>
      <c r="C11" s="959" t="s">
        <v>118</v>
      </c>
      <c r="D11" s="960"/>
      <c r="E11" s="960"/>
      <c r="F11" s="961"/>
      <c r="H11" s="74"/>
      <c r="I11" s="74"/>
    </row>
    <row r="12" spans="1:31" ht="18" customHeight="1" thickBot="1">
      <c r="A12" s="75"/>
      <c r="B12" s="76"/>
      <c r="C12" s="76"/>
      <c r="D12" s="77"/>
      <c r="E12" s="76"/>
      <c r="F12" s="76"/>
      <c r="G12" s="78"/>
      <c r="H12" s="78"/>
      <c r="I12" s="78"/>
    </row>
    <row r="13" spans="1:31" ht="18" customHeight="1">
      <c r="A13" s="962" t="s">
        <v>119</v>
      </c>
      <c r="B13" s="963"/>
      <c r="C13" s="963"/>
      <c r="D13" s="963"/>
      <c r="E13" s="963"/>
      <c r="F13" s="963"/>
      <c r="G13" s="963"/>
      <c r="H13" s="963"/>
      <c r="I13" s="963"/>
      <c r="J13" s="963"/>
      <c r="K13" s="963"/>
      <c r="L13" s="963"/>
      <c r="M13" s="963"/>
      <c r="N13" s="963"/>
      <c r="O13" s="963"/>
      <c r="P13" s="963"/>
      <c r="Q13" s="963"/>
      <c r="R13" s="964"/>
      <c r="S13" s="964"/>
      <c r="T13" s="964"/>
      <c r="U13" s="964"/>
      <c r="V13" s="964"/>
      <c r="W13" s="964"/>
      <c r="X13" s="964"/>
      <c r="Y13" s="964"/>
      <c r="Z13" s="964"/>
      <c r="AA13" s="964"/>
      <c r="AB13" s="964"/>
      <c r="AC13" s="964"/>
      <c r="AD13" s="965"/>
    </row>
    <row r="14" spans="1:31" ht="18" customHeight="1">
      <c r="A14" s="1007"/>
      <c r="B14" s="1000" t="s">
        <v>18</v>
      </c>
      <c r="C14" s="973" t="s">
        <v>120</v>
      </c>
      <c r="D14" s="972" t="s">
        <v>121</v>
      </c>
      <c r="E14" s="973" t="s">
        <v>122</v>
      </c>
      <c r="F14" s="973" t="s">
        <v>123</v>
      </c>
      <c r="G14" s="1000" t="s">
        <v>124</v>
      </c>
      <c r="H14" s="1000"/>
      <c r="I14" s="1000"/>
      <c r="J14" s="1000"/>
      <c r="K14" s="1000"/>
      <c r="L14" s="1000"/>
      <c r="M14" s="1000"/>
      <c r="N14" s="1000"/>
      <c r="O14" s="1000"/>
      <c r="P14" s="1000"/>
      <c r="Q14" s="1000"/>
      <c r="R14" s="1001"/>
      <c r="S14" s="1001"/>
      <c r="T14" s="1001"/>
      <c r="U14" s="1001"/>
      <c r="V14" s="1001"/>
      <c r="W14" s="1001"/>
      <c r="X14" s="1001"/>
      <c r="Y14" s="1001"/>
      <c r="Z14" s="1001"/>
      <c r="AA14" s="1001"/>
      <c r="AB14" s="1001"/>
      <c r="AC14" s="1001"/>
      <c r="AD14" s="1002"/>
    </row>
    <row r="15" spans="1:31" ht="27.75" customHeight="1">
      <c r="A15" s="1007"/>
      <c r="B15" s="1000"/>
      <c r="C15" s="973"/>
      <c r="D15" s="972"/>
      <c r="E15" s="973"/>
      <c r="F15" s="973"/>
      <c r="G15" s="374" t="s">
        <v>125</v>
      </c>
      <c r="H15" s="374" t="s">
        <v>126</v>
      </c>
      <c r="I15" s="374" t="s">
        <v>127</v>
      </c>
      <c r="J15" s="374" t="s">
        <v>128</v>
      </c>
      <c r="K15" s="374" t="s">
        <v>129</v>
      </c>
      <c r="L15" s="374" t="s">
        <v>130</v>
      </c>
      <c r="M15" s="374" t="s">
        <v>131</v>
      </c>
      <c r="N15" s="374" t="s">
        <v>132</v>
      </c>
      <c r="O15" s="374" t="s">
        <v>133</v>
      </c>
      <c r="P15" s="374" t="s">
        <v>134</v>
      </c>
      <c r="Q15" s="374" t="s">
        <v>135</v>
      </c>
      <c r="R15" s="374" t="s">
        <v>136</v>
      </c>
      <c r="S15" s="374" t="s">
        <v>137</v>
      </c>
      <c r="T15" s="374" t="s">
        <v>138</v>
      </c>
      <c r="U15" s="374" t="s">
        <v>139</v>
      </c>
      <c r="V15" s="374" t="s">
        <v>140</v>
      </c>
      <c r="W15" s="374" t="s">
        <v>141</v>
      </c>
      <c r="X15" s="374" t="s">
        <v>142</v>
      </c>
      <c r="Y15" s="374" t="s">
        <v>143</v>
      </c>
      <c r="Z15" s="374" t="s">
        <v>144</v>
      </c>
      <c r="AA15" s="374" t="s">
        <v>145</v>
      </c>
      <c r="AB15" s="374" t="s">
        <v>146</v>
      </c>
      <c r="AC15" s="374" t="s">
        <v>147</v>
      </c>
      <c r="AD15" s="374" t="s">
        <v>148</v>
      </c>
    </row>
    <row r="16" spans="1:31" s="83" customFormat="1" ht="38.25">
      <c r="A16" s="80" t="s">
        <v>149</v>
      </c>
      <c r="B16" s="81" t="s">
        <v>150</v>
      </c>
      <c r="C16" s="677">
        <v>1</v>
      </c>
      <c r="D16" s="845">
        <f>SUM(D17:D202)</f>
        <v>1</v>
      </c>
      <c r="E16" s="678" t="s">
        <v>151</v>
      </c>
      <c r="F16" s="679"/>
      <c r="G16" s="679"/>
      <c r="H16" s="679"/>
      <c r="I16" s="679"/>
      <c r="J16" s="679"/>
      <c r="K16" s="687"/>
      <c r="L16" s="679"/>
      <c r="M16" s="679"/>
      <c r="N16" s="679"/>
      <c r="O16" s="679"/>
      <c r="P16" s="679"/>
      <c r="Q16" s="679"/>
      <c r="R16" s="840"/>
      <c r="S16" s="840"/>
      <c r="T16" s="840"/>
      <c r="U16" s="840"/>
      <c r="V16" s="840"/>
      <c r="W16" s="840"/>
      <c r="X16" s="840"/>
      <c r="Y16" s="840"/>
      <c r="Z16" s="840"/>
      <c r="AA16" s="840"/>
      <c r="AB16" s="840"/>
      <c r="AC16" s="840"/>
      <c r="AD16" s="680"/>
      <c r="AE16" s="82"/>
    </row>
    <row r="17" spans="1:31" ht="33" customHeight="1">
      <c r="A17" s="84" t="s">
        <v>152</v>
      </c>
      <c r="B17" s="848" t="s">
        <v>153</v>
      </c>
      <c r="C17" s="38">
        <v>0.1</v>
      </c>
      <c r="D17" s="846"/>
      <c r="E17" s="39" t="s">
        <v>154</v>
      </c>
      <c r="F17" s="54"/>
      <c r="G17" s="54"/>
      <c r="H17" s="54"/>
      <c r="I17" s="54"/>
      <c r="J17" s="54"/>
      <c r="K17" s="54"/>
      <c r="L17" s="54"/>
      <c r="M17" s="54"/>
      <c r="N17" s="54"/>
      <c r="O17" s="54"/>
      <c r="P17" s="54"/>
      <c r="Q17" s="54"/>
      <c r="R17" s="54"/>
      <c r="S17" s="54"/>
      <c r="T17" s="54"/>
      <c r="U17" s="54"/>
      <c r="V17" s="54"/>
      <c r="W17" s="54"/>
      <c r="X17" s="54"/>
      <c r="Y17" s="54"/>
      <c r="Z17" s="54"/>
      <c r="AA17" s="54"/>
      <c r="AB17" s="54"/>
      <c r="AC17" s="54"/>
      <c r="AD17" s="54"/>
      <c r="AE17" s="82"/>
    </row>
    <row r="18" spans="1:31" ht="12.75">
      <c r="A18" s="85" t="s">
        <v>155</v>
      </c>
      <c r="C18" s="35">
        <v>1</v>
      </c>
      <c r="D18" s="847"/>
      <c r="E18" s="36" t="s">
        <v>154</v>
      </c>
      <c r="F18" s="55"/>
      <c r="G18" s="857">
        <v>0.25</v>
      </c>
      <c r="H18" s="857">
        <v>0.25</v>
      </c>
      <c r="I18" s="857"/>
      <c r="J18" s="857"/>
      <c r="K18" s="55"/>
      <c r="L18" s="55"/>
      <c r="M18" s="55"/>
      <c r="N18" s="55"/>
      <c r="O18" s="55"/>
      <c r="P18" s="55"/>
      <c r="Q18" s="55"/>
      <c r="R18" s="55"/>
      <c r="S18" s="55"/>
      <c r="T18" s="55"/>
      <c r="U18" s="55"/>
      <c r="V18" s="55"/>
      <c r="W18" s="55"/>
      <c r="X18" s="55"/>
      <c r="Y18" s="55"/>
      <c r="Z18" s="55"/>
      <c r="AA18" s="55"/>
      <c r="AB18" s="55"/>
      <c r="AC18" s="55"/>
      <c r="AD18" s="55"/>
      <c r="AE18" s="82"/>
    </row>
    <row r="19" spans="1:31" ht="12.75">
      <c r="A19" s="86" t="s">
        <v>156</v>
      </c>
      <c r="B19" s="849"/>
      <c r="C19" s="677">
        <v>1</v>
      </c>
      <c r="D19" s="845">
        <f>C19*$C$18*$C$17</f>
        <v>0.1</v>
      </c>
      <c r="E19" s="678" t="s">
        <v>154</v>
      </c>
      <c r="F19" s="681">
        <v>1</v>
      </c>
      <c r="G19" s="856">
        <v>0.25</v>
      </c>
      <c r="H19" s="856">
        <v>0.25</v>
      </c>
      <c r="I19" s="856">
        <v>0.25</v>
      </c>
      <c r="J19" s="856">
        <v>0.25</v>
      </c>
      <c r="K19" s="681"/>
      <c r="L19" s="681"/>
      <c r="M19" s="681"/>
      <c r="N19" s="681"/>
      <c r="O19" s="681"/>
      <c r="P19" s="681"/>
      <c r="Q19" s="681"/>
      <c r="R19" s="681"/>
      <c r="S19" s="681"/>
      <c r="T19" s="681"/>
      <c r="U19" s="681"/>
      <c r="V19" s="681"/>
      <c r="W19" s="681"/>
      <c r="X19" s="681"/>
      <c r="Y19" s="681"/>
      <c r="Z19" s="681"/>
      <c r="AA19" s="681"/>
      <c r="AB19" s="681"/>
      <c r="AC19" s="681"/>
      <c r="AD19" s="681"/>
      <c r="AE19" s="82"/>
    </row>
    <row r="20" spans="1:31" ht="18" hidden="1" customHeight="1">
      <c r="A20" s="86" t="s">
        <v>157</v>
      </c>
      <c r="B20" s="51"/>
      <c r="C20" s="677"/>
      <c r="D20" s="845">
        <f>C20*$C$18*$C$17</f>
        <v>0</v>
      </c>
      <c r="E20" s="678"/>
      <c r="F20" s="681"/>
      <c r="G20" s="681"/>
      <c r="H20" s="681"/>
      <c r="I20" s="681"/>
      <c r="J20" s="681"/>
      <c r="K20" s="681"/>
      <c r="L20" s="681"/>
      <c r="M20" s="681"/>
      <c r="N20" s="681"/>
      <c r="O20" s="681"/>
      <c r="P20" s="681"/>
      <c r="Q20" s="681"/>
      <c r="R20" s="681"/>
      <c r="S20" s="681"/>
      <c r="T20" s="681"/>
      <c r="U20" s="681"/>
      <c r="V20" s="681"/>
      <c r="W20" s="681"/>
      <c r="X20" s="681"/>
      <c r="Y20" s="681"/>
      <c r="Z20" s="681"/>
      <c r="AA20" s="681"/>
      <c r="AB20" s="681"/>
      <c r="AC20" s="681"/>
      <c r="AD20" s="681"/>
      <c r="AE20" s="82"/>
    </row>
    <row r="21" spans="1:31" ht="18" hidden="1" customHeight="1">
      <c r="A21" s="86" t="s">
        <v>158</v>
      </c>
      <c r="B21" s="51"/>
      <c r="C21" s="677"/>
      <c r="D21" s="845">
        <f>C21*$C$18*$C$17</f>
        <v>0</v>
      </c>
      <c r="E21" s="678"/>
      <c r="F21" s="681"/>
      <c r="G21" s="681"/>
      <c r="H21" s="681"/>
      <c r="I21" s="681"/>
      <c r="J21" s="681"/>
      <c r="K21" s="681"/>
      <c r="L21" s="681"/>
      <c r="M21" s="681"/>
      <c r="N21" s="681"/>
      <c r="O21" s="681"/>
      <c r="P21" s="681"/>
      <c r="Q21" s="681"/>
      <c r="R21" s="681"/>
      <c r="S21" s="681"/>
      <c r="T21" s="681"/>
      <c r="U21" s="681"/>
      <c r="V21" s="681"/>
      <c r="W21" s="681"/>
      <c r="X21" s="681"/>
      <c r="Y21" s="681"/>
      <c r="Z21" s="681"/>
      <c r="AA21" s="681"/>
      <c r="AB21" s="681"/>
      <c r="AC21" s="681"/>
      <c r="AD21" s="681"/>
      <c r="AE21" s="82"/>
    </row>
    <row r="22" spans="1:31" ht="18" hidden="1" customHeight="1">
      <c r="A22" s="86" t="s">
        <v>159</v>
      </c>
      <c r="B22" s="51"/>
      <c r="C22" s="677"/>
      <c r="D22" s="845">
        <f t="shared" ref="D22:D23" si="0">C22*$C$18*$C$17</f>
        <v>0</v>
      </c>
      <c r="E22" s="678"/>
      <c r="F22" s="681"/>
      <c r="G22" s="681"/>
      <c r="H22" s="681"/>
      <c r="I22" s="681"/>
      <c r="J22" s="681"/>
      <c r="K22" s="681"/>
      <c r="L22" s="681"/>
      <c r="M22" s="681"/>
      <c r="N22" s="681"/>
      <c r="O22" s="681"/>
      <c r="P22" s="681"/>
      <c r="Q22" s="681"/>
      <c r="R22" s="681"/>
      <c r="S22" s="681"/>
      <c r="T22" s="681"/>
      <c r="U22" s="681"/>
      <c r="V22" s="681"/>
      <c r="W22" s="681"/>
      <c r="X22" s="681"/>
      <c r="Y22" s="681"/>
      <c r="Z22" s="681"/>
      <c r="AA22" s="681"/>
      <c r="AB22" s="681"/>
      <c r="AC22" s="681"/>
      <c r="AD22" s="681"/>
      <c r="AE22" s="82"/>
    </row>
    <row r="23" spans="1:31" ht="18" hidden="1" customHeight="1">
      <c r="A23" s="86" t="s">
        <v>160</v>
      </c>
      <c r="B23" s="51"/>
      <c r="C23" s="677"/>
      <c r="D23" s="845">
        <f t="shared" si="0"/>
        <v>0</v>
      </c>
      <c r="E23" s="678"/>
      <c r="F23" s="681"/>
      <c r="G23" s="681"/>
      <c r="H23" s="681"/>
      <c r="I23" s="681"/>
      <c r="J23" s="681"/>
      <c r="K23" s="681"/>
      <c r="L23" s="681"/>
      <c r="M23" s="681"/>
      <c r="N23" s="681"/>
      <c r="O23" s="681"/>
      <c r="P23" s="681"/>
      <c r="Q23" s="681"/>
      <c r="R23" s="681"/>
      <c r="S23" s="681"/>
      <c r="T23" s="681"/>
      <c r="U23" s="681"/>
      <c r="V23" s="681"/>
      <c r="W23" s="681"/>
      <c r="X23" s="681"/>
      <c r="Y23" s="681"/>
      <c r="Z23" s="681"/>
      <c r="AA23" s="681"/>
      <c r="AB23" s="681"/>
      <c r="AC23" s="681"/>
      <c r="AD23" s="681"/>
      <c r="AE23" s="82"/>
    </row>
    <row r="24" spans="1:31" ht="18" hidden="1" customHeight="1">
      <c r="A24" s="85" t="s">
        <v>161</v>
      </c>
      <c r="B24" s="34"/>
      <c r="C24" s="35"/>
      <c r="D24" s="847"/>
      <c r="E24" s="36"/>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82"/>
    </row>
    <row r="25" spans="1:31" ht="18" hidden="1" customHeight="1">
      <c r="A25" s="86" t="s">
        <v>162</v>
      </c>
      <c r="B25" s="51"/>
      <c r="C25" s="677"/>
      <c r="D25" s="845">
        <f>C25*$C$24*$C$17</f>
        <v>0</v>
      </c>
      <c r="E25" s="678"/>
      <c r="F25" s="681"/>
      <c r="G25" s="681"/>
      <c r="H25" s="681"/>
      <c r="I25" s="681"/>
      <c r="J25" s="681"/>
      <c r="K25" s="681"/>
      <c r="L25" s="681"/>
      <c r="M25" s="681"/>
      <c r="N25" s="681"/>
      <c r="O25" s="681"/>
      <c r="P25" s="681"/>
      <c r="Q25" s="681"/>
      <c r="R25" s="681"/>
      <c r="S25" s="681"/>
      <c r="T25" s="681"/>
      <c r="U25" s="681"/>
      <c r="V25" s="681"/>
      <c r="W25" s="681"/>
      <c r="X25" s="681"/>
      <c r="Y25" s="681"/>
      <c r="Z25" s="681"/>
      <c r="AA25" s="681"/>
      <c r="AB25" s="681"/>
      <c r="AC25" s="681"/>
      <c r="AD25" s="681"/>
      <c r="AE25" s="82"/>
    </row>
    <row r="26" spans="1:31" ht="18" hidden="1" customHeight="1">
      <c r="A26" s="86" t="s">
        <v>163</v>
      </c>
      <c r="B26" s="51"/>
      <c r="C26" s="677"/>
      <c r="D26" s="845">
        <f>C26*$C$24*$C$17</f>
        <v>0</v>
      </c>
      <c r="E26" s="678"/>
      <c r="F26" s="681"/>
      <c r="G26" s="681"/>
      <c r="H26" s="681"/>
      <c r="I26" s="681"/>
      <c r="J26" s="681"/>
      <c r="K26" s="681"/>
      <c r="L26" s="681"/>
      <c r="M26" s="681"/>
      <c r="N26" s="681"/>
      <c r="O26" s="681"/>
      <c r="P26" s="681"/>
      <c r="Q26" s="681"/>
      <c r="R26" s="681"/>
      <c r="S26" s="681"/>
      <c r="T26" s="681"/>
      <c r="U26" s="681"/>
      <c r="V26" s="681"/>
      <c r="W26" s="681"/>
      <c r="X26" s="681"/>
      <c r="Y26" s="681"/>
      <c r="Z26" s="681"/>
      <c r="AA26" s="681"/>
      <c r="AB26" s="681"/>
      <c r="AC26" s="681"/>
      <c r="AD26" s="681"/>
      <c r="AE26" s="82"/>
    </row>
    <row r="27" spans="1:31" ht="18" hidden="1" customHeight="1">
      <c r="A27" s="86" t="s">
        <v>164</v>
      </c>
      <c r="B27" s="51"/>
      <c r="C27" s="677"/>
      <c r="D27" s="845">
        <f>C27*$C$24*$C$17</f>
        <v>0</v>
      </c>
      <c r="E27" s="678"/>
      <c r="F27" s="681"/>
      <c r="G27" s="681"/>
      <c r="H27" s="681"/>
      <c r="I27" s="681"/>
      <c r="J27" s="681"/>
      <c r="K27" s="681"/>
      <c r="L27" s="681"/>
      <c r="M27" s="681"/>
      <c r="N27" s="681"/>
      <c r="O27" s="681"/>
      <c r="P27" s="681"/>
      <c r="Q27" s="681"/>
      <c r="R27" s="681"/>
      <c r="S27" s="681"/>
      <c r="T27" s="681"/>
      <c r="U27" s="681"/>
      <c r="V27" s="681"/>
      <c r="W27" s="681"/>
      <c r="X27" s="681"/>
      <c r="Y27" s="681"/>
      <c r="Z27" s="681"/>
      <c r="AA27" s="681"/>
      <c r="AB27" s="681"/>
      <c r="AC27" s="681"/>
      <c r="AD27" s="681"/>
      <c r="AE27" s="82"/>
    </row>
    <row r="28" spans="1:31" ht="18" hidden="1" customHeight="1">
      <c r="A28" s="86" t="s">
        <v>165</v>
      </c>
      <c r="B28" s="51"/>
      <c r="C28" s="677"/>
      <c r="D28" s="845">
        <f>C28*$C$24*$C$17</f>
        <v>0</v>
      </c>
      <c r="E28" s="678"/>
      <c r="F28" s="681"/>
      <c r="G28" s="681"/>
      <c r="H28" s="681"/>
      <c r="I28" s="681"/>
      <c r="J28" s="681"/>
      <c r="K28" s="681"/>
      <c r="L28" s="681"/>
      <c r="M28" s="681"/>
      <c r="N28" s="681"/>
      <c r="O28" s="681"/>
      <c r="P28" s="681"/>
      <c r="Q28" s="681"/>
      <c r="R28" s="681"/>
      <c r="S28" s="681"/>
      <c r="T28" s="681"/>
      <c r="U28" s="681"/>
      <c r="V28" s="681"/>
      <c r="W28" s="681"/>
      <c r="X28" s="681"/>
      <c r="Y28" s="681"/>
      <c r="Z28" s="681"/>
      <c r="AA28" s="681"/>
      <c r="AB28" s="681"/>
      <c r="AC28" s="681"/>
      <c r="AD28" s="681"/>
      <c r="AE28" s="82"/>
    </row>
    <row r="29" spans="1:31" ht="18" hidden="1" customHeight="1">
      <c r="A29" s="86" t="s">
        <v>166</v>
      </c>
      <c r="B29" s="51"/>
      <c r="C29" s="677"/>
      <c r="D29" s="845">
        <f>C29*$C$24*$C$17</f>
        <v>0</v>
      </c>
      <c r="E29" s="678"/>
      <c r="F29" s="681"/>
      <c r="G29" s="681"/>
      <c r="H29" s="681"/>
      <c r="I29" s="681"/>
      <c r="J29" s="681"/>
      <c r="K29" s="681"/>
      <c r="L29" s="681"/>
      <c r="M29" s="681"/>
      <c r="N29" s="681"/>
      <c r="O29" s="681"/>
      <c r="P29" s="681"/>
      <c r="Q29" s="681"/>
      <c r="R29" s="681"/>
      <c r="S29" s="681"/>
      <c r="T29" s="681"/>
      <c r="U29" s="681"/>
      <c r="V29" s="681"/>
      <c r="W29" s="681"/>
      <c r="X29" s="681"/>
      <c r="Y29" s="681"/>
      <c r="Z29" s="681"/>
      <c r="AA29" s="681"/>
      <c r="AB29" s="681"/>
      <c r="AC29" s="681"/>
      <c r="AD29" s="681"/>
      <c r="AE29" s="82"/>
    </row>
    <row r="30" spans="1:31" ht="18" hidden="1" customHeight="1">
      <c r="A30" s="85" t="s">
        <v>167</v>
      </c>
      <c r="B30" s="34"/>
      <c r="C30" s="35"/>
      <c r="D30" s="847"/>
      <c r="E30" s="36"/>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82"/>
    </row>
    <row r="31" spans="1:31" ht="18" hidden="1" customHeight="1">
      <c r="A31" s="86" t="s">
        <v>168</v>
      </c>
      <c r="B31" s="51"/>
      <c r="C31" s="677"/>
      <c r="D31" s="845">
        <f>C31*$C$30*$C$17</f>
        <v>0</v>
      </c>
      <c r="E31" s="678"/>
      <c r="F31" s="681"/>
      <c r="G31" s="681"/>
      <c r="H31" s="681"/>
      <c r="I31" s="681"/>
      <c r="J31" s="681"/>
      <c r="K31" s="681"/>
      <c r="L31" s="681"/>
      <c r="M31" s="681"/>
      <c r="N31" s="681"/>
      <c r="O31" s="681"/>
      <c r="P31" s="681"/>
      <c r="Q31" s="681"/>
      <c r="R31" s="681"/>
      <c r="S31" s="681"/>
      <c r="T31" s="681"/>
      <c r="U31" s="681"/>
      <c r="V31" s="681"/>
      <c r="W31" s="681"/>
      <c r="X31" s="681"/>
      <c r="Y31" s="681"/>
      <c r="Z31" s="681"/>
      <c r="AA31" s="681"/>
      <c r="AB31" s="681"/>
      <c r="AC31" s="681"/>
      <c r="AD31" s="681"/>
      <c r="AE31" s="82"/>
    </row>
    <row r="32" spans="1:31" ht="18" hidden="1" customHeight="1">
      <c r="A32" s="86" t="s">
        <v>169</v>
      </c>
      <c r="B32" s="51"/>
      <c r="C32" s="677"/>
      <c r="D32" s="845">
        <f>C32*$C$30*$C$17</f>
        <v>0</v>
      </c>
      <c r="E32" s="678"/>
      <c r="F32" s="681"/>
      <c r="G32" s="681"/>
      <c r="H32" s="681"/>
      <c r="I32" s="681"/>
      <c r="J32" s="681"/>
      <c r="K32" s="681"/>
      <c r="L32" s="681"/>
      <c r="M32" s="681"/>
      <c r="N32" s="681"/>
      <c r="O32" s="681"/>
      <c r="P32" s="681"/>
      <c r="Q32" s="681"/>
      <c r="R32" s="681"/>
      <c r="S32" s="681"/>
      <c r="T32" s="681"/>
      <c r="U32" s="681"/>
      <c r="V32" s="681"/>
      <c r="W32" s="681"/>
      <c r="X32" s="681"/>
      <c r="Y32" s="681"/>
      <c r="Z32" s="681"/>
      <c r="AA32" s="681"/>
      <c r="AB32" s="681"/>
      <c r="AC32" s="681"/>
      <c r="AD32" s="681"/>
      <c r="AE32" s="82"/>
    </row>
    <row r="33" spans="1:31" ht="18" hidden="1" customHeight="1">
      <c r="A33" s="86" t="s">
        <v>170</v>
      </c>
      <c r="B33" s="51"/>
      <c r="C33" s="677"/>
      <c r="D33" s="845">
        <f>C33*$C$30*$C$17</f>
        <v>0</v>
      </c>
      <c r="E33" s="678"/>
      <c r="F33" s="681"/>
      <c r="G33" s="681"/>
      <c r="H33" s="681"/>
      <c r="I33" s="681"/>
      <c r="J33" s="681"/>
      <c r="K33" s="681"/>
      <c r="L33" s="681"/>
      <c r="M33" s="681"/>
      <c r="N33" s="681"/>
      <c r="O33" s="681"/>
      <c r="P33" s="681"/>
      <c r="Q33" s="681"/>
      <c r="R33" s="681"/>
      <c r="S33" s="681"/>
      <c r="T33" s="681"/>
      <c r="U33" s="681"/>
      <c r="V33" s="681"/>
      <c r="W33" s="681"/>
      <c r="X33" s="681"/>
      <c r="Y33" s="681"/>
      <c r="Z33" s="681"/>
      <c r="AA33" s="681"/>
      <c r="AB33" s="681"/>
      <c r="AC33" s="681"/>
      <c r="AD33" s="681"/>
      <c r="AE33" s="82"/>
    </row>
    <row r="34" spans="1:31" ht="18" hidden="1" customHeight="1">
      <c r="A34" s="86" t="s">
        <v>171</v>
      </c>
      <c r="B34" s="51"/>
      <c r="C34" s="677"/>
      <c r="D34" s="845">
        <f t="shared" ref="D34" si="1">C34*$C$30*$C$17</f>
        <v>0</v>
      </c>
      <c r="E34" s="678"/>
      <c r="F34" s="681"/>
      <c r="G34" s="681"/>
      <c r="H34" s="681"/>
      <c r="I34" s="681"/>
      <c r="J34" s="681"/>
      <c r="K34" s="681"/>
      <c r="L34" s="681"/>
      <c r="M34" s="681"/>
      <c r="N34" s="681"/>
      <c r="O34" s="681"/>
      <c r="P34" s="681"/>
      <c r="Q34" s="681"/>
      <c r="R34" s="681"/>
      <c r="S34" s="681"/>
      <c r="T34" s="681"/>
      <c r="U34" s="681"/>
      <c r="V34" s="681"/>
      <c r="W34" s="681"/>
      <c r="X34" s="681"/>
      <c r="Y34" s="681"/>
      <c r="Z34" s="681"/>
      <c r="AA34" s="681"/>
      <c r="AB34" s="681"/>
      <c r="AC34" s="681"/>
      <c r="AD34" s="681"/>
      <c r="AE34" s="82"/>
    </row>
    <row r="35" spans="1:31" ht="18" hidden="1" customHeight="1">
      <c r="A35" s="86" t="s">
        <v>172</v>
      </c>
      <c r="B35" s="51"/>
      <c r="C35" s="677"/>
      <c r="D35" s="845">
        <f>C35*$C$30*$C$17</f>
        <v>0</v>
      </c>
      <c r="E35" s="678"/>
      <c r="F35" s="681"/>
      <c r="G35" s="681"/>
      <c r="H35" s="681"/>
      <c r="I35" s="681"/>
      <c r="J35" s="681"/>
      <c r="K35" s="681"/>
      <c r="L35" s="681"/>
      <c r="M35" s="681"/>
      <c r="N35" s="681"/>
      <c r="O35" s="681"/>
      <c r="P35" s="681"/>
      <c r="Q35" s="681"/>
      <c r="R35" s="681"/>
      <c r="S35" s="681"/>
      <c r="T35" s="681"/>
      <c r="U35" s="681"/>
      <c r="V35" s="681"/>
      <c r="W35" s="681"/>
      <c r="X35" s="681"/>
      <c r="Y35" s="681"/>
      <c r="Z35" s="681"/>
      <c r="AA35" s="681"/>
      <c r="AB35" s="681"/>
      <c r="AC35" s="681"/>
      <c r="AD35" s="681"/>
      <c r="AE35" s="82"/>
    </row>
    <row r="36" spans="1:31" ht="18" hidden="1" customHeight="1">
      <c r="A36" s="85" t="s">
        <v>173</v>
      </c>
      <c r="B36" s="34"/>
      <c r="C36" s="35"/>
      <c r="D36" s="847"/>
      <c r="E36" s="36"/>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82"/>
    </row>
    <row r="37" spans="1:31" ht="18" hidden="1" customHeight="1">
      <c r="A37" s="86" t="s">
        <v>174</v>
      </c>
      <c r="B37" s="51"/>
      <c r="C37" s="677"/>
      <c r="D37" s="845">
        <f>C37*$C$36*$C$17</f>
        <v>0</v>
      </c>
      <c r="E37" s="678"/>
      <c r="F37" s="681"/>
      <c r="G37" s="681"/>
      <c r="H37" s="681"/>
      <c r="I37" s="681"/>
      <c r="J37" s="681"/>
      <c r="K37" s="681"/>
      <c r="L37" s="681"/>
      <c r="M37" s="681"/>
      <c r="N37" s="681"/>
      <c r="O37" s="681"/>
      <c r="P37" s="681"/>
      <c r="Q37" s="681"/>
      <c r="R37" s="681"/>
      <c r="S37" s="681"/>
      <c r="T37" s="681"/>
      <c r="U37" s="681"/>
      <c r="V37" s="681"/>
      <c r="W37" s="681"/>
      <c r="X37" s="681"/>
      <c r="Y37" s="681"/>
      <c r="Z37" s="681"/>
      <c r="AA37" s="681"/>
      <c r="AB37" s="681"/>
      <c r="AC37" s="681"/>
      <c r="AD37" s="681"/>
      <c r="AE37" s="82"/>
    </row>
    <row r="38" spans="1:31" ht="18" hidden="1" customHeight="1">
      <c r="A38" s="86" t="s">
        <v>175</v>
      </c>
      <c r="B38" s="51"/>
      <c r="C38" s="677"/>
      <c r="D38" s="845">
        <f>C38*$C$36*$C$17</f>
        <v>0</v>
      </c>
      <c r="E38" s="678"/>
      <c r="F38" s="681"/>
      <c r="G38" s="681"/>
      <c r="H38" s="681"/>
      <c r="I38" s="681"/>
      <c r="J38" s="681"/>
      <c r="K38" s="681"/>
      <c r="L38" s="681"/>
      <c r="M38" s="681"/>
      <c r="N38" s="681"/>
      <c r="O38" s="681"/>
      <c r="P38" s="681"/>
      <c r="Q38" s="681"/>
      <c r="R38" s="681"/>
      <c r="S38" s="681"/>
      <c r="T38" s="681"/>
      <c r="U38" s="681"/>
      <c r="V38" s="681"/>
      <c r="W38" s="681"/>
      <c r="X38" s="681"/>
      <c r="Y38" s="681"/>
      <c r="Z38" s="681"/>
      <c r="AA38" s="681"/>
      <c r="AB38" s="681"/>
      <c r="AC38" s="681"/>
      <c r="AD38" s="681"/>
      <c r="AE38" s="82"/>
    </row>
    <row r="39" spans="1:31" ht="18" hidden="1" customHeight="1">
      <c r="A39" s="86" t="s">
        <v>176</v>
      </c>
      <c r="B39" s="51"/>
      <c r="C39" s="677"/>
      <c r="D39" s="845">
        <f>C39*$C$36*$C$17</f>
        <v>0</v>
      </c>
      <c r="E39" s="678"/>
      <c r="F39" s="681"/>
      <c r="G39" s="681"/>
      <c r="H39" s="681"/>
      <c r="I39" s="681"/>
      <c r="J39" s="681"/>
      <c r="K39" s="681"/>
      <c r="L39" s="681"/>
      <c r="M39" s="681"/>
      <c r="N39" s="681"/>
      <c r="O39" s="681"/>
      <c r="P39" s="681"/>
      <c r="Q39" s="681"/>
      <c r="R39" s="681"/>
      <c r="S39" s="681"/>
      <c r="T39" s="681"/>
      <c r="U39" s="681"/>
      <c r="V39" s="681"/>
      <c r="W39" s="681"/>
      <c r="X39" s="681"/>
      <c r="Y39" s="681"/>
      <c r="Z39" s="681"/>
      <c r="AA39" s="681"/>
      <c r="AB39" s="681"/>
      <c r="AC39" s="681"/>
      <c r="AD39" s="681"/>
      <c r="AE39" s="82"/>
    </row>
    <row r="40" spans="1:31" ht="18" hidden="1" customHeight="1">
      <c r="A40" s="86" t="s">
        <v>177</v>
      </c>
      <c r="B40" s="51"/>
      <c r="C40" s="677"/>
      <c r="D40" s="845">
        <f>C40*$C$36*$C$17</f>
        <v>0</v>
      </c>
      <c r="E40" s="678"/>
      <c r="F40" s="681"/>
      <c r="G40" s="681"/>
      <c r="H40" s="681"/>
      <c r="I40" s="681"/>
      <c r="J40" s="681"/>
      <c r="K40" s="681"/>
      <c r="L40" s="681"/>
      <c r="M40" s="681"/>
      <c r="N40" s="681"/>
      <c r="O40" s="681"/>
      <c r="P40" s="681"/>
      <c r="Q40" s="681"/>
      <c r="R40" s="681"/>
      <c r="S40" s="681"/>
      <c r="T40" s="681"/>
      <c r="U40" s="681"/>
      <c r="V40" s="681"/>
      <c r="W40" s="681"/>
      <c r="X40" s="681"/>
      <c r="Y40" s="681"/>
      <c r="Z40" s="681"/>
      <c r="AA40" s="681"/>
      <c r="AB40" s="681"/>
      <c r="AC40" s="681"/>
      <c r="AD40" s="681"/>
      <c r="AE40" s="82"/>
    </row>
    <row r="41" spans="1:31" ht="18" hidden="1" customHeight="1">
      <c r="A41" s="86" t="s">
        <v>178</v>
      </c>
      <c r="B41" s="51"/>
      <c r="C41" s="677"/>
      <c r="D41" s="845">
        <f t="shared" ref="D41" si="2">C41*$C$36*$C$17</f>
        <v>0</v>
      </c>
      <c r="E41" s="678"/>
      <c r="F41" s="681"/>
      <c r="G41" s="681"/>
      <c r="H41" s="681"/>
      <c r="I41" s="681"/>
      <c r="J41" s="681"/>
      <c r="K41" s="681"/>
      <c r="L41" s="681"/>
      <c r="M41" s="681"/>
      <c r="N41" s="681"/>
      <c r="O41" s="681"/>
      <c r="P41" s="681"/>
      <c r="Q41" s="681"/>
      <c r="R41" s="681"/>
      <c r="S41" s="681"/>
      <c r="T41" s="681"/>
      <c r="U41" s="681"/>
      <c r="V41" s="681"/>
      <c r="W41" s="681"/>
      <c r="X41" s="681"/>
      <c r="Y41" s="681"/>
      <c r="Z41" s="681"/>
      <c r="AA41" s="681"/>
      <c r="AB41" s="681"/>
      <c r="AC41" s="681"/>
      <c r="AD41" s="681"/>
      <c r="AE41" s="82"/>
    </row>
    <row r="42" spans="1:31" ht="18" hidden="1" customHeight="1">
      <c r="A42" s="85" t="s">
        <v>179</v>
      </c>
      <c r="B42" s="34"/>
      <c r="C42" s="35"/>
      <c r="D42" s="847"/>
      <c r="E42" s="36"/>
      <c r="F42" s="55"/>
      <c r="G42" s="55"/>
      <c r="H42" s="55"/>
      <c r="I42" s="55"/>
      <c r="J42" s="55"/>
      <c r="K42" s="55"/>
      <c r="L42" s="55"/>
      <c r="M42" s="55"/>
      <c r="N42" s="55"/>
      <c r="O42" s="55"/>
      <c r="P42" s="55"/>
      <c r="Q42" s="55"/>
      <c r="R42" s="55"/>
      <c r="S42" s="55"/>
      <c r="T42" s="55"/>
      <c r="U42" s="55"/>
      <c r="V42" s="55"/>
      <c r="W42" s="55"/>
      <c r="X42" s="55"/>
      <c r="Y42" s="55"/>
      <c r="Z42" s="55"/>
      <c r="AA42" s="55"/>
      <c r="AB42" s="55"/>
      <c r="AC42" s="55"/>
      <c r="AD42" s="55"/>
      <c r="AE42" s="82"/>
    </row>
    <row r="43" spans="1:31" ht="18" hidden="1" customHeight="1">
      <c r="A43" s="86" t="s">
        <v>180</v>
      </c>
      <c r="B43" s="51"/>
      <c r="C43" s="677"/>
      <c r="D43" s="845">
        <f>C43*$C$42*$C$17</f>
        <v>0</v>
      </c>
      <c r="E43" s="678"/>
      <c r="F43" s="681"/>
      <c r="G43" s="681"/>
      <c r="H43" s="681"/>
      <c r="I43" s="681"/>
      <c r="J43" s="681"/>
      <c r="K43" s="681"/>
      <c r="L43" s="681"/>
      <c r="M43" s="681"/>
      <c r="N43" s="681"/>
      <c r="O43" s="681"/>
      <c r="P43" s="681"/>
      <c r="Q43" s="681"/>
      <c r="R43" s="681"/>
      <c r="S43" s="681"/>
      <c r="T43" s="681"/>
      <c r="U43" s="681"/>
      <c r="V43" s="681"/>
      <c r="W43" s="681"/>
      <c r="X43" s="681"/>
      <c r="Y43" s="681"/>
      <c r="Z43" s="681"/>
      <c r="AA43" s="681"/>
      <c r="AB43" s="681"/>
      <c r="AC43" s="681"/>
      <c r="AD43" s="681"/>
      <c r="AE43" s="82"/>
    </row>
    <row r="44" spans="1:31" ht="18" hidden="1" customHeight="1">
      <c r="A44" s="86" t="s">
        <v>181</v>
      </c>
      <c r="B44" s="51"/>
      <c r="C44" s="677"/>
      <c r="D44" s="845">
        <f t="shared" ref="D44:D46" si="3">C44*$C$42*$C$17</f>
        <v>0</v>
      </c>
      <c r="E44" s="678"/>
      <c r="F44" s="681"/>
      <c r="G44" s="681"/>
      <c r="H44" s="681"/>
      <c r="I44" s="681"/>
      <c r="J44" s="681"/>
      <c r="K44" s="681"/>
      <c r="L44" s="681"/>
      <c r="M44" s="681"/>
      <c r="N44" s="681"/>
      <c r="O44" s="681"/>
      <c r="P44" s="681"/>
      <c r="Q44" s="681"/>
      <c r="R44" s="681"/>
      <c r="S44" s="681"/>
      <c r="T44" s="681"/>
      <c r="U44" s="681"/>
      <c r="V44" s="681"/>
      <c r="W44" s="681"/>
      <c r="X44" s="681"/>
      <c r="Y44" s="681"/>
      <c r="Z44" s="681"/>
      <c r="AA44" s="681"/>
      <c r="AB44" s="681"/>
      <c r="AC44" s="681"/>
      <c r="AD44" s="681"/>
      <c r="AE44" s="82"/>
    </row>
    <row r="45" spans="1:31" ht="18" hidden="1" customHeight="1">
      <c r="A45" s="86" t="s">
        <v>182</v>
      </c>
      <c r="B45" s="51"/>
      <c r="C45" s="677"/>
      <c r="D45" s="845">
        <f t="shared" si="3"/>
        <v>0</v>
      </c>
      <c r="E45" s="678"/>
      <c r="F45" s="681"/>
      <c r="G45" s="681"/>
      <c r="H45" s="681"/>
      <c r="I45" s="681"/>
      <c r="J45" s="681"/>
      <c r="K45" s="681"/>
      <c r="L45" s="681"/>
      <c r="M45" s="681"/>
      <c r="N45" s="681"/>
      <c r="O45" s="681"/>
      <c r="P45" s="681"/>
      <c r="Q45" s="681"/>
      <c r="R45" s="681"/>
      <c r="S45" s="681"/>
      <c r="T45" s="681"/>
      <c r="U45" s="681"/>
      <c r="V45" s="681"/>
      <c r="W45" s="681"/>
      <c r="X45" s="681"/>
      <c r="Y45" s="681"/>
      <c r="Z45" s="681"/>
      <c r="AA45" s="681"/>
      <c r="AB45" s="681"/>
      <c r="AC45" s="681"/>
      <c r="AD45" s="681"/>
      <c r="AE45" s="82"/>
    </row>
    <row r="46" spans="1:31" ht="18" hidden="1" customHeight="1">
      <c r="A46" s="86" t="s">
        <v>183</v>
      </c>
      <c r="B46" s="51"/>
      <c r="C46" s="677"/>
      <c r="D46" s="845">
        <f t="shared" si="3"/>
        <v>0</v>
      </c>
      <c r="E46" s="678"/>
      <c r="F46" s="681"/>
      <c r="G46" s="681"/>
      <c r="H46" s="681"/>
      <c r="I46" s="681"/>
      <c r="J46" s="681"/>
      <c r="K46" s="681"/>
      <c r="L46" s="681"/>
      <c r="M46" s="681"/>
      <c r="N46" s="681"/>
      <c r="O46" s="681"/>
      <c r="P46" s="681"/>
      <c r="Q46" s="681"/>
      <c r="R46" s="681"/>
      <c r="S46" s="681"/>
      <c r="T46" s="681"/>
      <c r="U46" s="681"/>
      <c r="V46" s="681"/>
      <c r="W46" s="681"/>
      <c r="X46" s="681"/>
      <c r="Y46" s="681"/>
      <c r="Z46" s="681"/>
      <c r="AA46" s="681"/>
      <c r="AB46" s="681"/>
      <c r="AC46" s="681"/>
      <c r="AD46" s="681"/>
      <c r="AE46" s="82"/>
    </row>
    <row r="47" spans="1:31" ht="12.75" hidden="1">
      <c r="A47" s="86" t="s">
        <v>184</v>
      </c>
      <c r="B47" s="51"/>
      <c r="C47" s="677"/>
      <c r="D47" s="845">
        <f>C47*$C$42*$C$17</f>
        <v>0</v>
      </c>
      <c r="E47" s="678"/>
      <c r="F47" s="681"/>
      <c r="G47" s="681"/>
      <c r="H47" s="681"/>
      <c r="I47" s="681"/>
      <c r="J47" s="681"/>
      <c r="K47" s="681"/>
      <c r="L47" s="681"/>
      <c r="M47" s="681"/>
      <c r="N47" s="681"/>
      <c r="O47" s="681"/>
      <c r="P47" s="681"/>
      <c r="Q47" s="681"/>
      <c r="R47" s="681"/>
      <c r="S47" s="681"/>
      <c r="T47" s="681"/>
      <c r="U47" s="681"/>
      <c r="V47" s="681"/>
      <c r="W47" s="681"/>
      <c r="X47" s="681"/>
      <c r="Y47" s="681"/>
      <c r="Z47" s="681"/>
      <c r="AA47" s="681"/>
      <c r="AB47" s="681"/>
      <c r="AC47" s="681"/>
      <c r="AD47" s="681"/>
      <c r="AE47" s="82"/>
    </row>
    <row r="48" spans="1:31" ht="25.5">
      <c r="A48" s="84" t="s">
        <v>185</v>
      </c>
      <c r="B48" s="848" t="s">
        <v>186</v>
      </c>
      <c r="C48" s="38">
        <v>0.9</v>
      </c>
      <c r="D48" s="846"/>
      <c r="E48" s="39" t="s">
        <v>187</v>
      </c>
      <c r="F48" s="54">
        <v>4</v>
      </c>
      <c r="G48" s="54">
        <v>1</v>
      </c>
      <c r="H48" s="54">
        <v>1</v>
      </c>
      <c r="I48" s="54">
        <v>1</v>
      </c>
      <c r="J48" s="54">
        <v>1</v>
      </c>
      <c r="K48" s="460"/>
      <c r="L48" s="54"/>
      <c r="M48" s="54"/>
      <c r="N48" s="54"/>
      <c r="O48" s="54"/>
      <c r="P48" s="54"/>
      <c r="Q48" s="54"/>
      <c r="R48" s="54"/>
      <c r="S48" s="54"/>
      <c r="T48" s="54"/>
      <c r="U48" s="54"/>
      <c r="V48" s="54"/>
      <c r="W48" s="54"/>
      <c r="X48" s="54"/>
      <c r="Y48" s="54"/>
      <c r="Z48" s="54"/>
      <c r="AA48" s="54"/>
      <c r="AB48" s="54"/>
      <c r="AC48" s="54"/>
      <c r="AD48" s="54"/>
      <c r="AE48" s="82"/>
    </row>
    <row r="49" spans="1:31" ht="18" customHeight="1">
      <c r="A49" s="85" t="s">
        <v>188</v>
      </c>
      <c r="B49" s="34"/>
      <c r="C49" s="35">
        <v>1</v>
      </c>
      <c r="D49" s="847"/>
      <c r="E49" s="36" t="s">
        <v>187</v>
      </c>
      <c r="F49" s="55">
        <v>4</v>
      </c>
      <c r="G49" s="55">
        <v>1</v>
      </c>
      <c r="H49" s="55">
        <v>1</v>
      </c>
      <c r="I49" s="55">
        <v>1</v>
      </c>
      <c r="J49" s="55">
        <v>1</v>
      </c>
      <c r="K49" s="851"/>
      <c r="L49" s="55"/>
      <c r="M49" s="55"/>
      <c r="N49" s="55"/>
      <c r="O49" s="55"/>
      <c r="P49" s="55"/>
      <c r="Q49" s="55"/>
      <c r="R49" s="55"/>
      <c r="S49" s="55"/>
      <c r="T49" s="55"/>
      <c r="U49" s="55"/>
      <c r="V49" s="55"/>
      <c r="W49" s="55"/>
      <c r="X49" s="55"/>
      <c r="Y49" s="55"/>
      <c r="Z49" s="55"/>
      <c r="AA49" s="55"/>
      <c r="AB49" s="55"/>
      <c r="AC49" s="55"/>
      <c r="AD49" s="55"/>
      <c r="AE49" s="82"/>
    </row>
    <row r="50" spans="1:31" ht="18" customHeight="1">
      <c r="A50" s="86" t="s">
        <v>189</v>
      </c>
      <c r="B50" s="51"/>
      <c r="C50" s="677">
        <v>1</v>
      </c>
      <c r="D50" s="845">
        <f>C50*$C$49*$C$48</f>
        <v>0.9</v>
      </c>
      <c r="E50" s="678" t="s">
        <v>187</v>
      </c>
      <c r="F50" s="681">
        <v>4</v>
      </c>
      <c r="G50" s="681">
        <v>1</v>
      </c>
      <c r="H50" s="681">
        <v>1</v>
      </c>
      <c r="I50" s="681">
        <v>1</v>
      </c>
      <c r="J50" s="681">
        <v>1</v>
      </c>
      <c r="K50" s="852"/>
      <c r="L50" s="681"/>
      <c r="M50" s="681"/>
      <c r="N50" s="681"/>
      <c r="O50" s="681"/>
      <c r="P50" s="681"/>
      <c r="Q50" s="681"/>
      <c r="R50" s="681"/>
      <c r="S50" s="681"/>
      <c r="T50" s="681"/>
      <c r="U50" s="681"/>
      <c r="V50" s="681"/>
      <c r="W50" s="681"/>
      <c r="X50" s="681"/>
      <c r="Y50" s="681"/>
      <c r="Z50" s="681"/>
      <c r="AA50" s="681"/>
      <c r="AB50" s="681"/>
      <c r="AC50" s="681"/>
      <c r="AD50" s="681"/>
      <c r="AE50" s="82"/>
    </row>
    <row r="51" spans="1:31" ht="18" hidden="1" customHeight="1">
      <c r="A51" s="86" t="s">
        <v>190</v>
      </c>
      <c r="B51" s="51"/>
      <c r="C51" s="677"/>
      <c r="D51" s="845">
        <f t="shared" ref="D51:D52" si="4">C51*$C$49*$C$48</f>
        <v>0</v>
      </c>
      <c r="E51" s="678"/>
      <c r="F51" s="681"/>
      <c r="G51" s="681"/>
      <c r="H51" s="681"/>
      <c r="I51" s="681"/>
      <c r="J51" s="681"/>
      <c r="K51" s="681"/>
      <c r="L51" s="681"/>
      <c r="M51" s="681"/>
      <c r="N51" s="681"/>
      <c r="O51" s="681"/>
      <c r="P51" s="681"/>
      <c r="Q51" s="681"/>
      <c r="R51" s="681"/>
      <c r="S51" s="681"/>
      <c r="T51" s="681"/>
      <c r="U51" s="681"/>
      <c r="V51" s="681"/>
      <c r="W51" s="681"/>
      <c r="X51" s="681"/>
      <c r="Y51" s="681"/>
      <c r="Z51" s="681"/>
      <c r="AA51" s="681"/>
      <c r="AB51" s="681"/>
      <c r="AC51" s="681"/>
      <c r="AD51" s="681"/>
      <c r="AE51" s="82">
        <f t="shared" ref="AE51:AE80" si="5">F51-SUM(G51:AD51)</f>
        <v>0</v>
      </c>
    </row>
    <row r="52" spans="1:31" ht="18" hidden="1" customHeight="1">
      <c r="A52" s="86" t="s">
        <v>191</v>
      </c>
      <c r="B52" s="51"/>
      <c r="C52" s="677"/>
      <c r="D52" s="845">
        <f t="shared" si="4"/>
        <v>0</v>
      </c>
      <c r="E52" s="678"/>
      <c r="F52" s="681"/>
      <c r="G52" s="681"/>
      <c r="H52" s="681"/>
      <c r="I52" s="681"/>
      <c r="J52" s="681"/>
      <c r="K52" s="681"/>
      <c r="L52" s="681"/>
      <c r="M52" s="681"/>
      <c r="N52" s="681"/>
      <c r="O52" s="681"/>
      <c r="P52" s="681"/>
      <c r="Q52" s="681"/>
      <c r="R52" s="681"/>
      <c r="S52" s="681"/>
      <c r="T52" s="681"/>
      <c r="U52" s="681"/>
      <c r="V52" s="681"/>
      <c r="W52" s="681"/>
      <c r="X52" s="681"/>
      <c r="Y52" s="681"/>
      <c r="Z52" s="681"/>
      <c r="AA52" s="681"/>
      <c r="AB52" s="681"/>
      <c r="AC52" s="681"/>
      <c r="AD52" s="681"/>
      <c r="AE52" s="82">
        <f t="shared" si="5"/>
        <v>0</v>
      </c>
    </row>
    <row r="53" spans="1:31" ht="18" hidden="1" customHeight="1">
      <c r="A53" s="86" t="s">
        <v>192</v>
      </c>
      <c r="B53" s="51"/>
      <c r="C53" s="677"/>
      <c r="D53" s="845">
        <f>C53*$C$49*$C$48</f>
        <v>0</v>
      </c>
      <c r="E53" s="678"/>
      <c r="F53" s="681"/>
      <c r="G53" s="681"/>
      <c r="H53" s="681"/>
      <c r="I53" s="681"/>
      <c r="J53" s="681"/>
      <c r="K53" s="681"/>
      <c r="L53" s="681"/>
      <c r="M53" s="681"/>
      <c r="N53" s="681"/>
      <c r="O53" s="681"/>
      <c r="P53" s="681"/>
      <c r="Q53" s="681"/>
      <c r="R53" s="681"/>
      <c r="S53" s="681"/>
      <c r="T53" s="681"/>
      <c r="U53" s="681"/>
      <c r="V53" s="681"/>
      <c r="W53" s="681"/>
      <c r="X53" s="681"/>
      <c r="Y53" s="681"/>
      <c r="Z53" s="681"/>
      <c r="AA53" s="681"/>
      <c r="AB53" s="681"/>
      <c r="AC53" s="681"/>
      <c r="AD53" s="681"/>
      <c r="AE53" s="82">
        <f t="shared" si="5"/>
        <v>0</v>
      </c>
    </row>
    <row r="54" spans="1:31" ht="18" hidden="1" customHeight="1">
      <c r="A54" s="86" t="s">
        <v>193</v>
      </c>
      <c r="B54" s="51"/>
      <c r="C54" s="677"/>
      <c r="D54" s="845">
        <f>C54*$C$49*$C$48</f>
        <v>0</v>
      </c>
      <c r="E54" s="678"/>
      <c r="F54" s="681"/>
      <c r="G54" s="681"/>
      <c r="H54" s="681"/>
      <c r="I54" s="681"/>
      <c r="J54" s="681"/>
      <c r="K54" s="681"/>
      <c r="L54" s="681"/>
      <c r="M54" s="681"/>
      <c r="N54" s="681"/>
      <c r="O54" s="681"/>
      <c r="P54" s="681"/>
      <c r="Q54" s="681"/>
      <c r="R54" s="681"/>
      <c r="S54" s="681"/>
      <c r="T54" s="681"/>
      <c r="U54" s="681"/>
      <c r="V54" s="681"/>
      <c r="W54" s="681"/>
      <c r="X54" s="681"/>
      <c r="Y54" s="681"/>
      <c r="Z54" s="681"/>
      <c r="AA54" s="681"/>
      <c r="AB54" s="681"/>
      <c r="AC54" s="681"/>
      <c r="AD54" s="681"/>
      <c r="AE54" s="82">
        <f t="shared" si="5"/>
        <v>0</v>
      </c>
    </row>
    <row r="55" spans="1:31" ht="18" hidden="1" customHeight="1">
      <c r="A55" s="85" t="s">
        <v>194</v>
      </c>
      <c r="B55" s="34"/>
      <c r="C55" s="35"/>
      <c r="D55" s="847"/>
      <c r="E55" s="36"/>
      <c r="F55" s="55"/>
      <c r="G55" s="55">
        <f>SUM(G56:G60)</f>
        <v>0</v>
      </c>
      <c r="H55" s="55">
        <f t="shared" ref="H55" si="6">SUM(H56:H60)</f>
        <v>0</v>
      </c>
      <c r="I55" s="55">
        <f t="shared" ref="I55" si="7">SUM(I56:I60)</f>
        <v>0</v>
      </c>
      <c r="J55" s="55">
        <f>SUM(J56:J60)</f>
        <v>0</v>
      </c>
      <c r="K55" s="55">
        <f t="shared" ref="K55" si="8">SUM(K56:K60)</f>
        <v>0</v>
      </c>
      <c r="L55" s="55">
        <f t="shared" ref="L55" si="9">SUM(L56:L60)</f>
        <v>0</v>
      </c>
      <c r="M55" s="55">
        <f t="shared" ref="M55" si="10">SUM(M56:M60)</f>
        <v>0</v>
      </c>
      <c r="N55" s="55">
        <f t="shared" ref="N55" si="11">SUM(N56:N60)</f>
        <v>0</v>
      </c>
      <c r="O55" s="55">
        <f t="shared" ref="O55" si="12">SUM(O56:O60)</f>
        <v>0</v>
      </c>
      <c r="P55" s="55">
        <f t="shared" ref="P55" si="13">SUM(P56:P60)</f>
        <v>0</v>
      </c>
      <c r="Q55" s="55">
        <f t="shared" ref="Q55:AD55" si="14">SUM(Q56:Q60)</f>
        <v>0</v>
      </c>
      <c r="R55" s="55">
        <f t="shared" si="14"/>
        <v>0</v>
      </c>
      <c r="S55" s="55">
        <f t="shared" si="14"/>
        <v>0</v>
      </c>
      <c r="T55" s="55">
        <f t="shared" si="14"/>
        <v>0</v>
      </c>
      <c r="U55" s="55">
        <f t="shared" si="14"/>
        <v>0</v>
      </c>
      <c r="V55" s="55">
        <f t="shared" si="14"/>
        <v>0</v>
      </c>
      <c r="W55" s="55">
        <f t="shared" si="14"/>
        <v>0</v>
      </c>
      <c r="X55" s="55">
        <f t="shared" si="14"/>
        <v>0</v>
      </c>
      <c r="Y55" s="55">
        <f t="shared" si="14"/>
        <v>0</v>
      </c>
      <c r="Z55" s="55">
        <f t="shared" si="14"/>
        <v>0</v>
      </c>
      <c r="AA55" s="55">
        <f t="shared" si="14"/>
        <v>0</v>
      </c>
      <c r="AB55" s="55">
        <f t="shared" si="14"/>
        <v>0</v>
      </c>
      <c r="AC55" s="55">
        <f t="shared" si="14"/>
        <v>0</v>
      </c>
      <c r="AD55" s="55">
        <f t="shared" si="14"/>
        <v>0</v>
      </c>
      <c r="AE55" s="82">
        <f t="shared" si="5"/>
        <v>0</v>
      </c>
    </row>
    <row r="56" spans="1:31" ht="18" hidden="1" customHeight="1">
      <c r="A56" s="86" t="s">
        <v>195</v>
      </c>
      <c r="B56" s="51"/>
      <c r="C56" s="677"/>
      <c r="D56" s="845">
        <f>C56*$C$55*$C$48</f>
        <v>0</v>
      </c>
      <c r="E56" s="678"/>
      <c r="F56" s="681"/>
      <c r="G56" s="681"/>
      <c r="H56" s="681"/>
      <c r="I56" s="681"/>
      <c r="J56" s="681"/>
      <c r="K56" s="681"/>
      <c r="L56" s="681"/>
      <c r="M56" s="681"/>
      <c r="N56" s="681"/>
      <c r="O56" s="681"/>
      <c r="P56" s="681"/>
      <c r="Q56" s="681"/>
      <c r="R56" s="681"/>
      <c r="S56" s="681"/>
      <c r="T56" s="681"/>
      <c r="U56" s="681"/>
      <c r="V56" s="681"/>
      <c r="W56" s="681"/>
      <c r="X56" s="681"/>
      <c r="Y56" s="681"/>
      <c r="Z56" s="681"/>
      <c r="AA56" s="681"/>
      <c r="AB56" s="681"/>
      <c r="AC56" s="681"/>
      <c r="AD56" s="681"/>
      <c r="AE56" s="82">
        <f t="shared" si="5"/>
        <v>0</v>
      </c>
    </row>
    <row r="57" spans="1:31" ht="18" hidden="1" customHeight="1">
      <c r="A57" s="86" t="s">
        <v>196</v>
      </c>
      <c r="B57" s="51"/>
      <c r="C57" s="677"/>
      <c r="D57" s="845">
        <f t="shared" ref="D57:D59" si="15">C57*$C$55*$C$48</f>
        <v>0</v>
      </c>
      <c r="E57" s="678"/>
      <c r="F57" s="681"/>
      <c r="G57" s="681"/>
      <c r="H57" s="681"/>
      <c r="I57" s="681"/>
      <c r="J57" s="681"/>
      <c r="K57" s="681"/>
      <c r="L57" s="681"/>
      <c r="M57" s="681"/>
      <c r="N57" s="681"/>
      <c r="O57" s="681"/>
      <c r="P57" s="681"/>
      <c r="Q57" s="681"/>
      <c r="R57" s="681"/>
      <c r="S57" s="681"/>
      <c r="T57" s="681"/>
      <c r="U57" s="681"/>
      <c r="V57" s="681"/>
      <c r="W57" s="681"/>
      <c r="X57" s="681"/>
      <c r="Y57" s="681"/>
      <c r="Z57" s="681"/>
      <c r="AA57" s="681"/>
      <c r="AB57" s="681"/>
      <c r="AC57" s="681"/>
      <c r="AD57" s="681"/>
      <c r="AE57" s="82">
        <f t="shared" si="5"/>
        <v>0</v>
      </c>
    </row>
    <row r="58" spans="1:31" ht="18" hidden="1" customHeight="1">
      <c r="A58" s="86" t="s">
        <v>197</v>
      </c>
      <c r="B58" s="51"/>
      <c r="C58" s="677"/>
      <c r="D58" s="845">
        <f t="shared" si="15"/>
        <v>0</v>
      </c>
      <c r="E58" s="678"/>
      <c r="F58" s="681"/>
      <c r="G58" s="681"/>
      <c r="H58" s="681"/>
      <c r="I58" s="681"/>
      <c r="J58" s="681"/>
      <c r="K58" s="681"/>
      <c r="L58" s="681"/>
      <c r="M58" s="681"/>
      <c r="N58" s="681"/>
      <c r="O58" s="681"/>
      <c r="P58" s="681"/>
      <c r="Q58" s="681"/>
      <c r="R58" s="681"/>
      <c r="S58" s="681"/>
      <c r="T58" s="681"/>
      <c r="U58" s="681"/>
      <c r="V58" s="681"/>
      <c r="W58" s="681"/>
      <c r="X58" s="681"/>
      <c r="Y58" s="681"/>
      <c r="Z58" s="681"/>
      <c r="AA58" s="681"/>
      <c r="AB58" s="681"/>
      <c r="AC58" s="681"/>
      <c r="AD58" s="681"/>
      <c r="AE58" s="82">
        <f t="shared" si="5"/>
        <v>0</v>
      </c>
    </row>
    <row r="59" spans="1:31" ht="18" hidden="1" customHeight="1">
      <c r="A59" s="86" t="s">
        <v>198</v>
      </c>
      <c r="B59" s="51"/>
      <c r="C59" s="677"/>
      <c r="D59" s="845">
        <f t="shared" si="15"/>
        <v>0</v>
      </c>
      <c r="E59" s="678"/>
      <c r="F59" s="681"/>
      <c r="G59" s="681"/>
      <c r="H59" s="681"/>
      <c r="I59" s="681"/>
      <c r="J59" s="681"/>
      <c r="K59" s="681"/>
      <c r="L59" s="681"/>
      <c r="M59" s="681"/>
      <c r="N59" s="681"/>
      <c r="O59" s="681"/>
      <c r="P59" s="681"/>
      <c r="Q59" s="681"/>
      <c r="R59" s="681"/>
      <c r="S59" s="681"/>
      <c r="T59" s="681"/>
      <c r="U59" s="681"/>
      <c r="V59" s="681"/>
      <c r="W59" s="681"/>
      <c r="X59" s="681"/>
      <c r="Y59" s="681"/>
      <c r="Z59" s="681"/>
      <c r="AA59" s="681"/>
      <c r="AB59" s="681"/>
      <c r="AC59" s="681"/>
      <c r="AD59" s="681"/>
      <c r="AE59" s="82">
        <f t="shared" si="5"/>
        <v>0</v>
      </c>
    </row>
    <row r="60" spans="1:31" ht="18" hidden="1" customHeight="1">
      <c r="A60" s="86" t="s">
        <v>199</v>
      </c>
      <c r="B60" s="51"/>
      <c r="C60" s="677"/>
      <c r="D60" s="845">
        <f>C60*$C$55*$C$48</f>
        <v>0</v>
      </c>
      <c r="E60" s="678"/>
      <c r="F60" s="681"/>
      <c r="G60" s="681"/>
      <c r="H60" s="681"/>
      <c r="I60" s="681"/>
      <c r="J60" s="681"/>
      <c r="K60" s="681"/>
      <c r="L60" s="681"/>
      <c r="M60" s="681"/>
      <c r="N60" s="681"/>
      <c r="O60" s="681"/>
      <c r="P60" s="681"/>
      <c r="Q60" s="681"/>
      <c r="R60" s="681"/>
      <c r="S60" s="681"/>
      <c r="T60" s="681"/>
      <c r="U60" s="681"/>
      <c r="V60" s="681"/>
      <c r="W60" s="681"/>
      <c r="X60" s="681"/>
      <c r="Y60" s="681"/>
      <c r="Z60" s="681"/>
      <c r="AA60" s="681"/>
      <c r="AB60" s="681"/>
      <c r="AC60" s="681"/>
      <c r="AD60" s="681"/>
      <c r="AE60" s="82">
        <f t="shared" si="5"/>
        <v>0</v>
      </c>
    </row>
    <row r="61" spans="1:31" ht="18" hidden="1" customHeight="1">
      <c r="A61" s="85" t="s">
        <v>200</v>
      </c>
      <c r="B61" s="34"/>
      <c r="C61" s="35"/>
      <c r="D61" s="847"/>
      <c r="E61" s="36"/>
      <c r="F61" s="55"/>
      <c r="G61" s="55">
        <f>SUM(G62:G66)</f>
        <v>0</v>
      </c>
      <c r="H61" s="55">
        <f>SUM(H62:H66)</f>
        <v>0</v>
      </c>
      <c r="I61" s="55">
        <f t="shared" ref="I61" si="16">SUM(I62:I66)</f>
        <v>0</v>
      </c>
      <c r="J61" s="55">
        <f t="shared" ref="J61" si="17">SUM(J62:J66)</f>
        <v>0</v>
      </c>
      <c r="K61" s="55">
        <f>SUM(K62:K66)</f>
        <v>0</v>
      </c>
      <c r="L61" s="55">
        <f t="shared" ref="L61" si="18">SUM(L62:L66)</f>
        <v>0</v>
      </c>
      <c r="M61" s="55">
        <f t="shared" ref="M61" si="19">SUM(M62:M66)</f>
        <v>0</v>
      </c>
      <c r="N61" s="55">
        <f t="shared" ref="N61" si="20">SUM(N62:N66)</f>
        <v>0</v>
      </c>
      <c r="O61" s="55">
        <f t="shared" ref="O61" si="21">SUM(O62:O66)</f>
        <v>0</v>
      </c>
      <c r="P61" s="55">
        <f t="shared" ref="P61" si="22">SUM(P62:P66)</f>
        <v>0</v>
      </c>
      <c r="Q61" s="55">
        <f t="shared" ref="Q61:AD61" si="23">SUM(Q62:Q66)</f>
        <v>0</v>
      </c>
      <c r="R61" s="55">
        <f t="shared" si="23"/>
        <v>0</v>
      </c>
      <c r="S61" s="55">
        <f t="shared" si="23"/>
        <v>0</v>
      </c>
      <c r="T61" s="55">
        <f t="shared" si="23"/>
        <v>0</v>
      </c>
      <c r="U61" s="55">
        <f t="shared" si="23"/>
        <v>0</v>
      </c>
      <c r="V61" s="55">
        <f t="shared" si="23"/>
        <v>0</v>
      </c>
      <c r="W61" s="55">
        <f t="shared" si="23"/>
        <v>0</v>
      </c>
      <c r="X61" s="55">
        <f t="shared" si="23"/>
        <v>0</v>
      </c>
      <c r="Y61" s="55">
        <f t="shared" si="23"/>
        <v>0</v>
      </c>
      <c r="Z61" s="55">
        <f t="shared" si="23"/>
        <v>0</v>
      </c>
      <c r="AA61" s="55">
        <f t="shared" si="23"/>
        <v>0</v>
      </c>
      <c r="AB61" s="55">
        <f t="shared" si="23"/>
        <v>0</v>
      </c>
      <c r="AC61" s="55">
        <f t="shared" si="23"/>
        <v>0</v>
      </c>
      <c r="AD61" s="55">
        <f t="shared" si="23"/>
        <v>0</v>
      </c>
      <c r="AE61" s="82">
        <f t="shared" si="5"/>
        <v>0</v>
      </c>
    </row>
    <row r="62" spans="1:31" ht="18" hidden="1" customHeight="1">
      <c r="A62" s="86" t="s">
        <v>201</v>
      </c>
      <c r="B62" s="51"/>
      <c r="C62" s="677"/>
      <c r="D62" s="845">
        <f>C62*$C$61*$C$48</f>
        <v>0</v>
      </c>
      <c r="E62" s="678"/>
      <c r="F62" s="681"/>
      <c r="G62" s="681"/>
      <c r="H62" s="681"/>
      <c r="I62" s="681"/>
      <c r="J62" s="681"/>
      <c r="K62" s="681"/>
      <c r="L62" s="681"/>
      <c r="M62" s="681"/>
      <c r="N62" s="681"/>
      <c r="O62" s="681"/>
      <c r="P62" s="681"/>
      <c r="Q62" s="681"/>
      <c r="R62" s="681"/>
      <c r="S62" s="681"/>
      <c r="T62" s="681"/>
      <c r="U62" s="681"/>
      <c r="V62" s="681"/>
      <c r="W62" s="681"/>
      <c r="X62" s="681"/>
      <c r="Y62" s="681"/>
      <c r="Z62" s="681"/>
      <c r="AA62" s="681"/>
      <c r="AB62" s="681"/>
      <c r="AC62" s="681"/>
      <c r="AD62" s="681"/>
      <c r="AE62" s="82">
        <f t="shared" si="5"/>
        <v>0</v>
      </c>
    </row>
    <row r="63" spans="1:31" ht="18" hidden="1" customHeight="1">
      <c r="A63" s="86" t="s">
        <v>202</v>
      </c>
      <c r="B63" s="51"/>
      <c r="C63" s="677"/>
      <c r="D63" s="845">
        <f t="shared" ref="D63:D64" si="24">C63*$C$61*$C$48</f>
        <v>0</v>
      </c>
      <c r="E63" s="678"/>
      <c r="F63" s="681"/>
      <c r="G63" s="681"/>
      <c r="H63" s="681"/>
      <c r="I63" s="681"/>
      <c r="J63" s="681"/>
      <c r="K63" s="681"/>
      <c r="L63" s="681"/>
      <c r="M63" s="681"/>
      <c r="N63" s="681"/>
      <c r="O63" s="681"/>
      <c r="P63" s="681"/>
      <c r="Q63" s="681"/>
      <c r="R63" s="681"/>
      <c r="S63" s="681"/>
      <c r="T63" s="681"/>
      <c r="U63" s="681"/>
      <c r="V63" s="681"/>
      <c r="W63" s="681"/>
      <c r="X63" s="681"/>
      <c r="Y63" s="681"/>
      <c r="Z63" s="681"/>
      <c r="AA63" s="681"/>
      <c r="AB63" s="681"/>
      <c r="AC63" s="681"/>
      <c r="AD63" s="681"/>
      <c r="AE63" s="82">
        <f t="shared" si="5"/>
        <v>0</v>
      </c>
    </row>
    <row r="64" spans="1:31" ht="18" hidden="1" customHeight="1">
      <c r="A64" s="86" t="s">
        <v>203</v>
      </c>
      <c r="B64" s="51"/>
      <c r="C64" s="677"/>
      <c r="D64" s="845">
        <f t="shared" si="24"/>
        <v>0</v>
      </c>
      <c r="E64" s="678"/>
      <c r="F64" s="681"/>
      <c r="G64" s="681"/>
      <c r="H64" s="681"/>
      <c r="I64" s="681"/>
      <c r="J64" s="681"/>
      <c r="K64" s="681"/>
      <c r="L64" s="681"/>
      <c r="M64" s="681"/>
      <c r="N64" s="681"/>
      <c r="O64" s="681"/>
      <c r="P64" s="681"/>
      <c r="Q64" s="681"/>
      <c r="R64" s="681"/>
      <c r="S64" s="681"/>
      <c r="T64" s="681"/>
      <c r="U64" s="681"/>
      <c r="V64" s="681"/>
      <c r="W64" s="681"/>
      <c r="X64" s="681"/>
      <c r="Y64" s="681"/>
      <c r="Z64" s="681"/>
      <c r="AA64" s="681"/>
      <c r="AB64" s="681"/>
      <c r="AC64" s="681"/>
      <c r="AD64" s="681"/>
      <c r="AE64" s="82">
        <f t="shared" si="5"/>
        <v>0</v>
      </c>
    </row>
    <row r="65" spans="1:31" ht="18" hidden="1" customHeight="1">
      <c r="A65" s="86" t="s">
        <v>204</v>
      </c>
      <c r="B65" s="51"/>
      <c r="C65" s="677"/>
      <c r="D65" s="845">
        <f>C65*$C$61*$C$48</f>
        <v>0</v>
      </c>
      <c r="E65" s="678"/>
      <c r="F65" s="681"/>
      <c r="G65" s="681"/>
      <c r="H65" s="681"/>
      <c r="I65" s="681"/>
      <c r="J65" s="681"/>
      <c r="K65" s="681"/>
      <c r="L65" s="681"/>
      <c r="M65" s="681"/>
      <c r="N65" s="681"/>
      <c r="O65" s="681"/>
      <c r="P65" s="681"/>
      <c r="Q65" s="681"/>
      <c r="R65" s="681"/>
      <c r="S65" s="681"/>
      <c r="T65" s="681"/>
      <c r="U65" s="681"/>
      <c r="V65" s="681"/>
      <c r="W65" s="681"/>
      <c r="X65" s="681"/>
      <c r="Y65" s="681"/>
      <c r="Z65" s="681"/>
      <c r="AA65" s="681"/>
      <c r="AB65" s="681"/>
      <c r="AC65" s="681"/>
      <c r="AD65" s="681"/>
      <c r="AE65" s="82">
        <f t="shared" si="5"/>
        <v>0</v>
      </c>
    </row>
    <row r="66" spans="1:31" ht="18" hidden="1" customHeight="1">
      <c r="A66" s="86" t="s">
        <v>205</v>
      </c>
      <c r="B66" s="51"/>
      <c r="C66" s="677"/>
      <c r="D66" s="845">
        <f>C66*$C$61*$C$48</f>
        <v>0</v>
      </c>
      <c r="E66" s="678"/>
      <c r="F66" s="681"/>
      <c r="G66" s="681"/>
      <c r="H66" s="681"/>
      <c r="I66" s="681"/>
      <c r="J66" s="681"/>
      <c r="K66" s="681"/>
      <c r="L66" s="681"/>
      <c r="M66" s="681"/>
      <c r="N66" s="681"/>
      <c r="O66" s="681"/>
      <c r="P66" s="681"/>
      <c r="Q66" s="681"/>
      <c r="R66" s="681"/>
      <c r="S66" s="681"/>
      <c r="T66" s="681"/>
      <c r="U66" s="681"/>
      <c r="V66" s="681"/>
      <c r="W66" s="681"/>
      <c r="X66" s="681"/>
      <c r="Y66" s="681"/>
      <c r="Z66" s="681"/>
      <c r="AA66" s="681"/>
      <c r="AB66" s="681"/>
      <c r="AC66" s="681"/>
      <c r="AD66" s="681"/>
      <c r="AE66" s="82">
        <f t="shared" si="5"/>
        <v>0</v>
      </c>
    </row>
    <row r="67" spans="1:31" ht="18" hidden="1" customHeight="1">
      <c r="A67" s="85" t="s">
        <v>206</v>
      </c>
      <c r="B67" s="34"/>
      <c r="C67" s="35"/>
      <c r="D67" s="847"/>
      <c r="E67" s="36"/>
      <c r="F67" s="55"/>
      <c r="G67" s="55">
        <f>SUM(G68:G72)</f>
        <v>0</v>
      </c>
      <c r="H67" s="55">
        <f>SUM(H68:H72)</f>
        <v>0</v>
      </c>
      <c r="I67" s="55">
        <f t="shared" ref="I67" si="25">SUM(I68:I72)</f>
        <v>0</v>
      </c>
      <c r="J67" s="55">
        <f>SUM(J68:J72)</f>
        <v>0</v>
      </c>
      <c r="K67" s="55">
        <f>SUM(K68:K72)</f>
        <v>0</v>
      </c>
      <c r="L67" s="55">
        <f t="shared" ref="L67:AD67" si="26">SUM(L68:L72)</f>
        <v>0</v>
      </c>
      <c r="M67" s="55">
        <f t="shared" si="26"/>
        <v>0</v>
      </c>
      <c r="N67" s="55">
        <f t="shared" si="26"/>
        <v>0</v>
      </c>
      <c r="O67" s="55">
        <f t="shared" si="26"/>
        <v>0</v>
      </c>
      <c r="P67" s="55">
        <f t="shared" si="26"/>
        <v>0</v>
      </c>
      <c r="Q67" s="55">
        <f t="shared" si="26"/>
        <v>0</v>
      </c>
      <c r="R67" s="55">
        <f t="shared" si="26"/>
        <v>0</v>
      </c>
      <c r="S67" s="55">
        <f t="shared" si="26"/>
        <v>0</v>
      </c>
      <c r="T67" s="55">
        <f t="shared" si="26"/>
        <v>0</v>
      </c>
      <c r="U67" s="55">
        <f t="shared" si="26"/>
        <v>0</v>
      </c>
      <c r="V67" s="55">
        <f t="shared" si="26"/>
        <v>0</v>
      </c>
      <c r="W67" s="55">
        <f t="shared" si="26"/>
        <v>0</v>
      </c>
      <c r="X67" s="55">
        <f t="shared" si="26"/>
        <v>0</v>
      </c>
      <c r="Y67" s="55">
        <f t="shared" si="26"/>
        <v>0</v>
      </c>
      <c r="Z67" s="55">
        <f t="shared" si="26"/>
        <v>0</v>
      </c>
      <c r="AA67" s="55">
        <f t="shared" si="26"/>
        <v>0</v>
      </c>
      <c r="AB67" s="55">
        <f t="shared" si="26"/>
        <v>0</v>
      </c>
      <c r="AC67" s="55">
        <f t="shared" si="26"/>
        <v>0</v>
      </c>
      <c r="AD67" s="55">
        <f t="shared" si="26"/>
        <v>0</v>
      </c>
      <c r="AE67" s="82">
        <f t="shared" si="5"/>
        <v>0</v>
      </c>
    </row>
    <row r="68" spans="1:31" ht="18" hidden="1" customHeight="1">
      <c r="A68" s="86" t="s">
        <v>207</v>
      </c>
      <c r="B68" s="51"/>
      <c r="C68" s="677"/>
      <c r="D68" s="845">
        <f>C68*$C$67*$C$48</f>
        <v>0</v>
      </c>
      <c r="E68" s="678"/>
      <c r="F68" s="681"/>
      <c r="G68" s="681"/>
      <c r="H68" s="681"/>
      <c r="I68" s="681"/>
      <c r="J68" s="681"/>
      <c r="K68" s="681"/>
      <c r="L68" s="681"/>
      <c r="M68" s="681"/>
      <c r="N68" s="681"/>
      <c r="O68" s="681"/>
      <c r="P68" s="681"/>
      <c r="Q68" s="681"/>
      <c r="R68" s="681"/>
      <c r="S68" s="681"/>
      <c r="T68" s="681"/>
      <c r="U68" s="681"/>
      <c r="V68" s="681"/>
      <c r="W68" s="681"/>
      <c r="X68" s="681"/>
      <c r="Y68" s="681"/>
      <c r="Z68" s="681"/>
      <c r="AA68" s="681"/>
      <c r="AB68" s="681"/>
      <c r="AC68" s="681"/>
      <c r="AD68" s="681"/>
      <c r="AE68" s="82">
        <f t="shared" si="5"/>
        <v>0</v>
      </c>
    </row>
    <row r="69" spans="1:31" ht="18" hidden="1" customHeight="1">
      <c r="A69" s="86" t="s">
        <v>208</v>
      </c>
      <c r="B69" s="51"/>
      <c r="C69" s="677"/>
      <c r="D69" s="845">
        <f t="shared" ref="D69:D71" si="27">C69*$C$67*$C$48</f>
        <v>0</v>
      </c>
      <c r="E69" s="678"/>
      <c r="F69" s="681"/>
      <c r="G69" s="681"/>
      <c r="H69" s="681"/>
      <c r="I69" s="681"/>
      <c r="J69" s="681"/>
      <c r="K69" s="681"/>
      <c r="L69" s="681"/>
      <c r="M69" s="681"/>
      <c r="N69" s="681"/>
      <c r="O69" s="681"/>
      <c r="P69" s="681"/>
      <c r="Q69" s="681"/>
      <c r="R69" s="681"/>
      <c r="S69" s="681"/>
      <c r="T69" s="681"/>
      <c r="U69" s="681"/>
      <c r="V69" s="681"/>
      <c r="W69" s="681"/>
      <c r="X69" s="681"/>
      <c r="Y69" s="681"/>
      <c r="Z69" s="681"/>
      <c r="AA69" s="681"/>
      <c r="AB69" s="681"/>
      <c r="AC69" s="681"/>
      <c r="AD69" s="681"/>
      <c r="AE69" s="82">
        <f t="shared" si="5"/>
        <v>0</v>
      </c>
    </row>
    <row r="70" spans="1:31" ht="18" hidden="1" customHeight="1">
      <c r="A70" s="86" t="s">
        <v>209</v>
      </c>
      <c r="B70" s="51"/>
      <c r="C70" s="677"/>
      <c r="D70" s="845">
        <f t="shared" si="27"/>
        <v>0</v>
      </c>
      <c r="E70" s="678"/>
      <c r="F70" s="681"/>
      <c r="G70" s="681"/>
      <c r="H70" s="681"/>
      <c r="I70" s="681"/>
      <c r="J70" s="681"/>
      <c r="K70" s="681"/>
      <c r="L70" s="681"/>
      <c r="M70" s="681"/>
      <c r="N70" s="681"/>
      <c r="O70" s="681"/>
      <c r="P70" s="681"/>
      <c r="Q70" s="681"/>
      <c r="R70" s="681"/>
      <c r="S70" s="681"/>
      <c r="T70" s="681"/>
      <c r="U70" s="681"/>
      <c r="V70" s="681"/>
      <c r="W70" s="681"/>
      <c r="X70" s="681"/>
      <c r="Y70" s="681"/>
      <c r="Z70" s="681"/>
      <c r="AA70" s="681"/>
      <c r="AB70" s="681"/>
      <c r="AC70" s="681"/>
      <c r="AD70" s="681"/>
      <c r="AE70" s="82">
        <f t="shared" si="5"/>
        <v>0</v>
      </c>
    </row>
    <row r="71" spans="1:31" ht="18" hidden="1" customHeight="1">
      <c r="A71" s="86" t="s">
        <v>210</v>
      </c>
      <c r="B71" s="51"/>
      <c r="C71" s="677"/>
      <c r="D71" s="845">
        <f t="shared" si="27"/>
        <v>0</v>
      </c>
      <c r="E71" s="678"/>
      <c r="F71" s="681"/>
      <c r="G71" s="681"/>
      <c r="H71" s="681"/>
      <c r="I71" s="681"/>
      <c r="J71" s="681"/>
      <c r="K71" s="681"/>
      <c r="L71" s="681"/>
      <c r="M71" s="681"/>
      <c r="N71" s="681"/>
      <c r="O71" s="681"/>
      <c r="P71" s="681"/>
      <c r="Q71" s="681"/>
      <c r="R71" s="681"/>
      <c r="S71" s="681"/>
      <c r="T71" s="681"/>
      <c r="U71" s="681"/>
      <c r="V71" s="681"/>
      <c r="W71" s="681"/>
      <c r="X71" s="681"/>
      <c r="Y71" s="681"/>
      <c r="Z71" s="681"/>
      <c r="AA71" s="681"/>
      <c r="AB71" s="681"/>
      <c r="AC71" s="681"/>
      <c r="AD71" s="681"/>
      <c r="AE71" s="82">
        <f t="shared" si="5"/>
        <v>0</v>
      </c>
    </row>
    <row r="72" spans="1:31" ht="18" hidden="1" customHeight="1">
      <c r="A72" s="86" t="s">
        <v>211</v>
      </c>
      <c r="B72" s="51"/>
      <c r="C72" s="677"/>
      <c r="D72" s="845">
        <f>C72*$C$67*$C$48</f>
        <v>0</v>
      </c>
      <c r="E72" s="678"/>
      <c r="F72" s="681"/>
      <c r="G72" s="681"/>
      <c r="H72" s="681"/>
      <c r="I72" s="681"/>
      <c r="J72" s="681"/>
      <c r="K72" s="681"/>
      <c r="L72" s="681"/>
      <c r="M72" s="681"/>
      <c r="N72" s="681"/>
      <c r="O72" s="681"/>
      <c r="P72" s="681"/>
      <c r="Q72" s="681"/>
      <c r="R72" s="681"/>
      <c r="S72" s="681"/>
      <c r="T72" s="681"/>
      <c r="U72" s="681"/>
      <c r="V72" s="681"/>
      <c r="W72" s="681"/>
      <c r="X72" s="681"/>
      <c r="Y72" s="681"/>
      <c r="Z72" s="681"/>
      <c r="AA72" s="681"/>
      <c r="AB72" s="681"/>
      <c r="AC72" s="681"/>
      <c r="AD72" s="681"/>
      <c r="AE72" s="82">
        <f t="shared" si="5"/>
        <v>0</v>
      </c>
    </row>
    <row r="73" spans="1:31" ht="18" hidden="1" customHeight="1">
      <c r="A73" s="85" t="s">
        <v>212</v>
      </c>
      <c r="B73" s="34"/>
      <c r="C73" s="35"/>
      <c r="D73" s="847"/>
      <c r="E73" s="36"/>
      <c r="F73" s="55"/>
      <c r="G73" s="55">
        <f>SUM(G74:G78)</f>
        <v>0</v>
      </c>
      <c r="H73" s="55">
        <f>SUM(H74:H78)</f>
        <v>0</v>
      </c>
      <c r="I73" s="55">
        <f t="shared" ref="I73" si="28">SUM(I74:I78)</f>
        <v>0</v>
      </c>
      <c r="J73" s="55">
        <f>SUM(J74:J78)</f>
        <v>0</v>
      </c>
      <c r="K73" s="55">
        <f>SUM(K74:K78)</f>
        <v>0</v>
      </c>
      <c r="L73" s="55">
        <f t="shared" ref="L73:AD73" si="29">SUM(L74:L78)</f>
        <v>0</v>
      </c>
      <c r="M73" s="55">
        <f t="shared" si="29"/>
        <v>0</v>
      </c>
      <c r="N73" s="55">
        <f t="shared" si="29"/>
        <v>0</v>
      </c>
      <c r="O73" s="55">
        <f t="shared" si="29"/>
        <v>0</v>
      </c>
      <c r="P73" s="55">
        <f t="shared" si="29"/>
        <v>0</v>
      </c>
      <c r="Q73" s="55">
        <f t="shared" si="29"/>
        <v>0</v>
      </c>
      <c r="R73" s="55">
        <f t="shared" si="29"/>
        <v>0</v>
      </c>
      <c r="S73" s="55">
        <f t="shared" si="29"/>
        <v>0</v>
      </c>
      <c r="T73" s="55">
        <f t="shared" si="29"/>
        <v>0</v>
      </c>
      <c r="U73" s="55">
        <f t="shared" si="29"/>
        <v>0</v>
      </c>
      <c r="V73" s="55">
        <f t="shared" si="29"/>
        <v>0</v>
      </c>
      <c r="W73" s="55">
        <f t="shared" si="29"/>
        <v>0</v>
      </c>
      <c r="X73" s="55">
        <f t="shared" si="29"/>
        <v>0</v>
      </c>
      <c r="Y73" s="55">
        <f t="shared" si="29"/>
        <v>0</v>
      </c>
      <c r="Z73" s="55">
        <f t="shared" si="29"/>
        <v>0</v>
      </c>
      <c r="AA73" s="55">
        <f t="shared" si="29"/>
        <v>0</v>
      </c>
      <c r="AB73" s="55">
        <f t="shared" si="29"/>
        <v>0</v>
      </c>
      <c r="AC73" s="55">
        <f t="shared" si="29"/>
        <v>0</v>
      </c>
      <c r="AD73" s="55">
        <f t="shared" si="29"/>
        <v>0</v>
      </c>
      <c r="AE73" s="82">
        <f t="shared" si="5"/>
        <v>0</v>
      </c>
    </row>
    <row r="74" spans="1:31" ht="18" hidden="1" customHeight="1">
      <c r="A74" s="86" t="s">
        <v>213</v>
      </c>
      <c r="B74" s="51"/>
      <c r="C74" s="677"/>
      <c r="D74" s="845">
        <f>C74*$C$73*$C$48</f>
        <v>0</v>
      </c>
      <c r="E74" s="678"/>
      <c r="F74" s="681"/>
      <c r="G74" s="681"/>
      <c r="H74" s="681"/>
      <c r="I74" s="681"/>
      <c r="J74" s="681"/>
      <c r="K74" s="681"/>
      <c r="L74" s="681"/>
      <c r="M74" s="681"/>
      <c r="N74" s="681"/>
      <c r="O74" s="681"/>
      <c r="P74" s="681"/>
      <c r="Q74" s="681"/>
      <c r="R74" s="681"/>
      <c r="S74" s="681"/>
      <c r="T74" s="681"/>
      <c r="U74" s="681"/>
      <c r="V74" s="681"/>
      <c r="W74" s="681"/>
      <c r="X74" s="681"/>
      <c r="Y74" s="681"/>
      <c r="Z74" s="681"/>
      <c r="AA74" s="681"/>
      <c r="AB74" s="681"/>
      <c r="AC74" s="681"/>
      <c r="AD74" s="681"/>
      <c r="AE74" s="82">
        <f t="shared" si="5"/>
        <v>0</v>
      </c>
    </row>
    <row r="75" spans="1:31" ht="18" hidden="1" customHeight="1">
      <c r="A75" s="86" t="s">
        <v>214</v>
      </c>
      <c r="B75" s="51"/>
      <c r="C75" s="677"/>
      <c r="D75" s="845">
        <f t="shared" ref="D75:D76" si="30">C75*$C$73*$C$48</f>
        <v>0</v>
      </c>
      <c r="E75" s="678"/>
      <c r="F75" s="681"/>
      <c r="G75" s="681"/>
      <c r="H75" s="681"/>
      <c r="I75" s="681"/>
      <c r="J75" s="681"/>
      <c r="K75" s="681"/>
      <c r="L75" s="681"/>
      <c r="M75" s="681"/>
      <c r="N75" s="681"/>
      <c r="O75" s="681"/>
      <c r="P75" s="681"/>
      <c r="Q75" s="681"/>
      <c r="R75" s="681"/>
      <c r="S75" s="681"/>
      <c r="T75" s="681"/>
      <c r="U75" s="681"/>
      <c r="V75" s="681"/>
      <c r="W75" s="681"/>
      <c r="X75" s="681"/>
      <c r="Y75" s="681"/>
      <c r="Z75" s="681"/>
      <c r="AA75" s="681"/>
      <c r="AB75" s="681"/>
      <c r="AC75" s="681"/>
      <c r="AD75" s="681"/>
      <c r="AE75" s="82">
        <f t="shared" si="5"/>
        <v>0</v>
      </c>
    </row>
    <row r="76" spans="1:31" ht="18" hidden="1" customHeight="1">
      <c r="A76" s="86" t="s">
        <v>215</v>
      </c>
      <c r="B76" s="51"/>
      <c r="C76" s="677"/>
      <c r="D76" s="845">
        <f t="shared" si="30"/>
        <v>0</v>
      </c>
      <c r="E76" s="678"/>
      <c r="F76" s="681"/>
      <c r="G76" s="681"/>
      <c r="H76" s="681"/>
      <c r="I76" s="681"/>
      <c r="J76" s="681"/>
      <c r="K76" s="681"/>
      <c r="L76" s="681"/>
      <c r="M76" s="681"/>
      <c r="N76" s="681"/>
      <c r="O76" s="681"/>
      <c r="P76" s="681"/>
      <c r="Q76" s="681"/>
      <c r="R76" s="681"/>
      <c r="S76" s="681"/>
      <c r="T76" s="681"/>
      <c r="U76" s="681"/>
      <c r="V76" s="681"/>
      <c r="W76" s="681"/>
      <c r="X76" s="681"/>
      <c r="Y76" s="681"/>
      <c r="Z76" s="681"/>
      <c r="AA76" s="681"/>
      <c r="AB76" s="681"/>
      <c r="AC76" s="681"/>
      <c r="AD76" s="681"/>
      <c r="AE76" s="82">
        <f t="shared" si="5"/>
        <v>0</v>
      </c>
    </row>
    <row r="77" spans="1:31" ht="18" hidden="1" customHeight="1">
      <c r="A77" s="86" t="s">
        <v>216</v>
      </c>
      <c r="B77" s="51"/>
      <c r="C77" s="677"/>
      <c r="D77" s="845">
        <f>C77*$C$73*$C$48</f>
        <v>0</v>
      </c>
      <c r="E77" s="678"/>
      <c r="F77" s="681"/>
      <c r="G77" s="681"/>
      <c r="H77" s="681"/>
      <c r="I77" s="681"/>
      <c r="J77" s="681"/>
      <c r="K77" s="681"/>
      <c r="L77" s="681"/>
      <c r="M77" s="681"/>
      <c r="N77" s="681"/>
      <c r="O77" s="681"/>
      <c r="P77" s="681"/>
      <c r="Q77" s="681"/>
      <c r="R77" s="681"/>
      <c r="S77" s="681"/>
      <c r="T77" s="681"/>
      <c r="U77" s="681"/>
      <c r="V77" s="681"/>
      <c r="W77" s="681"/>
      <c r="X77" s="681"/>
      <c r="Y77" s="681"/>
      <c r="Z77" s="681"/>
      <c r="AA77" s="681"/>
      <c r="AB77" s="681"/>
      <c r="AC77" s="681"/>
      <c r="AD77" s="681"/>
      <c r="AE77" s="82">
        <f t="shared" si="5"/>
        <v>0</v>
      </c>
    </row>
    <row r="78" spans="1:31" ht="18" hidden="1" customHeight="1">
      <c r="A78" s="86" t="s">
        <v>217</v>
      </c>
      <c r="B78" s="51"/>
      <c r="C78" s="677"/>
      <c r="D78" s="845">
        <f>C78*$C$73*$C$48</f>
        <v>0</v>
      </c>
      <c r="E78" s="678"/>
      <c r="F78" s="681"/>
      <c r="G78" s="681"/>
      <c r="H78" s="681"/>
      <c r="I78" s="681"/>
      <c r="J78" s="681"/>
      <c r="K78" s="681"/>
      <c r="L78" s="681"/>
      <c r="M78" s="681"/>
      <c r="N78" s="681"/>
      <c r="O78" s="681"/>
      <c r="P78" s="681"/>
      <c r="Q78" s="681"/>
      <c r="R78" s="681"/>
      <c r="S78" s="681"/>
      <c r="T78" s="681"/>
      <c r="U78" s="681"/>
      <c r="V78" s="681"/>
      <c r="W78" s="681"/>
      <c r="X78" s="681"/>
      <c r="Y78" s="681"/>
      <c r="Z78" s="681"/>
      <c r="AA78" s="681"/>
      <c r="AB78" s="681"/>
      <c r="AC78" s="681"/>
      <c r="AD78" s="681"/>
      <c r="AE78" s="82">
        <f t="shared" si="5"/>
        <v>0</v>
      </c>
    </row>
    <row r="79" spans="1:31" ht="12.75" hidden="1">
      <c r="A79" s="843" t="s">
        <v>218</v>
      </c>
      <c r="B79" s="848" t="s">
        <v>219</v>
      </c>
      <c r="C79" s="38">
        <v>0</v>
      </c>
      <c r="D79" s="846"/>
      <c r="E79" s="39" t="s">
        <v>220</v>
      </c>
      <c r="F79" s="54"/>
      <c r="G79" s="54"/>
      <c r="H79" s="54"/>
      <c r="I79" s="54"/>
      <c r="J79" s="54">
        <v>0</v>
      </c>
      <c r="K79" s="54">
        <v>0</v>
      </c>
      <c r="L79" s="54">
        <f t="shared" ref="L79:AD79" si="31">L80+L86+L92+L98+L104</f>
        <v>0</v>
      </c>
      <c r="M79" s="54">
        <f t="shared" si="31"/>
        <v>0</v>
      </c>
      <c r="N79" s="54">
        <f t="shared" si="31"/>
        <v>0</v>
      </c>
      <c r="O79" s="54">
        <f t="shared" si="31"/>
        <v>0</v>
      </c>
      <c r="P79" s="54">
        <f t="shared" si="31"/>
        <v>0</v>
      </c>
      <c r="Q79" s="54">
        <f t="shared" si="31"/>
        <v>0</v>
      </c>
      <c r="R79" s="54">
        <f t="shared" si="31"/>
        <v>0</v>
      </c>
      <c r="S79" s="54">
        <f t="shared" si="31"/>
        <v>0</v>
      </c>
      <c r="T79" s="54">
        <f t="shared" si="31"/>
        <v>0</v>
      </c>
      <c r="U79" s="54">
        <f t="shared" si="31"/>
        <v>0</v>
      </c>
      <c r="V79" s="54">
        <f t="shared" si="31"/>
        <v>0</v>
      </c>
      <c r="W79" s="54">
        <f t="shared" si="31"/>
        <v>0</v>
      </c>
      <c r="X79" s="54">
        <f t="shared" si="31"/>
        <v>0</v>
      </c>
      <c r="Y79" s="54">
        <f t="shared" si="31"/>
        <v>0</v>
      </c>
      <c r="Z79" s="54">
        <f t="shared" si="31"/>
        <v>0</v>
      </c>
      <c r="AA79" s="54">
        <f t="shared" si="31"/>
        <v>0</v>
      </c>
      <c r="AB79" s="54">
        <f t="shared" si="31"/>
        <v>0</v>
      </c>
      <c r="AC79" s="54">
        <f t="shared" si="31"/>
        <v>0</v>
      </c>
      <c r="AD79" s="54">
        <f t="shared" si="31"/>
        <v>0</v>
      </c>
      <c r="AE79" s="82">
        <f t="shared" si="5"/>
        <v>0</v>
      </c>
    </row>
    <row r="80" spans="1:31" ht="18" hidden="1" customHeight="1">
      <c r="A80" s="85" t="s">
        <v>221</v>
      </c>
      <c r="B80" s="34"/>
      <c r="C80" s="35">
        <v>1</v>
      </c>
      <c r="D80" s="847"/>
      <c r="E80" s="36" t="s">
        <v>220</v>
      </c>
      <c r="F80" s="55"/>
      <c r="G80" s="55"/>
      <c r="H80" s="55"/>
      <c r="I80" s="55"/>
      <c r="J80" s="55">
        <v>0</v>
      </c>
      <c r="K80" s="55">
        <v>0</v>
      </c>
      <c r="L80" s="55">
        <f t="shared" ref="L80" si="32">SUM(L81:L85)</f>
        <v>0</v>
      </c>
      <c r="M80" s="55">
        <f t="shared" ref="M80" si="33">SUM(M81:M85)</f>
        <v>0</v>
      </c>
      <c r="N80" s="55">
        <f t="shared" ref="N80" si="34">SUM(N81:N85)</f>
        <v>0</v>
      </c>
      <c r="O80" s="55">
        <f t="shared" ref="O80" si="35">SUM(O81:O85)</f>
        <v>0</v>
      </c>
      <c r="P80" s="55">
        <f t="shared" ref="P80" si="36">SUM(P81:P85)</f>
        <v>0</v>
      </c>
      <c r="Q80" s="55">
        <f t="shared" ref="Q80:AD80" si="37">SUM(Q81:Q85)</f>
        <v>0</v>
      </c>
      <c r="R80" s="55">
        <f t="shared" si="37"/>
        <v>0</v>
      </c>
      <c r="S80" s="55">
        <f t="shared" si="37"/>
        <v>0</v>
      </c>
      <c r="T80" s="55">
        <f t="shared" si="37"/>
        <v>0</v>
      </c>
      <c r="U80" s="55">
        <f t="shared" si="37"/>
        <v>0</v>
      </c>
      <c r="V80" s="55">
        <f t="shared" si="37"/>
        <v>0</v>
      </c>
      <c r="W80" s="55">
        <f t="shared" si="37"/>
        <v>0</v>
      </c>
      <c r="X80" s="55">
        <f t="shared" si="37"/>
        <v>0</v>
      </c>
      <c r="Y80" s="55">
        <f t="shared" si="37"/>
        <v>0</v>
      </c>
      <c r="Z80" s="55">
        <f t="shared" si="37"/>
        <v>0</v>
      </c>
      <c r="AA80" s="55">
        <f t="shared" si="37"/>
        <v>0</v>
      </c>
      <c r="AB80" s="55">
        <f t="shared" si="37"/>
        <v>0</v>
      </c>
      <c r="AC80" s="55">
        <f t="shared" si="37"/>
        <v>0</v>
      </c>
      <c r="AD80" s="55">
        <f t="shared" si="37"/>
        <v>0</v>
      </c>
      <c r="AE80" s="82">
        <f t="shared" si="5"/>
        <v>0</v>
      </c>
    </row>
    <row r="81" spans="1:31" ht="18" hidden="1" customHeight="1">
      <c r="A81" s="86" t="s">
        <v>222</v>
      </c>
      <c r="B81" s="51"/>
      <c r="C81" s="677">
        <v>1</v>
      </c>
      <c r="D81" s="845">
        <f>C81*$C$80*$C$79</f>
        <v>0</v>
      </c>
      <c r="E81" s="678" t="s">
        <v>220</v>
      </c>
      <c r="F81" s="681">
        <v>0</v>
      </c>
      <c r="G81" s="681">
        <v>0</v>
      </c>
      <c r="H81" s="681">
        <v>0</v>
      </c>
      <c r="I81" s="681">
        <v>0</v>
      </c>
      <c r="J81" s="681">
        <v>0</v>
      </c>
      <c r="K81" s="681">
        <v>0</v>
      </c>
      <c r="L81" s="681"/>
      <c r="M81" s="681"/>
      <c r="N81" s="681"/>
      <c r="O81" s="681"/>
      <c r="P81" s="681"/>
      <c r="Q81" s="681"/>
      <c r="R81" s="681"/>
      <c r="S81" s="681"/>
      <c r="T81" s="681"/>
      <c r="U81" s="681"/>
      <c r="V81" s="681"/>
      <c r="W81" s="681"/>
      <c r="X81" s="681"/>
      <c r="Y81" s="681"/>
      <c r="Z81" s="681"/>
      <c r="AA81" s="681"/>
      <c r="AB81" s="681"/>
      <c r="AC81" s="681"/>
      <c r="AD81" s="681"/>
      <c r="AE81" s="82">
        <f t="shared" ref="AE81:AE144" si="38">F81-SUM(G81:AD81)</f>
        <v>0</v>
      </c>
    </row>
    <row r="82" spans="1:31" ht="18" hidden="1" customHeight="1">
      <c r="A82" s="86" t="s">
        <v>223</v>
      </c>
      <c r="B82" s="51"/>
      <c r="C82" s="677"/>
      <c r="D82" s="845">
        <f>C82*$C$80*$C$79</f>
        <v>0</v>
      </c>
      <c r="E82" s="678"/>
      <c r="F82" s="681"/>
      <c r="G82" s="681"/>
      <c r="H82" s="681"/>
      <c r="I82" s="681"/>
      <c r="J82" s="681"/>
      <c r="K82" s="681"/>
      <c r="L82" s="681"/>
      <c r="M82" s="681"/>
      <c r="N82" s="681"/>
      <c r="O82" s="681"/>
      <c r="P82" s="681"/>
      <c r="Q82" s="681"/>
      <c r="R82" s="681"/>
      <c r="S82" s="681"/>
      <c r="T82" s="681"/>
      <c r="U82" s="681"/>
      <c r="V82" s="681"/>
      <c r="W82" s="681"/>
      <c r="X82" s="681"/>
      <c r="Y82" s="681"/>
      <c r="Z82" s="681"/>
      <c r="AA82" s="681"/>
      <c r="AB82" s="681"/>
      <c r="AC82" s="681"/>
      <c r="AD82" s="681"/>
      <c r="AE82" s="82">
        <f t="shared" si="38"/>
        <v>0</v>
      </c>
    </row>
    <row r="83" spans="1:31" ht="18" hidden="1" customHeight="1">
      <c r="A83" s="86" t="s">
        <v>224</v>
      </c>
      <c r="B83" s="51"/>
      <c r="C83" s="677"/>
      <c r="D83" s="845">
        <f>C83*$C$80*$C$79</f>
        <v>0</v>
      </c>
      <c r="E83" s="678"/>
      <c r="F83" s="681"/>
      <c r="G83" s="681"/>
      <c r="H83" s="681"/>
      <c r="I83" s="681"/>
      <c r="J83" s="681"/>
      <c r="K83" s="681"/>
      <c r="L83" s="681"/>
      <c r="M83" s="681"/>
      <c r="N83" s="681"/>
      <c r="O83" s="681"/>
      <c r="P83" s="681"/>
      <c r="Q83" s="681"/>
      <c r="R83" s="681"/>
      <c r="S83" s="681"/>
      <c r="T83" s="681"/>
      <c r="U83" s="681"/>
      <c r="V83" s="681"/>
      <c r="W83" s="681"/>
      <c r="X83" s="681"/>
      <c r="Y83" s="681"/>
      <c r="Z83" s="681"/>
      <c r="AA83" s="681"/>
      <c r="AB83" s="681"/>
      <c r="AC83" s="681"/>
      <c r="AD83" s="681"/>
      <c r="AE83" s="82">
        <f t="shared" si="38"/>
        <v>0</v>
      </c>
    </row>
    <row r="84" spans="1:31" ht="18" hidden="1" customHeight="1">
      <c r="A84" s="86" t="s">
        <v>225</v>
      </c>
      <c r="B84" s="51"/>
      <c r="C84" s="677"/>
      <c r="D84" s="845">
        <f>C84*$C$80*$C$79</f>
        <v>0</v>
      </c>
      <c r="E84" s="678"/>
      <c r="F84" s="681"/>
      <c r="G84" s="681"/>
      <c r="H84" s="681"/>
      <c r="I84" s="681"/>
      <c r="J84" s="681"/>
      <c r="K84" s="681"/>
      <c r="L84" s="681"/>
      <c r="M84" s="681"/>
      <c r="N84" s="681"/>
      <c r="O84" s="681"/>
      <c r="P84" s="681"/>
      <c r="Q84" s="681"/>
      <c r="R84" s="681"/>
      <c r="S84" s="681"/>
      <c r="T84" s="681"/>
      <c r="U84" s="681"/>
      <c r="V84" s="681"/>
      <c r="W84" s="681"/>
      <c r="X84" s="681"/>
      <c r="Y84" s="681"/>
      <c r="Z84" s="681"/>
      <c r="AA84" s="681"/>
      <c r="AB84" s="681"/>
      <c r="AC84" s="681"/>
      <c r="AD84" s="681"/>
      <c r="AE84" s="82">
        <f t="shared" si="38"/>
        <v>0</v>
      </c>
    </row>
    <row r="85" spans="1:31" ht="18" hidden="1" customHeight="1">
      <c r="A85" s="86" t="s">
        <v>226</v>
      </c>
      <c r="B85" s="51"/>
      <c r="C85" s="677"/>
      <c r="D85" s="845">
        <f>C85*$C$80*$C$79</f>
        <v>0</v>
      </c>
      <c r="E85" s="678"/>
      <c r="F85" s="681"/>
      <c r="G85" s="681"/>
      <c r="H85" s="681"/>
      <c r="I85" s="681"/>
      <c r="J85" s="681"/>
      <c r="K85" s="681"/>
      <c r="L85" s="681"/>
      <c r="M85" s="681"/>
      <c r="N85" s="681"/>
      <c r="O85" s="681"/>
      <c r="P85" s="681"/>
      <c r="Q85" s="681"/>
      <c r="R85" s="681"/>
      <c r="S85" s="681"/>
      <c r="T85" s="681"/>
      <c r="U85" s="681"/>
      <c r="V85" s="681"/>
      <c r="W85" s="681"/>
      <c r="X85" s="681"/>
      <c r="Y85" s="681"/>
      <c r="Z85" s="681"/>
      <c r="AA85" s="681"/>
      <c r="AB85" s="681"/>
      <c r="AC85" s="681"/>
      <c r="AD85" s="681"/>
      <c r="AE85" s="82">
        <f t="shared" si="38"/>
        <v>0</v>
      </c>
    </row>
    <row r="86" spans="1:31" ht="18" hidden="1" customHeight="1">
      <c r="A86" s="85" t="s">
        <v>227</v>
      </c>
      <c r="B86" s="34"/>
      <c r="C86" s="35"/>
      <c r="D86" s="847"/>
      <c r="E86" s="36"/>
      <c r="F86" s="55"/>
      <c r="G86" s="55">
        <f>SUM(G87:G91)</f>
        <v>0</v>
      </c>
      <c r="H86" s="55">
        <f t="shared" ref="H86" si="39">SUM(H87:H91)</f>
        <v>0</v>
      </c>
      <c r="I86" s="55">
        <f>SUM(I87:I91)</f>
        <v>0</v>
      </c>
      <c r="J86" s="55">
        <f t="shared" ref="J86" si="40">SUM(J87:J91)</f>
        <v>0</v>
      </c>
      <c r="K86" s="55">
        <f t="shared" ref="K86" si="41">SUM(K87:K91)</f>
        <v>0</v>
      </c>
      <c r="L86" s="55">
        <f t="shared" ref="L86" si="42">SUM(L87:L91)</f>
        <v>0</v>
      </c>
      <c r="M86" s="55">
        <f t="shared" ref="M86" si="43">SUM(M87:M91)</f>
        <v>0</v>
      </c>
      <c r="N86" s="55">
        <f t="shared" ref="N86" si="44">SUM(N87:N91)</f>
        <v>0</v>
      </c>
      <c r="O86" s="55">
        <f t="shared" ref="O86" si="45">SUM(O87:O91)</f>
        <v>0</v>
      </c>
      <c r="P86" s="55">
        <f t="shared" ref="P86" si="46">SUM(P87:P91)</f>
        <v>0</v>
      </c>
      <c r="Q86" s="55">
        <f t="shared" ref="Q86:AD86" si="47">SUM(Q87:Q91)</f>
        <v>0</v>
      </c>
      <c r="R86" s="55">
        <f t="shared" si="47"/>
        <v>0</v>
      </c>
      <c r="S86" s="55">
        <f t="shared" si="47"/>
        <v>0</v>
      </c>
      <c r="T86" s="55">
        <f t="shared" si="47"/>
        <v>0</v>
      </c>
      <c r="U86" s="55">
        <f t="shared" si="47"/>
        <v>0</v>
      </c>
      <c r="V86" s="55">
        <f t="shared" si="47"/>
        <v>0</v>
      </c>
      <c r="W86" s="55">
        <f t="shared" si="47"/>
        <v>0</v>
      </c>
      <c r="X86" s="55">
        <f t="shared" si="47"/>
        <v>0</v>
      </c>
      <c r="Y86" s="55">
        <f t="shared" si="47"/>
        <v>0</v>
      </c>
      <c r="Z86" s="55">
        <f t="shared" si="47"/>
        <v>0</v>
      </c>
      <c r="AA86" s="55">
        <f t="shared" si="47"/>
        <v>0</v>
      </c>
      <c r="AB86" s="55">
        <f t="shared" si="47"/>
        <v>0</v>
      </c>
      <c r="AC86" s="55">
        <f t="shared" si="47"/>
        <v>0</v>
      </c>
      <c r="AD86" s="55">
        <f t="shared" si="47"/>
        <v>0</v>
      </c>
      <c r="AE86" s="82">
        <f t="shared" si="38"/>
        <v>0</v>
      </c>
    </row>
    <row r="87" spans="1:31" ht="18" hidden="1" customHeight="1">
      <c r="A87" s="86" t="s">
        <v>228</v>
      </c>
      <c r="B87" s="51"/>
      <c r="C87" s="677"/>
      <c r="D87" s="845">
        <f>C87*$C$86*$C$79</f>
        <v>0</v>
      </c>
      <c r="E87" s="678"/>
      <c r="F87" s="681"/>
      <c r="G87" s="681"/>
      <c r="H87" s="681"/>
      <c r="I87" s="681"/>
      <c r="J87" s="681"/>
      <c r="K87" s="681"/>
      <c r="L87" s="681"/>
      <c r="M87" s="681"/>
      <c r="N87" s="681"/>
      <c r="O87" s="681"/>
      <c r="P87" s="681"/>
      <c r="Q87" s="681"/>
      <c r="R87" s="681"/>
      <c r="S87" s="681"/>
      <c r="T87" s="681"/>
      <c r="U87" s="681"/>
      <c r="V87" s="681"/>
      <c r="W87" s="681"/>
      <c r="X87" s="681"/>
      <c r="Y87" s="681"/>
      <c r="Z87" s="681"/>
      <c r="AA87" s="681"/>
      <c r="AB87" s="681"/>
      <c r="AC87" s="681"/>
      <c r="AD87" s="681"/>
      <c r="AE87" s="82">
        <f t="shared" si="38"/>
        <v>0</v>
      </c>
    </row>
    <row r="88" spans="1:31" ht="18" hidden="1" customHeight="1">
      <c r="A88" s="86" t="s">
        <v>229</v>
      </c>
      <c r="B88" s="51"/>
      <c r="C88" s="677"/>
      <c r="D88" s="845">
        <f t="shared" ref="D88" si="48">C88*$C$86*$C$79</f>
        <v>0</v>
      </c>
      <c r="E88" s="678"/>
      <c r="F88" s="681"/>
      <c r="G88" s="681"/>
      <c r="H88" s="681"/>
      <c r="I88" s="681"/>
      <c r="J88" s="681"/>
      <c r="K88" s="681"/>
      <c r="L88" s="681"/>
      <c r="M88" s="681"/>
      <c r="N88" s="681"/>
      <c r="O88" s="681"/>
      <c r="P88" s="681"/>
      <c r="Q88" s="681"/>
      <c r="R88" s="681"/>
      <c r="S88" s="681"/>
      <c r="T88" s="681"/>
      <c r="U88" s="681"/>
      <c r="V88" s="681"/>
      <c r="W88" s="681"/>
      <c r="X88" s="681"/>
      <c r="Y88" s="681"/>
      <c r="Z88" s="681"/>
      <c r="AA88" s="681"/>
      <c r="AB88" s="681"/>
      <c r="AC88" s="681"/>
      <c r="AD88" s="681"/>
      <c r="AE88" s="82">
        <f t="shared" si="38"/>
        <v>0</v>
      </c>
    </row>
    <row r="89" spans="1:31" ht="18" hidden="1" customHeight="1">
      <c r="A89" s="86" t="s">
        <v>230</v>
      </c>
      <c r="B89" s="51"/>
      <c r="C89" s="677"/>
      <c r="D89" s="845">
        <f>C89*$C$86*$C$79</f>
        <v>0</v>
      </c>
      <c r="E89" s="678"/>
      <c r="F89" s="681"/>
      <c r="G89" s="681"/>
      <c r="H89" s="681"/>
      <c r="I89" s="681"/>
      <c r="J89" s="681"/>
      <c r="K89" s="681"/>
      <c r="L89" s="681"/>
      <c r="M89" s="681"/>
      <c r="N89" s="681"/>
      <c r="O89" s="681"/>
      <c r="P89" s="681"/>
      <c r="Q89" s="681"/>
      <c r="R89" s="681"/>
      <c r="S89" s="681"/>
      <c r="T89" s="681"/>
      <c r="U89" s="681"/>
      <c r="V89" s="681"/>
      <c r="W89" s="681"/>
      <c r="X89" s="681"/>
      <c r="Y89" s="681"/>
      <c r="Z89" s="681"/>
      <c r="AA89" s="681"/>
      <c r="AB89" s="681"/>
      <c r="AC89" s="681"/>
      <c r="AD89" s="681"/>
      <c r="AE89" s="82">
        <f t="shared" si="38"/>
        <v>0</v>
      </c>
    </row>
    <row r="90" spans="1:31" ht="18" hidden="1" customHeight="1">
      <c r="A90" s="86" t="s">
        <v>231</v>
      </c>
      <c r="B90" s="51"/>
      <c r="C90" s="677"/>
      <c r="D90" s="845">
        <f>C90*$C$86*$C$79</f>
        <v>0</v>
      </c>
      <c r="E90" s="678"/>
      <c r="F90" s="681"/>
      <c r="G90" s="681"/>
      <c r="H90" s="681"/>
      <c r="I90" s="681"/>
      <c r="J90" s="681"/>
      <c r="K90" s="681"/>
      <c r="L90" s="681"/>
      <c r="M90" s="681"/>
      <c r="N90" s="681"/>
      <c r="O90" s="681"/>
      <c r="P90" s="681"/>
      <c r="Q90" s="681"/>
      <c r="R90" s="681"/>
      <c r="S90" s="681"/>
      <c r="T90" s="681"/>
      <c r="U90" s="681"/>
      <c r="V90" s="681"/>
      <c r="W90" s="681"/>
      <c r="X90" s="681"/>
      <c r="Y90" s="681"/>
      <c r="Z90" s="681"/>
      <c r="AA90" s="681"/>
      <c r="AB90" s="681"/>
      <c r="AC90" s="681"/>
      <c r="AD90" s="681"/>
      <c r="AE90" s="82">
        <f t="shared" si="38"/>
        <v>0</v>
      </c>
    </row>
    <row r="91" spans="1:31" ht="18" hidden="1" customHeight="1">
      <c r="A91" s="86" t="s">
        <v>232</v>
      </c>
      <c r="B91" s="51"/>
      <c r="C91" s="677"/>
      <c r="D91" s="845">
        <f>C91*$C$86*$C$79</f>
        <v>0</v>
      </c>
      <c r="E91" s="678"/>
      <c r="F91" s="681"/>
      <c r="G91" s="681"/>
      <c r="H91" s="681"/>
      <c r="I91" s="681"/>
      <c r="J91" s="681"/>
      <c r="K91" s="681"/>
      <c r="L91" s="681"/>
      <c r="M91" s="681"/>
      <c r="N91" s="681"/>
      <c r="O91" s="681"/>
      <c r="P91" s="681"/>
      <c r="Q91" s="681"/>
      <c r="R91" s="681"/>
      <c r="S91" s="681"/>
      <c r="T91" s="681"/>
      <c r="U91" s="681"/>
      <c r="V91" s="681"/>
      <c r="W91" s="681"/>
      <c r="X91" s="681"/>
      <c r="Y91" s="681"/>
      <c r="Z91" s="681"/>
      <c r="AA91" s="681"/>
      <c r="AB91" s="681"/>
      <c r="AC91" s="681"/>
      <c r="AD91" s="681"/>
      <c r="AE91" s="82">
        <f t="shared" si="38"/>
        <v>0</v>
      </c>
    </row>
    <row r="92" spans="1:31" ht="18" hidden="1" customHeight="1">
      <c r="A92" s="85" t="s">
        <v>233</v>
      </c>
      <c r="B92" s="34"/>
      <c r="C92" s="35"/>
      <c r="D92" s="847"/>
      <c r="E92" s="36"/>
      <c r="F92" s="55"/>
      <c r="G92" s="55">
        <f>SUM(G93:G97)</f>
        <v>0</v>
      </c>
      <c r="H92" s="55">
        <f>SUM(H93:H97)</f>
        <v>0</v>
      </c>
      <c r="I92" s="55">
        <f>SUM(I93:I97)</f>
        <v>0</v>
      </c>
      <c r="J92" s="55">
        <f>SUM(J93:J97)</f>
        <v>0</v>
      </c>
      <c r="K92" s="55">
        <f t="shared" ref="K92" si="49">SUM(K93:K97)</f>
        <v>0</v>
      </c>
      <c r="L92" s="55">
        <f t="shared" ref="L92" si="50">SUM(L93:L97)</f>
        <v>0</v>
      </c>
      <c r="M92" s="55">
        <f t="shared" ref="M92" si="51">SUM(M93:M97)</f>
        <v>0</v>
      </c>
      <c r="N92" s="55">
        <f t="shared" ref="N92" si="52">SUM(N93:N97)</f>
        <v>0</v>
      </c>
      <c r="O92" s="55">
        <f t="shared" ref="O92" si="53">SUM(O93:O97)</f>
        <v>0</v>
      </c>
      <c r="P92" s="55">
        <f t="shared" ref="P92" si="54">SUM(P93:P97)</f>
        <v>0</v>
      </c>
      <c r="Q92" s="55">
        <f t="shared" ref="Q92:AD92" si="55">SUM(Q93:Q97)</f>
        <v>0</v>
      </c>
      <c r="R92" s="55">
        <f t="shared" si="55"/>
        <v>0</v>
      </c>
      <c r="S92" s="55">
        <f t="shared" si="55"/>
        <v>0</v>
      </c>
      <c r="T92" s="55">
        <f t="shared" si="55"/>
        <v>0</v>
      </c>
      <c r="U92" s="55">
        <f t="shared" si="55"/>
        <v>0</v>
      </c>
      <c r="V92" s="55">
        <f t="shared" si="55"/>
        <v>0</v>
      </c>
      <c r="W92" s="55">
        <f t="shared" si="55"/>
        <v>0</v>
      </c>
      <c r="X92" s="55">
        <f t="shared" si="55"/>
        <v>0</v>
      </c>
      <c r="Y92" s="55">
        <f t="shared" si="55"/>
        <v>0</v>
      </c>
      <c r="Z92" s="55">
        <f t="shared" si="55"/>
        <v>0</v>
      </c>
      <c r="AA92" s="55">
        <f t="shared" si="55"/>
        <v>0</v>
      </c>
      <c r="AB92" s="55">
        <f t="shared" si="55"/>
        <v>0</v>
      </c>
      <c r="AC92" s="55">
        <f t="shared" si="55"/>
        <v>0</v>
      </c>
      <c r="AD92" s="55">
        <f t="shared" si="55"/>
        <v>0</v>
      </c>
      <c r="AE92" s="82">
        <f t="shared" si="38"/>
        <v>0</v>
      </c>
    </row>
    <row r="93" spans="1:31" ht="18" hidden="1" customHeight="1">
      <c r="A93" s="86" t="s">
        <v>234</v>
      </c>
      <c r="B93" s="51"/>
      <c r="C93" s="677"/>
      <c r="D93" s="845">
        <f>C93*$C$92*$C$79</f>
        <v>0</v>
      </c>
      <c r="E93" s="678"/>
      <c r="F93" s="681"/>
      <c r="G93" s="681"/>
      <c r="H93" s="681"/>
      <c r="I93" s="681"/>
      <c r="J93" s="681"/>
      <c r="K93" s="681"/>
      <c r="L93" s="681"/>
      <c r="M93" s="681"/>
      <c r="N93" s="681"/>
      <c r="O93" s="681"/>
      <c r="P93" s="681"/>
      <c r="Q93" s="681"/>
      <c r="R93" s="681"/>
      <c r="S93" s="681"/>
      <c r="T93" s="681"/>
      <c r="U93" s="681"/>
      <c r="V93" s="681"/>
      <c r="W93" s="681"/>
      <c r="X93" s="681"/>
      <c r="Y93" s="681"/>
      <c r="Z93" s="681"/>
      <c r="AA93" s="681"/>
      <c r="AB93" s="681"/>
      <c r="AC93" s="681"/>
      <c r="AD93" s="681"/>
      <c r="AE93" s="82">
        <f t="shared" si="38"/>
        <v>0</v>
      </c>
    </row>
    <row r="94" spans="1:31" ht="18" hidden="1" customHeight="1">
      <c r="A94" s="86" t="s">
        <v>235</v>
      </c>
      <c r="B94" s="51"/>
      <c r="C94" s="677"/>
      <c r="D94" s="845">
        <f t="shared" ref="D94" si="56">C94*$C$92*$C$79</f>
        <v>0</v>
      </c>
      <c r="E94" s="678"/>
      <c r="F94" s="681"/>
      <c r="G94" s="681"/>
      <c r="H94" s="681"/>
      <c r="I94" s="681"/>
      <c r="J94" s="681"/>
      <c r="K94" s="681"/>
      <c r="L94" s="681"/>
      <c r="M94" s="681"/>
      <c r="N94" s="681"/>
      <c r="O94" s="681"/>
      <c r="P94" s="681"/>
      <c r="Q94" s="681"/>
      <c r="R94" s="681"/>
      <c r="S94" s="681"/>
      <c r="T94" s="681"/>
      <c r="U94" s="681"/>
      <c r="V94" s="681"/>
      <c r="W94" s="681"/>
      <c r="X94" s="681"/>
      <c r="Y94" s="681"/>
      <c r="Z94" s="681"/>
      <c r="AA94" s="681"/>
      <c r="AB94" s="681"/>
      <c r="AC94" s="681"/>
      <c r="AD94" s="681"/>
      <c r="AE94" s="82">
        <f t="shared" si="38"/>
        <v>0</v>
      </c>
    </row>
    <row r="95" spans="1:31" ht="18" hidden="1" customHeight="1">
      <c r="A95" s="86" t="s">
        <v>236</v>
      </c>
      <c r="B95" s="51"/>
      <c r="C95" s="677"/>
      <c r="D95" s="845">
        <f>C95*$C$92*$C$79</f>
        <v>0</v>
      </c>
      <c r="E95" s="678"/>
      <c r="F95" s="681"/>
      <c r="G95" s="681"/>
      <c r="H95" s="681"/>
      <c r="I95" s="681"/>
      <c r="J95" s="681"/>
      <c r="K95" s="681"/>
      <c r="L95" s="681"/>
      <c r="M95" s="681"/>
      <c r="N95" s="681"/>
      <c r="O95" s="681"/>
      <c r="P95" s="681"/>
      <c r="Q95" s="681"/>
      <c r="R95" s="681"/>
      <c r="S95" s="681"/>
      <c r="T95" s="681"/>
      <c r="U95" s="681"/>
      <c r="V95" s="681"/>
      <c r="W95" s="681"/>
      <c r="X95" s="681"/>
      <c r="Y95" s="681"/>
      <c r="Z95" s="681"/>
      <c r="AA95" s="681"/>
      <c r="AB95" s="681"/>
      <c r="AC95" s="681"/>
      <c r="AD95" s="681"/>
      <c r="AE95" s="82">
        <f t="shared" si="38"/>
        <v>0</v>
      </c>
    </row>
    <row r="96" spans="1:31" ht="18" hidden="1" customHeight="1">
      <c r="A96" s="86" t="s">
        <v>237</v>
      </c>
      <c r="B96" s="51"/>
      <c r="C96" s="677"/>
      <c r="D96" s="845">
        <f>C96*$C$92*$C$79</f>
        <v>0</v>
      </c>
      <c r="E96" s="678"/>
      <c r="F96" s="681"/>
      <c r="G96" s="681"/>
      <c r="H96" s="681"/>
      <c r="I96" s="681"/>
      <c r="J96" s="681"/>
      <c r="K96" s="681"/>
      <c r="L96" s="681"/>
      <c r="M96" s="681"/>
      <c r="N96" s="681"/>
      <c r="O96" s="681"/>
      <c r="P96" s="681"/>
      <c r="Q96" s="681"/>
      <c r="R96" s="681"/>
      <c r="S96" s="681"/>
      <c r="T96" s="681"/>
      <c r="U96" s="681"/>
      <c r="V96" s="681"/>
      <c r="W96" s="681"/>
      <c r="X96" s="681"/>
      <c r="Y96" s="681"/>
      <c r="Z96" s="681"/>
      <c r="AA96" s="681"/>
      <c r="AB96" s="681"/>
      <c r="AC96" s="681"/>
      <c r="AD96" s="681"/>
      <c r="AE96" s="82">
        <f t="shared" si="38"/>
        <v>0</v>
      </c>
    </row>
    <row r="97" spans="1:31" ht="18" hidden="1" customHeight="1">
      <c r="A97" s="86" t="s">
        <v>238</v>
      </c>
      <c r="B97" s="51"/>
      <c r="C97" s="677"/>
      <c r="D97" s="845">
        <f>C97*$C$92*$C$79</f>
        <v>0</v>
      </c>
      <c r="E97" s="678"/>
      <c r="F97" s="681"/>
      <c r="G97" s="681"/>
      <c r="H97" s="681"/>
      <c r="I97" s="681"/>
      <c r="J97" s="681"/>
      <c r="K97" s="681"/>
      <c r="L97" s="681"/>
      <c r="M97" s="681"/>
      <c r="N97" s="681"/>
      <c r="O97" s="681"/>
      <c r="P97" s="681"/>
      <c r="Q97" s="681"/>
      <c r="R97" s="681"/>
      <c r="S97" s="681"/>
      <c r="T97" s="681"/>
      <c r="U97" s="681"/>
      <c r="V97" s="681"/>
      <c r="W97" s="681"/>
      <c r="X97" s="681"/>
      <c r="Y97" s="681"/>
      <c r="Z97" s="681"/>
      <c r="AA97" s="681"/>
      <c r="AB97" s="681"/>
      <c r="AC97" s="681"/>
      <c r="AD97" s="681"/>
      <c r="AE97" s="82">
        <f t="shared" si="38"/>
        <v>0</v>
      </c>
    </row>
    <row r="98" spans="1:31" ht="18" hidden="1" customHeight="1">
      <c r="A98" s="85" t="s">
        <v>239</v>
      </c>
      <c r="B98" s="34"/>
      <c r="C98" s="35"/>
      <c r="D98" s="847"/>
      <c r="E98" s="36"/>
      <c r="F98" s="55"/>
      <c r="G98" s="55">
        <f>SUM(G99:G103)</f>
        <v>0</v>
      </c>
      <c r="H98" s="55">
        <f>SUM(H99:H103)</f>
        <v>0</v>
      </c>
      <c r="I98" s="55">
        <f>SUM(I99:I103)</f>
        <v>0</v>
      </c>
      <c r="J98" s="55">
        <f>SUM(J99:J103)</f>
        <v>0</v>
      </c>
      <c r="K98" s="55">
        <f t="shared" ref="K98:AD98" si="57">SUM(K99:K103)</f>
        <v>0</v>
      </c>
      <c r="L98" s="55">
        <f t="shared" si="57"/>
        <v>0</v>
      </c>
      <c r="M98" s="55">
        <f t="shared" si="57"/>
        <v>0</v>
      </c>
      <c r="N98" s="55">
        <f t="shared" si="57"/>
        <v>0</v>
      </c>
      <c r="O98" s="55">
        <f t="shared" si="57"/>
        <v>0</v>
      </c>
      <c r="P98" s="55">
        <f t="shared" si="57"/>
        <v>0</v>
      </c>
      <c r="Q98" s="55">
        <f t="shared" si="57"/>
        <v>0</v>
      </c>
      <c r="R98" s="55">
        <f t="shared" si="57"/>
        <v>0</v>
      </c>
      <c r="S98" s="55">
        <f t="shared" si="57"/>
        <v>0</v>
      </c>
      <c r="T98" s="55">
        <f t="shared" si="57"/>
        <v>0</v>
      </c>
      <c r="U98" s="55">
        <f t="shared" si="57"/>
        <v>0</v>
      </c>
      <c r="V98" s="55">
        <f t="shared" si="57"/>
        <v>0</v>
      </c>
      <c r="W98" s="55">
        <f t="shared" si="57"/>
        <v>0</v>
      </c>
      <c r="X98" s="55">
        <f t="shared" si="57"/>
        <v>0</v>
      </c>
      <c r="Y98" s="55">
        <f t="shared" si="57"/>
        <v>0</v>
      </c>
      <c r="Z98" s="55">
        <f t="shared" si="57"/>
        <v>0</v>
      </c>
      <c r="AA98" s="55">
        <f t="shared" si="57"/>
        <v>0</v>
      </c>
      <c r="AB98" s="55">
        <f t="shared" si="57"/>
        <v>0</v>
      </c>
      <c r="AC98" s="55">
        <f t="shared" si="57"/>
        <v>0</v>
      </c>
      <c r="AD98" s="55">
        <f t="shared" si="57"/>
        <v>0</v>
      </c>
      <c r="AE98" s="82">
        <f t="shared" si="38"/>
        <v>0</v>
      </c>
    </row>
    <row r="99" spans="1:31" ht="18" hidden="1" customHeight="1">
      <c r="A99" s="86" t="s">
        <v>240</v>
      </c>
      <c r="B99" s="51"/>
      <c r="C99" s="677"/>
      <c r="D99" s="845">
        <f>C99*$C$98*$C$79</f>
        <v>0</v>
      </c>
      <c r="E99" s="678"/>
      <c r="F99" s="681"/>
      <c r="G99" s="681"/>
      <c r="H99" s="681"/>
      <c r="I99" s="681"/>
      <c r="J99" s="681"/>
      <c r="K99" s="681"/>
      <c r="L99" s="681"/>
      <c r="M99" s="681"/>
      <c r="N99" s="681"/>
      <c r="O99" s="681"/>
      <c r="P99" s="681"/>
      <c r="Q99" s="681"/>
      <c r="R99" s="681"/>
      <c r="S99" s="681"/>
      <c r="T99" s="681"/>
      <c r="U99" s="681"/>
      <c r="V99" s="681"/>
      <c r="W99" s="681"/>
      <c r="X99" s="681"/>
      <c r="Y99" s="681"/>
      <c r="Z99" s="681"/>
      <c r="AA99" s="681"/>
      <c r="AB99" s="681"/>
      <c r="AC99" s="681"/>
      <c r="AD99" s="681"/>
      <c r="AE99" s="82">
        <f t="shared" si="38"/>
        <v>0</v>
      </c>
    </row>
    <row r="100" spans="1:31" ht="18" hidden="1" customHeight="1">
      <c r="A100" s="86" t="s">
        <v>241</v>
      </c>
      <c r="B100" s="51"/>
      <c r="C100" s="677"/>
      <c r="D100" s="845">
        <f t="shared" ref="D100:D103" si="58">C100*$C$98*$C$79</f>
        <v>0</v>
      </c>
      <c r="E100" s="678"/>
      <c r="F100" s="681"/>
      <c r="G100" s="681"/>
      <c r="H100" s="681"/>
      <c r="I100" s="681"/>
      <c r="J100" s="681"/>
      <c r="K100" s="681"/>
      <c r="L100" s="681"/>
      <c r="M100" s="681"/>
      <c r="N100" s="681"/>
      <c r="O100" s="681"/>
      <c r="P100" s="681"/>
      <c r="Q100" s="681"/>
      <c r="R100" s="681"/>
      <c r="S100" s="681"/>
      <c r="T100" s="681"/>
      <c r="U100" s="681"/>
      <c r="V100" s="681"/>
      <c r="W100" s="681"/>
      <c r="X100" s="681"/>
      <c r="Y100" s="681"/>
      <c r="Z100" s="681"/>
      <c r="AA100" s="681"/>
      <c r="AB100" s="681"/>
      <c r="AC100" s="681"/>
      <c r="AD100" s="681"/>
      <c r="AE100" s="82">
        <f t="shared" si="38"/>
        <v>0</v>
      </c>
    </row>
    <row r="101" spans="1:31" ht="18" hidden="1" customHeight="1">
      <c r="A101" s="86" t="s">
        <v>242</v>
      </c>
      <c r="B101" s="51"/>
      <c r="C101" s="677"/>
      <c r="D101" s="845">
        <f>C101*$C$98*$C$79</f>
        <v>0</v>
      </c>
      <c r="E101" s="678"/>
      <c r="F101" s="681"/>
      <c r="G101" s="681"/>
      <c r="H101" s="681"/>
      <c r="I101" s="681"/>
      <c r="J101" s="681"/>
      <c r="K101" s="681"/>
      <c r="L101" s="681"/>
      <c r="M101" s="681"/>
      <c r="N101" s="681"/>
      <c r="O101" s="681"/>
      <c r="P101" s="681"/>
      <c r="Q101" s="681"/>
      <c r="R101" s="681"/>
      <c r="S101" s="681"/>
      <c r="T101" s="681"/>
      <c r="U101" s="681"/>
      <c r="V101" s="681"/>
      <c r="W101" s="681"/>
      <c r="X101" s="681"/>
      <c r="Y101" s="681"/>
      <c r="Z101" s="681"/>
      <c r="AA101" s="681"/>
      <c r="AB101" s="681"/>
      <c r="AC101" s="681"/>
      <c r="AD101" s="681"/>
      <c r="AE101" s="82">
        <f t="shared" si="38"/>
        <v>0</v>
      </c>
    </row>
    <row r="102" spans="1:31" ht="18" hidden="1" customHeight="1">
      <c r="A102" s="86" t="s">
        <v>243</v>
      </c>
      <c r="B102" s="51"/>
      <c r="C102" s="677"/>
      <c r="D102" s="845">
        <f>C102*$C$98*$C$79</f>
        <v>0</v>
      </c>
      <c r="E102" s="678"/>
      <c r="F102" s="681"/>
      <c r="G102" s="681"/>
      <c r="H102" s="681"/>
      <c r="I102" s="681"/>
      <c r="J102" s="681"/>
      <c r="K102" s="681"/>
      <c r="L102" s="681"/>
      <c r="M102" s="681"/>
      <c r="N102" s="681"/>
      <c r="O102" s="681"/>
      <c r="P102" s="681"/>
      <c r="Q102" s="681"/>
      <c r="R102" s="681"/>
      <c r="S102" s="681"/>
      <c r="T102" s="681"/>
      <c r="U102" s="681"/>
      <c r="V102" s="681"/>
      <c r="W102" s="681"/>
      <c r="X102" s="681"/>
      <c r="Y102" s="681"/>
      <c r="Z102" s="681"/>
      <c r="AA102" s="681"/>
      <c r="AB102" s="681"/>
      <c r="AC102" s="681"/>
      <c r="AD102" s="681"/>
      <c r="AE102" s="82">
        <f t="shared" si="38"/>
        <v>0</v>
      </c>
    </row>
    <row r="103" spans="1:31" ht="18" hidden="1" customHeight="1">
      <c r="A103" s="86" t="s">
        <v>244</v>
      </c>
      <c r="B103" s="51"/>
      <c r="C103" s="677"/>
      <c r="D103" s="845">
        <f t="shared" si="58"/>
        <v>0</v>
      </c>
      <c r="E103" s="678"/>
      <c r="F103" s="681"/>
      <c r="G103" s="681"/>
      <c r="H103" s="681"/>
      <c r="I103" s="681"/>
      <c r="J103" s="681"/>
      <c r="K103" s="681"/>
      <c r="L103" s="681"/>
      <c r="M103" s="681"/>
      <c r="N103" s="681"/>
      <c r="O103" s="681"/>
      <c r="P103" s="681"/>
      <c r="Q103" s="681"/>
      <c r="R103" s="681"/>
      <c r="S103" s="681"/>
      <c r="T103" s="681"/>
      <c r="U103" s="681"/>
      <c r="V103" s="681"/>
      <c r="W103" s="681"/>
      <c r="X103" s="681"/>
      <c r="Y103" s="681"/>
      <c r="Z103" s="681"/>
      <c r="AA103" s="681"/>
      <c r="AB103" s="681"/>
      <c r="AC103" s="681"/>
      <c r="AD103" s="681"/>
      <c r="AE103" s="82">
        <f t="shared" si="38"/>
        <v>0</v>
      </c>
    </row>
    <row r="104" spans="1:31" ht="18" hidden="1" customHeight="1">
      <c r="A104" s="85" t="s">
        <v>245</v>
      </c>
      <c r="B104" s="34"/>
      <c r="C104" s="35"/>
      <c r="D104" s="847"/>
      <c r="E104" s="36"/>
      <c r="F104" s="55"/>
      <c r="G104" s="55">
        <f>SUM(G105:G109)</f>
        <v>0</v>
      </c>
      <c r="H104" s="55">
        <f>SUM(H105:H109)</f>
        <v>0</v>
      </c>
      <c r="I104" s="55">
        <f>SUM(I105:I109)</f>
        <v>0</v>
      </c>
      <c r="J104" s="55">
        <f>SUM(J105:J109)</f>
        <v>0</v>
      </c>
      <c r="K104" s="55">
        <f>SUM(K105:K109)</f>
        <v>0</v>
      </c>
      <c r="L104" s="55">
        <f t="shared" ref="L104:AD104" si="59">SUM(L105:L109)</f>
        <v>0</v>
      </c>
      <c r="M104" s="55">
        <f t="shared" si="59"/>
        <v>0</v>
      </c>
      <c r="N104" s="55">
        <f t="shared" si="59"/>
        <v>0</v>
      </c>
      <c r="O104" s="55">
        <f t="shared" si="59"/>
        <v>0</v>
      </c>
      <c r="P104" s="55">
        <f t="shared" si="59"/>
        <v>0</v>
      </c>
      <c r="Q104" s="55">
        <f t="shared" si="59"/>
        <v>0</v>
      </c>
      <c r="R104" s="55">
        <f t="shared" si="59"/>
        <v>0</v>
      </c>
      <c r="S104" s="55">
        <f t="shared" si="59"/>
        <v>0</v>
      </c>
      <c r="T104" s="55">
        <f t="shared" si="59"/>
        <v>0</v>
      </c>
      <c r="U104" s="55">
        <f t="shared" si="59"/>
        <v>0</v>
      </c>
      <c r="V104" s="55">
        <f t="shared" si="59"/>
        <v>0</v>
      </c>
      <c r="W104" s="55">
        <f t="shared" si="59"/>
        <v>0</v>
      </c>
      <c r="X104" s="55">
        <f t="shared" si="59"/>
        <v>0</v>
      </c>
      <c r="Y104" s="55">
        <f t="shared" si="59"/>
        <v>0</v>
      </c>
      <c r="Z104" s="55">
        <f t="shared" si="59"/>
        <v>0</v>
      </c>
      <c r="AA104" s="55">
        <f t="shared" si="59"/>
        <v>0</v>
      </c>
      <c r="AB104" s="55">
        <f t="shared" si="59"/>
        <v>0</v>
      </c>
      <c r="AC104" s="55">
        <f t="shared" si="59"/>
        <v>0</v>
      </c>
      <c r="AD104" s="55">
        <f t="shared" si="59"/>
        <v>0</v>
      </c>
      <c r="AE104" s="82">
        <f t="shared" si="38"/>
        <v>0</v>
      </c>
    </row>
    <row r="105" spans="1:31" ht="18" hidden="1" customHeight="1">
      <c r="A105" s="86" t="s">
        <v>246</v>
      </c>
      <c r="B105" s="51"/>
      <c r="C105" s="677"/>
      <c r="D105" s="845">
        <f>C105*$C$104*$C$79</f>
        <v>0</v>
      </c>
      <c r="E105" s="678"/>
      <c r="F105" s="681"/>
      <c r="G105" s="681"/>
      <c r="H105" s="681"/>
      <c r="I105" s="681"/>
      <c r="J105" s="681"/>
      <c r="K105" s="681"/>
      <c r="L105" s="681"/>
      <c r="M105" s="681"/>
      <c r="N105" s="681"/>
      <c r="O105" s="681"/>
      <c r="P105" s="681"/>
      <c r="Q105" s="681"/>
      <c r="R105" s="681"/>
      <c r="S105" s="681"/>
      <c r="T105" s="681"/>
      <c r="U105" s="681"/>
      <c r="V105" s="681"/>
      <c r="W105" s="681"/>
      <c r="X105" s="681"/>
      <c r="Y105" s="681"/>
      <c r="Z105" s="681"/>
      <c r="AA105" s="681"/>
      <c r="AB105" s="681"/>
      <c r="AC105" s="681"/>
      <c r="AD105" s="681"/>
      <c r="AE105" s="82">
        <f t="shared" si="38"/>
        <v>0</v>
      </c>
    </row>
    <row r="106" spans="1:31" ht="18" hidden="1" customHeight="1">
      <c r="A106" s="86" t="s">
        <v>247</v>
      </c>
      <c r="B106" s="51"/>
      <c r="C106" s="677"/>
      <c r="D106" s="845">
        <f>C106*$C$104*$C$79</f>
        <v>0</v>
      </c>
      <c r="E106" s="678"/>
      <c r="F106" s="681"/>
      <c r="G106" s="681"/>
      <c r="H106" s="681"/>
      <c r="I106" s="681"/>
      <c r="J106" s="681"/>
      <c r="K106" s="681"/>
      <c r="L106" s="681"/>
      <c r="M106" s="681"/>
      <c r="N106" s="681"/>
      <c r="O106" s="681"/>
      <c r="P106" s="681"/>
      <c r="Q106" s="681"/>
      <c r="R106" s="681"/>
      <c r="S106" s="681"/>
      <c r="T106" s="681"/>
      <c r="U106" s="681"/>
      <c r="V106" s="681"/>
      <c r="W106" s="681"/>
      <c r="X106" s="681"/>
      <c r="Y106" s="681"/>
      <c r="Z106" s="681"/>
      <c r="AA106" s="681"/>
      <c r="AB106" s="681"/>
      <c r="AC106" s="681"/>
      <c r="AD106" s="681"/>
      <c r="AE106" s="82">
        <f t="shared" si="38"/>
        <v>0</v>
      </c>
    </row>
    <row r="107" spans="1:31" ht="18" hidden="1" customHeight="1">
      <c r="A107" s="86" t="s">
        <v>248</v>
      </c>
      <c r="B107" s="51"/>
      <c r="C107" s="677"/>
      <c r="D107" s="845">
        <f>C107*$C$104*$C$79</f>
        <v>0</v>
      </c>
      <c r="E107" s="678"/>
      <c r="F107" s="681"/>
      <c r="G107" s="681"/>
      <c r="H107" s="681"/>
      <c r="I107" s="681"/>
      <c r="J107" s="681"/>
      <c r="K107" s="681"/>
      <c r="L107" s="681"/>
      <c r="M107" s="681"/>
      <c r="N107" s="681"/>
      <c r="O107" s="681"/>
      <c r="P107" s="681"/>
      <c r="Q107" s="681"/>
      <c r="R107" s="681"/>
      <c r="S107" s="681"/>
      <c r="T107" s="681"/>
      <c r="U107" s="681"/>
      <c r="V107" s="681"/>
      <c r="W107" s="681"/>
      <c r="X107" s="681"/>
      <c r="Y107" s="681"/>
      <c r="Z107" s="681"/>
      <c r="AA107" s="681"/>
      <c r="AB107" s="681"/>
      <c r="AC107" s="681"/>
      <c r="AD107" s="681"/>
      <c r="AE107" s="82">
        <f t="shared" si="38"/>
        <v>0</v>
      </c>
    </row>
    <row r="108" spans="1:31" ht="18" hidden="1" customHeight="1">
      <c r="A108" s="86" t="s">
        <v>249</v>
      </c>
      <c r="B108" s="51"/>
      <c r="C108" s="677"/>
      <c r="D108" s="845">
        <f>C108*$C$104*$C$79</f>
        <v>0</v>
      </c>
      <c r="E108" s="678"/>
      <c r="F108" s="681"/>
      <c r="G108" s="681"/>
      <c r="H108" s="681"/>
      <c r="I108" s="681"/>
      <c r="J108" s="681"/>
      <c r="K108" s="681"/>
      <c r="L108" s="681"/>
      <c r="M108" s="681"/>
      <c r="N108" s="681"/>
      <c r="O108" s="681"/>
      <c r="P108" s="681"/>
      <c r="Q108" s="681"/>
      <c r="R108" s="681"/>
      <c r="S108" s="681"/>
      <c r="T108" s="681"/>
      <c r="U108" s="681"/>
      <c r="V108" s="681"/>
      <c r="W108" s="681"/>
      <c r="X108" s="681"/>
      <c r="Y108" s="681"/>
      <c r="Z108" s="681"/>
      <c r="AA108" s="681"/>
      <c r="AB108" s="681"/>
      <c r="AC108" s="681"/>
      <c r="AD108" s="681"/>
      <c r="AE108" s="82">
        <f t="shared" si="38"/>
        <v>0</v>
      </c>
    </row>
    <row r="109" spans="1:31" ht="18" hidden="1" customHeight="1">
      <c r="A109" s="86" t="s">
        <v>250</v>
      </c>
      <c r="B109" s="51"/>
      <c r="C109" s="677"/>
      <c r="D109" s="845">
        <f>C109*$C$104*$C$79</f>
        <v>0</v>
      </c>
      <c r="E109" s="678"/>
      <c r="F109" s="681"/>
      <c r="G109" s="681"/>
      <c r="H109" s="681"/>
      <c r="I109" s="681"/>
      <c r="J109" s="681"/>
      <c r="K109" s="681"/>
      <c r="L109" s="681"/>
      <c r="M109" s="681"/>
      <c r="N109" s="681"/>
      <c r="O109" s="681"/>
      <c r="P109" s="681"/>
      <c r="Q109" s="681"/>
      <c r="R109" s="681"/>
      <c r="S109" s="681"/>
      <c r="T109" s="681"/>
      <c r="U109" s="681"/>
      <c r="V109" s="681"/>
      <c r="W109" s="681"/>
      <c r="X109" s="681"/>
      <c r="Y109" s="681"/>
      <c r="Z109" s="681"/>
      <c r="AA109" s="681"/>
      <c r="AB109" s="681"/>
      <c r="AC109" s="681"/>
      <c r="AD109" s="681"/>
      <c r="AE109" s="82">
        <f t="shared" si="38"/>
        <v>0</v>
      </c>
    </row>
    <row r="110" spans="1:31" ht="18" hidden="1" customHeight="1">
      <c r="A110" s="84" t="s">
        <v>251</v>
      </c>
      <c r="B110" s="37"/>
      <c r="C110" s="38"/>
      <c r="D110" s="846"/>
      <c r="E110" s="39"/>
      <c r="F110" s="54"/>
      <c r="G110" s="54">
        <f>G111+G117+G123+G129+G135</f>
        <v>0</v>
      </c>
      <c r="H110" s="54">
        <f t="shared" ref="H110:R110" si="60">H111+H117+H123+H129+H135</f>
        <v>0</v>
      </c>
      <c r="I110" s="54">
        <f t="shared" si="60"/>
        <v>0</v>
      </c>
      <c r="J110" s="54">
        <f t="shared" si="60"/>
        <v>0</v>
      </c>
      <c r="K110" s="54">
        <f t="shared" si="60"/>
        <v>0</v>
      </c>
      <c r="L110" s="54">
        <f t="shared" si="60"/>
        <v>0</v>
      </c>
      <c r="M110" s="54">
        <f t="shared" si="60"/>
        <v>0</v>
      </c>
      <c r="N110" s="54">
        <f t="shared" si="60"/>
        <v>0</v>
      </c>
      <c r="O110" s="54">
        <f t="shared" si="60"/>
        <v>0</v>
      </c>
      <c r="P110" s="54">
        <f t="shared" si="60"/>
        <v>0</v>
      </c>
      <c r="Q110" s="54">
        <f t="shared" si="60"/>
        <v>0</v>
      </c>
      <c r="R110" s="54">
        <f t="shared" si="60"/>
        <v>0</v>
      </c>
      <c r="S110" s="54">
        <f t="shared" ref="S110:AD110" si="61">S111+S117+S123</f>
        <v>0</v>
      </c>
      <c r="T110" s="54">
        <f t="shared" si="61"/>
        <v>0</v>
      </c>
      <c r="U110" s="54">
        <f t="shared" si="61"/>
        <v>0</v>
      </c>
      <c r="V110" s="54">
        <f t="shared" si="61"/>
        <v>0</v>
      </c>
      <c r="W110" s="54">
        <f t="shared" si="61"/>
        <v>0</v>
      </c>
      <c r="X110" s="54">
        <f t="shared" si="61"/>
        <v>0</v>
      </c>
      <c r="Y110" s="54">
        <f t="shared" si="61"/>
        <v>0</v>
      </c>
      <c r="Z110" s="54">
        <f t="shared" si="61"/>
        <v>0</v>
      </c>
      <c r="AA110" s="54">
        <f t="shared" si="61"/>
        <v>0</v>
      </c>
      <c r="AB110" s="54">
        <f t="shared" si="61"/>
        <v>0</v>
      </c>
      <c r="AC110" s="54">
        <f t="shared" si="61"/>
        <v>0</v>
      </c>
      <c r="AD110" s="54">
        <f t="shared" si="61"/>
        <v>0</v>
      </c>
      <c r="AE110" s="82">
        <f t="shared" si="38"/>
        <v>0</v>
      </c>
    </row>
    <row r="111" spans="1:31" ht="18" hidden="1" customHeight="1">
      <c r="A111" s="85" t="s">
        <v>252</v>
      </c>
      <c r="B111" s="34"/>
      <c r="C111" s="35"/>
      <c r="D111" s="847"/>
      <c r="E111" s="36"/>
      <c r="F111" s="55"/>
      <c r="G111" s="55">
        <f>SUM(G112:G116)</f>
        <v>0</v>
      </c>
      <c r="H111" s="55">
        <f>SUM(H112:H116)</f>
        <v>0</v>
      </c>
      <c r="I111" s="55">
        <f t="shared" ref="I111" si="62">SUM(I112:I116)</f>
        <v>0</v>
      </c>
      <c r="J111" s="55">
        <f>SUM(J112:J116)</f>
        <v>0</v>
      </c>
      <c r="K111" s="55">
        <f>SUM(K112:K116)</f>
        <v>0</v>
      </c>
      <c r="L111" s="55">
        <f t="shared" ref="L111" si="63">SUM(L112:L116)</f>
        <v>0</v>
      </c>
      <c r="M111" s="55">
        <f t="shared" ref="M111" si="64">SUM(M112:M116)</f>
        <v>0</v>
      </c>
      <c r="N111" s="55">
        <f t="shared" ref="N111" si="65">SUM(N112:N116)</f>
        <v>0</v>
      </c>
      <c r="O111" s="55">
        <f t="shared" ref="O111" si="66">SUM(O112:O116)</f>
        <v>0</v>
      </c>
      <c r="P111" s="55">
        <f t="shared" ref="P111" si="67">SUM(P112:P116)</f>
        <v>0</v>
      </c>
      <c r="Q111" s="55">
        <f t="shared" ref="Q111:AD111" si="68">SUM(Q112:Q116)</f>
        <v>0</v>
      </c>
      <c r="R111" s="55">
        <f t="shared" si="68"/>
        <v>0</v>
      </c>
      <c r="S111" s="55">
        <f t="shared" si="68"/>
        <v>0</v>
      </c>
      <c r="T111" s="55">
        <f t="shared" si="68"/>
        <v>0</v>
      </c>
      <c r="U111" s="55">
        <f t="shared" si="68"/>
        <v>0</v>
      </c>
      <c r="V111" s="55">
        <f t="shared" si="68"/>
        <v>0</v>
      </c>
      <c r="W111" s="55">
        <f t="shared" si="68"/>
        <v>0</v>
      </c>
      <c r="X111" s="55">
        <f t="shared" si="68"/>
        <v>0</v>
      </c>
      <c r="Y111" s="55">
        <f t="shared" si="68"/>
        <v>0</v>
      </c>
      <c r="Z111" s="55">
        <f t="shared" si="68"/>
        <v>0</v>
      </c>
      <c r="AA111" s="55">
        <f t="shared" si="68"/>
        <v>0</v>
      </c>
      <c r="AB111" s="55">
        <f t="shared" si="68"/>
        <v>0</v>
      </c>
      <c r="AC111" s="55">
        <f t="shared" si="68"/>
        <v>0</v>
      </c>
      <c r="AD111" s="55">
        <f t="shared" si="68"/>
        <v>0</v>
      </c>
      <c r="AE111" s="82">
        <f t="shared" si="38"/>
        <v>0</v>
      </c>
    </row>
    <row r="112" spans="1:31" ht="18" hidden="1" customHeight="1">
      <c r="A112" s="86" t="s">
        <v>253</v>
      </c>
      <c r="B112" s="51"/>
      <c r="C112" s="677"/>
      <c r="D112" s="845">
        <f>C112*$C$111*$C$110</f>
        <v>0</v>
      </c>
      <c r="E112" s="678"/>
      <c r="F112" s="681"/>
      <c r="G112" s="681"/>
      <c r="H112" s="681"/>
      <c r="I112" s="681"/>
      <c r="J112" s="681"/>
      <c r="K112" s="681"/>
      <c r="L112" s="681"/>
      <c r="M112" s="681"/>
      <c r="N112" s="681"/>
      <c r="O112" s="681"/>
      <c r="P112" s="681"/>
      <c r="Q112" s="681"/>
      <c r="R112" s="681"/>
      <c r="S112" s="681"/>
      <c r="T112" s="681"/>
      <c r="U112" s="681"/>
      <c r="V112" s="681"/>
      <c r="W112" s="681"/>
      <c r="X112" s="681"/>
      <c r="Y112" s="681"/>
      <c r="Z112" s="681"/>
      <c r="AA112" s="681"/>
      <c r="AB112" s="681"/>
      <c r="AC112" s="681"/>
      <c r="AD112" s="681"/>
      <c r="AE112" s="82">
        <f t="shared" si="38"/>
        <v>0</v>
      </c>
    </row>
    <row r="113" spans="1:31" ht="18" hidden="1" customHeight="1">
      <c r="A113" s="86" t="s">
        <v>254</v>
      </c>
      <c r="B113" s="51"/>
      <c r="C113" s="677"/>
      <c r="D113" s="845">
        <f>C113*$C$111*$C$110</f>
        <v>0</v>
      </c>
      <c r="E113" s="678"/>
      <c r="F113" s="681"/>
      <c r="G113" s="681"/>
      <c r="H113" s="681"/>
      <c r="I113" s="681"/>
      <c r="J113" s="681"/>
      <c r="K113" s="681"/>
      <c r="L113" s="681"/>
      <c r="M113" s="681"/>
      <c r="N113" s="681"/>
      <c r="O113" s="681"/>
      <c r="P113" s="681"/>
      <c r="Q113" s="681"/>
      <c r="R113" s="681"/>
      <c r="S113" s="681"/>
      <c r="T113" s="681"/>
      <c r="U113" s="681"/>
      <c r="V113" s="681"/>
      <c r="W113" s="681"/>
      <c r="X113" s="681"/>
      <c r="Y113" s="681"/>
      <c r="Z113" s="681"/>
      <c r="AA113" s="681"/>
      <c r="AB113" s="681"/>
      <c r="AC113" s="681"/>
      <c r="AD113" s="681"/>
      <c r="AE113" s="82">
        <f t="shared" si="38"/>
        <v>0</v>
      </c>
    </row>
    <row r="114" spans="1:31" ht="18" hidden="1" customHeight="1">
      <c r="A114" s="86" t="s">
        <v>255</v>
      </c>
      <c r="B114" s="51"/>
      <c r="C114" s="677"/>
      <c r="D114" s="845">
        <f t="shared" ref="D114:D116" si="69">C114*$C$111*$C$110</f>
        <v>0</v>
      </c>
      <c r="E114" s="678"/>
      <c r="F114" s="681"/>
      <c r="G114" s="681"/>
      <c r="H114" s="681"/>
      <c r="I114" s="681"/>
      <c r="J114" s="681"/>
      <c r="K114" s="681"/>
      <c r="L114" s="681"/>
      <c r="M114" s="681"/>
      <c r="N114" s="681"/>
      <c r="O114" s="681"/>
      <c r="P114" s="681"/>
      <c r="Q114" s="681"/>
      <c r="R114" s="681"/>
      <c r="S114" s="681"/>
      <c r="T114" s="681"/>
      <c r="U114" s="681"/>
      <c r="V114" s="681"/>
      <c r="W114" s="681"/>
      <c r="X114" s="681"/>
      <c r="Y114" s="681"/>
      <c r="Z114" s="681"/>
      <c r="AA114" s="681"/>
      <c r="AB114" s="681"/>
      <c r="AC114" s="681"/>
      <c r="AD114" s="681"/>
      <c r="AE114" s="82">
        <f t="shared" si="38"/>
        <v>0</v>
      </c>
    </row>
    <row r="115" spans="1:31" ht="18" hidden="1" customHeight="1">
      <c r="A115" s="86" t="s">
        <v>256</v>
      </c>
      <c r="B115" s="51"/>
      <c r="C115" s="677"/>
      <c r="D115" s="845">
        <f>C115*$C$111*$C$110</f>
        <v>0</v>
      </c>
      <c r="E115" s="678"/>
      <c r="F115" s="681"/>
      <c r="G115" s="681"/>
      <c r="H115" s="681"/>
      <c r="I115" s="681"/>
      <c r="J115" s="681"/>
      <c r="K115" s="681"/>
      <c r="L115" s="681"/>
      <c r="M115" s="681"/>
      <c r="N115" s="681"/>
      <c r="O115" s="681"/>
      <c r="P115" s="681"/>
      <c r="Q115" s="681"/>
      <c r="R115" s="681"/>
      <c r="S115" s="681"/>
      <c r="T115" s="681"/>
      <c r="U115" s="681"/>
      <c r="V115" s="681"/>
      <c r="W115" s="681"/>
      <c r="X115" s="681"/>
      <c r="Y115" s="681"/>
      <c r="Z115" s="681"/>
      <c r="AA115" s="681"/>
      <c r="AB115" s="681"/>
      <c r="AC115" s="681"/>
      <c r="AD115" s="681"/>
      <c r="AE115" s="82">
        <f t="shared" si="38"/>
        <v>0</v>
      </c>
    </row>
    <row r="116" spans="1:31" ht="18" hidden="1" customHeight="1">
      <c r="A116" s="86" t="s">
        <v>257</v>
      </c>
      <c r="B116" s="51"/>
      <c r="C116" s="677"/>
      <c r="D116" s="845">
        <f t="shared" si="69"/>
        <v>0</v>
      </c>
      <c r="E116" s="678"/>
      <c r="F116" s="681"/>
      <c r="G116" s="681"/>
      <c r="H116" s="681"/>
      <c r="I116" s="681"/>
      <c r="J116" s="681"/>
      <c r="K116" s="681"/>
      <c r="L116" s="681"/>
      <c r="M116" s="681"/>
      <c r="N116" s="681"/>
      <c r="O116" s="681"/>
      <c r="P116" s="681"/>
      <c r="Q116" s="681"/>
      <c r="R116" s="681"/>
      <c r="S116" s="681"/>
      <c r="T116" s="681"/>
      <c r="U116" s="681"/>
      <c r="V116" s="681"/>
      <c r="W116" s="681"/>
      <c r="X116" s="681"/>
      <c r="Y116" s="681"/>
      <c r="Z116" s="681"/>
      <c r="AA116" s="681"/>
      <c r="AB116" s="681"/>
      <c r="AC116" s="681"/>
      <c r="AD116" s="681"/>
      <c r="AE116" s="82">
        <f t="shared" si="38"/>
        <v>0</v>
      </c>
    </row>
    <row r="117" spans="1:31" ht="18" hidden="1" customHeight="1">
      <c r="A117" s="85" t="s">
        <v>258</v>
      </c>
      <c r="B117" s="34"/>
      <c r="C117" s="35"/>
      <c r="D117" s="847"/>
      <c r="E117" s="36"/>
      <c r="F117" s="55"/>
      <c r="G117" s="55">
        <f>SUM(G118:G122)</f>
        <v>0</v>
      </c>
      <c r="H117" s="55">
        <f>SUM(H118:H122)</f>
        <v>0</v>
      </c>
      <c r="I117" s="55">
        <f t="shared" ref="I117" si="70">SUM(I118:I122)</f>
        <v>0</v>
      </c>
      <c r="J117" s="55">
        <f t="shared" ref="J117" si="71">SUM(J118:J122)</f>
        <v>0</v>
      </c>
      <c r="K117" s="55">
        <f t="shared" ref="K117" si="72">SUM(K118:K122)</f>
        <v>0</v>
      </c>
      <c r="L117" s="55">
        <f t="shared" ref="L117" si="73">SUM(L118:L122)</f>
        <v>0</v>
      </c>
      <c r="M117" s="55">
        <f t="shared" ref="M117" si="74">SUM(M118:M122)</f>
        <v>0</v>
      </c>
      <c r="N117" s="55">
        <f t="shared" ref="N117" si="75">SUM(N118:N122)</f>
        <v>0</v>
      </c>
      <c r="O117" s="55">
        <f t="shared" ref="O117" si="76">SUM(O118:O122)</f>
        <v>0</v>
      </c>
      <c r="P117" s="55">
        <f t="shared" ref="P117" si="77">SUM(P118:P122)</f>
        <v>0</v>
      </c>
      <c r="Q117" s="55">
        <f t="shared" ref="Q117:AD117" si="78">SUM(Q118:Q122)</f>
        <v>0</v>
      </c>
      <c r="R117" s="55">
        <f t="shared" si="78"/>
        <v>0</v>
      </c>
      <c r="S117" s="55">
        <f t="shared" si="78"/>
        <v>0</v>
      </c>
      <c r="T117" s="55">
        <f t="shared" si="78"/>
        <v>0</v>
      </c>
      <c r="U117" s="55">
        <f t="shared" si="78"/>
        <v>0</v>
      </c>
      <c r="V117" s="55">
        <f t="shared" si="78"/>
        <v>0</v>
      </c>
      <c r="W117" s="55">
        <f t="shared" si="78"/>
        <v>0</v>
      </c>
      <c r="X117" s="55">
        <f t="shared" si="78"/>
        <v>0</v>
      </c>
      <c r="Y117" s="55">
        <f t="shared" si="78"/>
        <v>0</v>
      </c>
      <c r="Z117" s="55">
        <f t="shared" si="78"/>
        <v>0</v>
      </c>
      <c r="AA117" s="55">
        <f t="shared" si="78"/>
        <v>0</v>
      </c>
      <c r="AB117" s="55">
        <f t="shared" si="78"/>
        <v>0</v>
      </c>
      <c r="AC117" s="55">
        <f t="shared" si="78"/>
        <v>0</v>
      </c>
      <c r="AD117" s="55">
        <f t="shared" si="78"/>
        <v>0</v>
      </c>
      <c r="AE117" s="82">
        <f t="shared" si="38"/>
        <v>0</v>
      </c>
    </row>
    <row r="118" spans="1:31" ht="18" hidden="1" customHeight="1">
      <c r="A118" s="86" t="s">
        <v>259</v>
      </c>
      <c r="B118" s="51"/>
      <c r="C118" s="677"/>
      <c r="D118" s="845">
        <f>C118*$C$117*$C$110</f>
        <v>0</v>
      </c>
      <c r="E118" s="678"/>
      <c r="F118" s="681"/>
      <c r="G118" s="681"/>
      <c r="H118" s="681"/>
      <c r="I118" s="681"/>
      <c r="J118" s="681"/>
      <c r="K118" s="681"/>
      <c r="L118" s="681"/>
      <c r="M118" s="681"/>
      <c r="N118" s="681"/>
      <c r="O118" s="681"/>
      <c r="P118" s="681"/>
      <c r="Q118" s="681"/>
      <c r="R118" s="681"/>
      <c r="S118" s="681"/>
      <c r="T118" s="681"/>
      <c r="U118" s="681"/>
      <c r="V118" s="681"/>
      <c r="W118" s="681"/>
      <c r="X118" s="681"/>
      <c r="Y118" s="681"/>
      <c r="Z118" s="681"/>
      <c r="AA118" s="681"/>
      <c r="AB118" s="681"/>
      <c r="AC118" s="681"/>
      <c r="AD118" s="681"/>
      <c r="AE118" s="82">
        <f t="shared" si="38"/>
        <v>0</v>
      </c>
    </row>
    <row r="119" spans="1:31" ht="18" hidden="1" customHeight="1">
      <c r="A119" s="86" t="s">
        <v>260</v>
      </c>
      <c r="B119" s="51"/>
      <c r="C119" s="677"/>
      <c r="D119" s="845">
        <f t="shared" ref="D119:D122" si="79">C119*$C$117*$C$110</f>
        <v>0</v>
      </c>
      <c r="E119" s="678"/>
      <c r="F119" s="681"/>
      <c r="G119" s="681"/>
      <c r="H119" s="681"/>
      <c r="I119" s="681"/>
      <c r="J119" s="681"/>
      <c r="K119" s="681"/>
      <c r="L119" s="681"/>
      <c r="M119" s="681"/>
      <c r="N119" s="681"/>
      <c r="O119" s="681"/>
      <c r="P119" s="681"/>
      <c r="Q119" s="681"/>
      <c r="R119" s="681"/>
      <c r="S119" s="681"/>
      <c r="T119" s="681"/>
      <c r="U119" s="681"/>
      <c r="V119" s="681"/>
      <c r="W119" s="681"/>
      <c r="X119" s="681"/>
      <c r="Y119" s="681"/>
      <c r="Z119" s="681"/>
      <c r="AA119" s="681"/>
      <c r="AB119" s="681"/>
      <c r="AC119" s="681"/>
      <c r="AD119" s="681"/>
      <c r="AE119" s="82">
        <f t="shared" si="38"/>
        <v>0</v>
      </c>
    </row>
    <row r="120" spans="1:31" ht="18" hidden="1" customHeight="1">
      <c r="A120" s="86" t="s">
        <v>261</v>
      </c>
      <c r="B120" s="51"/>
      <c r="C120" s="677"/>
      <c r="D120" s="845">
        <f t="shared" si="79"/>
        <v>0</v>
      </c>
      <c r="E120" s="678"/>
      <c r="F120" s="681"/>
      <c r="G120" s="681"/>
      <c r="H120" s="681"/>
      <c r="I120" s="681"/>
      <c r="J120" s="681"/>
      <c r="K120" s="681"/>
      <c r="L120" s="681"/>
      <c r="M120" s="681"/>
      <c r="N120" s="681"/>
      <c r="O120" s="681"/>
      <c r="P120" s="681"/>
      <c r="Q120" s="681"/>
      <c r="R120" s="681"/>
      <c r="S120" s="681"/>
      <c r="T120" s="681"/>
      <c r="U120" s="681"/>
      <c r="V120" s="681"/>
      <c r="W120" s="681"/>
      <c r="X120" s="681"/>
      <c r="Y120" s="681"/>
      <c r="Z120" s="681"/>
      <c r="AA120" s="681"/>
      <c r="AB120" s="681"/>
      <c r="AC120" s="681"/>
      <c r="AD120" s="681"/>
      <c r="AE120" s="82">
        <f t="shared" si="38"/>
        <v>0</v>
      </c>
    </row>
    <row r="121" spans="1:31" ht="18" hidden="1" customHeight="1">
      <c r="A121" s="86" t="s">
        <v>262</v>
      </c>
      <c r="B121" s="51"/>
      <c r="C121" s="677"/>
      <c r="D121" s="845">
        <f t="shared" si="79"/>
        <v>0</v>
      </c>
      <c r="E121" s="678"/>
      <c r="F121" s="681"/>
      <c r="G121" s="681"/>
      <c r="H121" s="681"/>
      <c r="I121" s="681"/>
      <c r="J121" s="681"/>
      <c r="K121" s="681"/>
      <c r="L121" s="681"/>
      <c r="M121" s="681"/>
      <c r="N121" s="681"/>
      <c r="O121" s="681"/>
      <c r="P121" s="681"/>
      <c r="Q121" s="681"/>
      <c r="R121" s="681"/>
      <c r="S121" s="681"/>
      <c r="T121" s="681"/>
      <c r="U121" s="681"/>
      <c r="V121" s="681"/>
      <c r="W121" s="681"/>
      <c r="X121" s="681"/>
      <c r="Y121" s="681"/>
      <c r="Z121" s="681"/>
      <c r="AA121" s="681"/>
      <c r="AB121" s="681"/>
      <c r="AC121" s="681"/>
      <c r="AD121" s="681"/>
      <c r="AE121" s="82">
        <f t="shared" si="38"/>
        <v>0</v>
      </c>
    </row>
    <row r="122" spans="1:31" ht="18" hidden="1" customHeight="1">
      <c r="A122" s="86" t="s">
        <v>263</v>
      </c>
      <c r="B122" s="51"/>
      <c r="C122" s="677"/>
      <c r="D122" s="845">
        <f t="shared" si="79"/>
        <v>0</v>
      </c>
      <c r="E122" s="678"/>
      <c r="F122" s="681"/>
      <c r="G122" s="681"/>
      <c r="H122" s="681"/>
      <c r="I122" s="681"/>
      <c r="J122" s="681"/>
      <c r="K122" s="681"/>
      <c r="L122" s="681"/>
      <c r="M122" s="681"/>
      <c r="N122" s="681"/>
      <c r="O122" s="681"/>
      <c r="P122" s="681"/>
      <c r="Q122" s="681"/>
      <c r="R122" s="681"/>
      <c r="S122" s="681"/>
      <c r="T122" s="681"/>
      <c r="U122" s="681"/>
      <c r="V122" s="681"/>
      <c r="W122" s="681"/>
      <c r="X122" s="681"/>
      <c r="Y122" s="681"/>
      <c r="Z122" s="681"/>
      <c r="AA122" s="681"/>
      <c r="AB122" s="681"/>
      <c r="AC122" s="681"/>
      <c r="AD122" s="681"/>
      <c r="AE122" s="82">
        <f t="shared" si="38"/>
        <v>0</v>
      </c>
    </row>
    <row r="123" spans="1:31" ht="18" hidden="1" customHeight="1">
      <c r="A123" s="85" t="s">
        <v>264</v>
      </c>
      <c r="B123" s="34"/>
      <c r="C123" s="35"/>
      <c r="D123" s="847"/>
      <c r="E123" s="36"/>
      <c r="F123" s="55"/>
      <c r="G123" s="55">
        <f>SUM(G124:G128)</f>
        <v>0</v>
      </c>
      <c r="H123" s="55">
        <f t="shared" ref="H123" si="80">SUM(H124:H128)</f>
        <v>0</v>
      </c>
      <c r="I123" s="55">
        <f>SUM(I124:I128)</f>
        <v>0</v>
      </c>
      <c r="J123" s="55">
        <f t="shared" ref="J123" si="81">SUM(J124:J128)</f>
        <v>0</v>
      </c>
      <c r="K123" s="55">
        <f t="shared" ref="K123" si="82">SUM(K124:K128)</f>
        <v>0</v>
      </c>
      <c r="L123" s="55">
        <f t="shared" ref="L123" si="83">SUM(L124:L128)</f>
        <v>0</v>
      </c>
      <c r="M123" s="55">
        <f t="shared" ref="M123" si="84">SUM(M124:M128)</f>
        <v>0</v>
      </c>
      <c r="N123" s="55">
        <f t="shared" ref="N123" si="85">SUM(N124:N128)</f>
        <v>0</v>
      </c>
      <c r="O123" s="55">
        <f t="shared" ref="O123" si="86">SUM(O124:O128)</f>
        <v>0</v>
      </c>
      <c r="P123" s="55">
        <f t="shared" ref="P123" si="87">SUM(P124:P128)</f>
        <v>0</v>
      </c>
      <c r="Q123" s="55">
        <f t="shared" ref="Q123:AD123" si="88">SUM(Q124:Q128)</f>
        <v>0</v>
      </c>
      <c r="R123" s="55">
        <f t="shared" si="88"/>
        <v>0</v>
      </c>
      <c r="S123" s="55">
        <f t="shared" si="88"/>
        <v>0</v>
      </c>
      <c r="T123" s="55">
        <f t="shared" si="88"/>
        <v>0</v>
      </c>
      <c r="U123" s="55">
        <f t="shared" si="88"/>
        <v>0</v>
      </c>
      <c r="V123" s="55">
        <f t="shared" si="88"/>
        <v>0</v>
      </c>
      <c r="W123" s="55">
        <f t="shared" si="88"/>
        <v>0</v>
      </c>
      <c r="X123" s="55">
        <f t="shared" si="88"/>
        <v>0</v>
      </c>
      <c r="Y123" s="55">
        <f t="shared" si="88"/>
        <v>0</v>
      </c>
      <c r="Z123" s="55">
        <f t="shared" si="88"/>
        <v>0</v>
      </c>
      <c r="AA123" s="55">
        <f t="shared" si="88"/>
        <v>0</v>
      </c>
      <c r="AB123" s="55">
        <f t="shared" si="88"/>
        <v>0</v>
      </c>
      <c r="AC123" s="55">
        <f t="shared" si="88"/>
        <v>0</v>
      </c>
      <c r="AD123" s="55">
        <f t="shared" si="88"/>
        <v>0</v>
      </c>
      <c r="AE123" s="82">
        <f t="shared" si="38"/>
        <v>0</v>
      </c>
    </row>
    <row r="124" spans="1:31" ht="18" hidden="1" customHeight="1">
      <c r="A124" s="86" t="s">
        <v>265</v>
      </c>
      <c r="B124" s="51"/>
      <c r="C124" s="677"/>
      <c r="D124" s="845">
        <f>C124*$C$123*$C$110</f>
        <v>0</v>
      </c>
      <c r="E124" s="678"/>
      <c r="F124" s="681"/>
      <c r="G124" s="681"/>
      <c r="H124" s="681"/>
      <c r="I124" s="681"/>
      <c r="J124" s="681"/>
      <c r="K124" s="681"/>
      <c r="L124" s="681"/>
      <c r="M124" s="681"/>
      <c r="N124" s="681"/>
      <c r="O124" s="681"/>
      <c r="P124" s="681"/>
      <c r="Q124" s="681"/>
      <c r="R124" s="681"/>
      <c r="S124" s="681"/>
      <c r="T124" s="681"/>
      <c r="U124" s="681"/>
      <c r="V124" s="681"/>
      <c r="W124" s="681"/>
      <c r="X124" s="681"/>
      <c r="Y124" s="681"/>
      <c r="Z124" s="681"/>
      <c r="AA124" s="681"/>
      <c r="AB124" s="681"/>
      <c r="AC124" s="681"/>
      <c r="AD124" s="681"/>
      <c r="AE124" s="82">
        <f t="shared" si="38"/>
        <v>0</v>
      </c>
    </row>
    <row r="125" spans="1:31" ht="18" hidden="1" customHeight="1">
      <c r="A125" s="86" t="s">
        <v>266</v>
      </c>
      <c r="B125" s="51"/>
      <c r="C125" s="677"/>
      <c r="D125" s="845">
        <f>C125*$C$123*$C$110</f>
        <v>0</v>
      </c>
      <c r="E125" s="678"/>
      <c r="F125" s="681"/>
      <c r="G125" s="681"/>
      <c r="H125" s="681"/>
      <c r="I125" s="681"/>
      <c r="J125" s="681"/>
      <c r="K125" s="681"/>
      <c r="L125" s="681"/>
      <c r="M125" s="681"/>
      <c r="N125" s="681"/>
      <c r="O125" s="681"/>
      <c r="P125" s="681"/>
      <c r="Q125" s="681"/>
      <c r="R125" s="681"/>
      <c r="S125" s="681"/>
      <c r="T125" s="681"/>
      <c r="U125" s="681"/>
      <c r="V125" s="681"/>
      <c r="W125" s="681"/>
      <c r="X125" s="681"/>
      <c r="Y125" s="681"/>
      <c r="Z125" s="681"/>
      <c r="AA125" s="681"/>
      <c r="AB125" s="681"/>
      <c r="AC125" s="681"/>
      <c r="AD125" s="681"/>
      <c r="AE125" s="82">
        <f t="shared" si="38"/>
        <v>0</v>
      </c>
    </row>
    <row r="126" spans="1:31" ht="18" hidden="1" customHeight="1">
      <c r="A126" s="86" t="s">
        <v>267</v>
      </c>
      <c r="B126" s="51"/>
      <c r="C126" s="677"/>
      <c r="D126" s="845">
        <f>C126*$C$123*$C$110</f>
        <v>0</v>
      </c>
      <c r="E126" s="678"/>
      <c r="F126" s="681"/>
      <c r="G126" s="681"/>
      <c r="H126" s="681"/>
      <c r="I126" s="681"/>
      <c r="J126" s="681"/>
      <c r="K126" s="681"/>
      <c r="L126" s="681"/>
      <c r="M126" s="681"/>
      <c r="N126" s="681"/>
      <c r="O126" s="681"/>
      <c r="P126" s="681"/>
      <c r="Q126" s="681"/>
      <c r="R126" s="681"/>
      <c r="S126" s="681"/>
      <c r="T126" s="681"/>
      <c r="U126" s="681"/>
      <c r="V126" s="681"/>
      <c r="W126" s="681"/>
      <c r="X126" s="681"/>
      <c r="Y126" s="681"/>
      <c r="Z126" s="681"/>
      <c r="AA126" s="681"/>
      <c r="AB126" s="681"/>
      <c r="AC126" s="681"/>
      <c r="AD126" s="681"/>
      <c r="AE126" s="82">
        <f t="shared" si="38"/>
        <v>0</v>
      </c>
    </row>
    <row r="127" spans="1:31" ht="18" hidden="1" customHeight="1">
      <c r="A127" s="86" t="s">
        <v>268</v>
      </c>
      <c r="B127" s="51"/>
      <c r="C127" s="677"/>
      <c r="D127" s="845">
        <f>C127*$C$123*$C$110</f>
        <v>0</v>
      </c>
      <c r="E127" s="678"/>
      <c r="F127" s="681"/>
      <c r="G127" s="681"/>
      <c r="H127" s="681"/>
      <c r="I127" s="681"/>
      <c r="J127" s="681"/>
      <c r="K127" s="681"/>
      <c r="L127" s="681"/>
      <c r="M127" s="681"/>
      <c r="N127" s="681"/>
      <c r="O127" s="681"/>
      <c r="P127" s="681"/>
      <c r="Q127" s="681"/>
      <c r="R127" s="681"/>
      <c r="S127" s="681"/>
      <c r="T127" s="681"/>
      <c r="U127" s="681"/>
      <c r="V127" s="681"/>
      <c r="W127" s="681"/>
      <c r="X127" s="681"/>
      <c r="Y127" s="681"/>
      <c r="Z127" s="681"/>
      <c r="AA127" s="681"/>
      <c r="AB127" s="681"/>
      <c r="AC127" s="681"/>
      <c r="AD127" s="681"/>
      <c r="AE127" s="82">
        <f t="shared" si="38"/>
        <v>0</v>
      </c>
    </row>
    <row r="128" spans="1:31" ht="18" hidden="1" customHeight="1">
      <c r="A128" s="86" t="s">
        <v>269</v>
      </c>
      <c r="B128" s="51"/>
      <c r="C128" s="677"/>
      <c r="D128" s="845">
        <f>C128*$C$123*$C$110</f>
        <v>0</v>
      </c>
      <c r="E128" s="678"/>
      <c r="F128" s="681"/>
      <c r="G128" s="681"/>
      <c r="H128" s="681"/>
      <c r="I128" s="681"/>
      <c r="J128" s="681"/>
      <c r="K128" s="681"/>
      <c r="L128" s="681"/>
      <c r="M128" s="681"/>
      <c r="N128" s="681"/>
      <c r="O128" s="681"/>
      <c r="P128" s="681"/>
      <c r="Q128" s="681"/>
      <c r="R128" s="681"/>
      <c r="S128" s="681"/>
      <c r="T128" s="681"/>
      <c r="U128" s="681"/>
      <c r="V128" s="681"/>
      <c r="W128" s="681"/>
      <c r="X128" s="681"/>
      <c r="Y128" s="681"/>
      <c r="Z128" s="681"/>
      <c r="AA128" s="681"/>
      <c r="AB128" s="681"/>
      <c r="AC128" s="681"/>
      <c r="AD128" s="681"/>
      <c r="AE128" s="82">
        <f t="shared" si="38"/>
        <v>0</v>
      </c>
    </row>
    <row r="129" spans="1:31" ht="18" hidden="1" customHeight="1">
      <c r="A129" s="85" t="s">
        <v>270</v>
      </c>
      <c r="B129" s="34"/>
      <c r="C129" s="35"/>
      <c r="D129" s="847"/>
      <c r="E129" s="36"/>
      <c r="F129" s="55"/>
      <c r="G129" s="55">
        <f>SUM(G130:G134)</f>
        <v>0</v>
      </c>
      <c r="H129" s="55">
        <f t="shared" ref="H129" si="89">SUM(H130:H134)</f>
        <v>0</v>
      </c>
      <c r="I129" s="55">
        <f>SUM(I130:I134)</f>
        <v>0</v>
      </c>
      <c r="J129" s="55">
        <f>SUM(J130:J134)</f>
        <v>0</v>
      </c>
      <c r="K129" s="55">
        <f t="shared" ref="K129:AD129" si="90">SUM(K130:K134)</f>
        <v>0</v>
      </c>
      <c r="L129" s="55">
        <f t="shared" si="90"/>
        <v>0</v>
      </c>
      <c r="M129" s="55">
        <f t="shared" si="90"/>
        <v>0</v>
      </c>
      <c r="N129" s="55">
        <f t="shared" si="90"/>
        <v>0</v>
      </c>
      <c r="O129" s="55">
        <f t="shared" si="90"/>
        <v>0</v>
      </c>
      <c r="P129" s="55">
        <f t="shared" si="90"/>
        <v>0</v>
      </c>
      <c r="Q129" s="55">
        <f t="shared" si="90"/>
        <v>0</v>
      </c>
      <c r="R129" s="55">
        <f t="shared" si="90"/>
        <v>0</v>
      </c>
      <c r="S129" s="55">
        <f t="shared" si="90"/>
        <v>0</v>
      </c>
      <c r="T129" s="55">
        <f t="shared" si="90"/>
        <v>0</v>
      </c>
      <c r="U129" s="55">
        <f t="shared" si="90"/>
        <v>0</v>
      </c>
      <c r="V129" s="55">
        <f t="shared" si="90"/>
        <v>0</v>
      </c>
      <c r="W129" s="55">
        <f t="shared" si="90"/>
        <v>0</v>
      </c>
      <c r="X129" s="55">
        <f t="shared" si="90"/>
        <v>0</v>
      </c>
      <c r="Y129" s="55">
        <f t="shared" si="90"/>
        <v>0</v>
      </c>
      <c r="Z129" s="55">
        <f t="shared" si="90"/>
        <v>0</v>
      </c>
      <c r="AA129" s="55">
        <f t="shared" si="90"/>
        <v>0</v>
      </c>
      <c r="AB129" s="55">
        <f t="shared" si="90"/>
        <v>0</v>
      </c>
      <c r="AC129" s="55">
        <f t="shared" si="90"/>
        <v>0</v>
      </c>
      <c r="AD129" s="55">
        <f t="shared" si="90"/>
        <v>0</v>
      </c>
      <c r="AE129" s="82">
        <f t="shared" si="38"/>
        <v>0</v>
      </c>
    </row>
    <row r="130" spans="1:31" ht="18" hidden="1" customHeight="1">
      <c r="A130" s="86" t="s">
        <v>271</v>
      </c>
      <c r="B130" s="51"/>
      <c r="C130" s="677"/>
      <c r="D130" s="845">
        <f>C130*$C$129*$C$110</f>
        <v>0</v>
      </c>
      <c r="E130" s="678"/>
      <c r="F130" s="681"/>
      <c r="G130" s="681"/>
      <c r="H130" s="681"/>
      <c r="I130" s="681"/>
      <c r="J130" s="681"/>
      <c r="K130" s="681"/>
      <c r="L130" s="681"/>
      <c r="M130" s="681"/>
      <c r="N130" s="681"/>
      <c r="O130" s="681"/>
      <c r="P130" s="681"/>
      <c r="Q130" s="681"/>
      <c r="R130" s="681"/>
      <c r="S130" s="681"/>
      <c r="T130" s="681"/>
      <c r="U130" s="681"/>
      <c r="V130" s="681"/>
      <c r="W130" s="681"/>
      <c r="X130" s="681"/>
      <c r="Y130" s="681"/>
      <c r="Z130" s="681"/>
      <c r="AA130" s="681"/>
      <c r="AB130" s="681"/>
      <c r="AC130" s="681"/>
      <c r="AD130" s="681"/>
      <c r="AE130" s="82">
        <f t="shared" si="38"/>
        <v>0</v>
      </c>
    </row>
    <row r="131" spans="1:31" ht="18" hidden="1" customHeight="1">
      <c r="A131" s="86" t="s">
        <v>272</v>
      </c>
      <c r="B131" s="51"/>
      <c r="C131" s="677"/>
      <c r="D131" s="845">
        <f>C131*$C$129*$C$110</f>
        <v>0</v>
      </c>
      <c r="E131" s="678"/>
      <c r="F131" s="681"/>
      <c r="G131" s="681"/>
      <c r="H131" s="681"/>
      <c r="I131" s="681"/>
      <c r="J131" s="681"/>
      <c r="K131" s="681"/>
      <c r="L131" s="681"/>
      <c r="M131" s="681"/>
      <c r="N131" s="681"/>
      <c r="O131" s="681"/>
      <c r="P131" s="681"/>
      <c r="Q131" s="681"/>
      <c r="R131" s="681"/>
      <c r="S131" s="681"/>
      <c r="T131" s="681"/>
      <c r="U131" s="681"/>
      <c r="V131" s="681"/>
      <c r="W131" s="681"/>
      <c r="X131" s="681"/>
      <c r="Y131" s="681"/>
      <c r="Z131" s="681"/>
      <c r="AA131" s="681"/>
      <c r="AB131" s="681"/>
      <c r="AC131" s="681"/>
      <c r="AD131" s="681"/>
      <c r="AE131" s="82">
        <f t="shared" si="38"/>
        <v>0</v>
      </c>
    </row>
    <row r="132" spans="1:31" ht="18" hidden="1" customHeight="1">
      <c r="A132" s="86" t="s">
        <v>273</v>
      </c>
      <c r="B132" s="51"/>
      <c r="C132" s="677"/>
      <c r="D132" s="845">
        <f>C132*$C$129*$C$110</f>
        <v>0</v>
      </c>
      <c r="E132" s="678"/>
      <c r="F132" s="681"/>
      <c r="G132" s="681"/>
      <c r="H132" s="681"/>
      <c r="I132" s="681"/>
      <c r="J132" s="681"/>
      <c r="K132" s="681"/>
      <c r="L132" s="681"/>
      <c r="M132" s="681"/>
      <c r="N132" s="681"/>
      <c r="O132" s="681"/>
      <c r="P132" s="681"/>
      <c r="Q132" s="681"/>
      <c r="R132" s="681"/>
      <c r="S132" s="681"/>
      <c r="T132" s="681"/>
      <c r="U132" s="681"/>
      <c r="V132" s="681"/>
      <c r="W132" s="681"/>
      <c r="X132" s="681"/>
      <c r="Y132" s="681"/>
      <c r="Z132" s="681"/>
      <c r="AA132" s="681"/>
      <c r="AB132" s="681"/>
      <c r="AC132" s="681"/>
      <c r="AD132" s="681"/>
      <c r="AE132" s="82">
        <f t="shared" si="38"/>
        <v>0</v>
      </c>
    </row>
    <row r="133" spans="1:31" ht="18" hidden="1" customHeight="1">
      <c r="A133" s="86" t="s">
        <v>274</v>
      </c>
      <c r="B133" s="51"/>
      <c r="C133" s="677"/>
      <c r="D133" s="845">
        <f>C133*$C$129*$C$110</f>
        <v>0</v>
      </c>
      <c r="E133" s="678"/>
      <c r="F133" s="681"/>
      <c r="G133" s="681"/>
      <c r="H133" s="681"/>
      <c r="I133" s="681"/>
      <c r="J133" s="681"/>
      <c r="K133" s="681"/>
      <c r="L133" s="681"/>
      <c r="M133" s="681"/>
      <c r="N133" s="681"/>
      <c r="O133" s="681"/>
      <c r="P133" s="681"/>
      <c r="Q133" s="681"/>
      <c r="R133" s="681"/>
      <c r="S133" s="681"/>
      <c r="T133" s="681"/>
      <c r="U133" s="681"/>
      <c r="V133" s="681"/>
      <c r="W133" s="681"/>
      <c r="X133" s="681"/>
      <c r="Y133" s="681"/>
      <c r="Z133" s="681"/>
      <c r="AA133" s="681"/>
      <c r="AB133" s="681"/>
      <c r="AC133" s="681"/>
      <c r="AD133" s="681"/>
      <c r="AE133" s="82">
        <f t="shared" si="38"/>
        <v>0</v>
      </c>
    </row>
    <row r="134" spans="1:31" ht="18" hidden="1" customHeight="1">
      <c r="A134" s="86" t="s">
        <v>275</v>
      </c>
      <c r="B134" s="51"/>
      <c r="C134" s="677"/>
      <c r="D134" s="845">
        <f>C134*$C$129*$C$110</f>
        <v>0</v>
      </c>
      <c r="E134" s="678"/>
      <c r="F134" s="681"/>
      <c r="G134" s="681"/>
      <c r="H134" s="681"/>
      <c r="I134" s="681"/>
      <c r="J134" s="681"/>
      <c r="K134" s="681"/>
      <c r="L134" s="681"/>
      <c r="M134" s="681"/>
      <c r="N134" s="681"/>
      <c r="O134" s="681"/>
      <c r="P134" s="681"/>
      <c r="Q134" s="681"/>
      <c r="R134" s="681"/>
      <c r="S134" s="681"/>
      <c r="T134" s="681"/>
      <c r="U134" s="681"/>
      <c r="V134" s="681"/>
      <c r="W134" s="681"/>
      <c r="X134" s="681"/>
      <c r="Y134" s="681"/>
      <c r="Z134" s="681"/>
      <c r="AA134" s="681"/>
      <c r="AB134" s="681"/>
      <c r="AC134" s="681"/>
      <c r="AD134" s="681"/>
      <c r="AE134" s="82">
        <f t="shared" si="38"/>
        <v>0</v>
      </c>
    </row>
    <row r="135" spans="1:31" ht="18" hidden="1" customHeight="1">
      <c r="A135" s="85" t="s">
        <v>276</v>
      </c>
      <c r="B135" s="34"/>
      <c r="C135" s="35"/>
      <c r="D135" s="847"/>
      <c r="E135" s="36"/>
      <c r="F135" s="55"/>
      <c r="G135" s="55">
        <f>SUM(G136:G140)</f>
        <v>0</v>
      </c>
      <c r="H135" s="55">
        <f t="shared" ref="H135" si="91">SUM(H136:H140)</f>
        <v>0</v>
      </c>
      <c r="I135" s="55">
        <f>SUM(I136:I140)</f>
        <v>0</v>
      </c>
      <c r="J135" s="55">
        <f>SUM(J136:J140)</f>
        <v>0</v>
      </c>
      <c r="K135" s="55">
        <f>SUM(K136:K140)</f>
        <v>0</v>
      </c>
      <c r="L135" s="55">
        <f t="shared" ref="L135:AD135" si="92">SUM(L136:L140)</f>
        <v>0</v>
      </c>
      <c r="M135" s="55">
        <f t="shared" si="92"/>
        <v>0</v>
      </c>
      <c r="N135" s="55">
        <f t="shared" si="92"/>
        <v>0</v>
      </c>
      <c r="O135" s="55">
        <f t="shared" si="92"/>
        <v>0</v>
      </c>
      <c r="P135" s="55">
        <f t="shared" si="92"/>
        <v>0</v>
      </c>
      <c r="Q135" s="55">
        <f t="shared" si="92"/>
        <v>0</v>
      </c>
      <c r="R135" s="55">
        <f t="shared" si="92"/>
        <v>0</v>
      </c>
      <c r="S135" s="55">
        <f t="shared" si="92"/>
        <v>0</v>
      </c>
      <c r="T135" s="55">
        <f t="shared" si="92"/>
        <v>0</v>
      </c>
      <c r="U135" s="55">
        <f t="shared" si="92"/>
        <v>0</v>
      </c>
      <c r="V135" s="55">
        <f t="shared" si="92"/>
        <v>0</v>
      </c>
      <c r="W135" s="55">
        <f t="shared" si="92"/>
        <v>0</v>
      </c>
      <c r="X135" s="55">
        <f t="shared" si="92"/>
        <v>0</v>
      </c>
      <c r="Y135" s="55">
        <f t="shared" si="92"/>
        <v>0</v>
      </c>
      <c r="Z135" s="55">
        <f t="shared" si="92"/>
        <v>0</v>
      </c>
      <c r="AA135" s="55">
        <f t="shared" si="92"/>
        <v>0</v>
      </c>
      <c r="AB135" s="55">
        <f t="shared" si="92"/>
        <v>0</v>
      </c>
      <c r="AC135" s="55">
        <f t="shared" si="92"/>
        <v>0</v>
      </c>
      <c r="AD135" s="55">
        <f t="shared" si="92"/>
        <v>0</v>
      </c>
      <c r="AE135" s="82">
        <f t="shared" si="38"/>
        <v>0</v>
      </c>
    </row>
    <row r="136" spans="1:31" ht="18" hidden="1" customHeight="1">
      <c r="A136" s="86" t="s">
        <v>277</v>
      </c>
      <c r="B136" s="51"/>
      <c r="C136" s="677"/>
      <c r="D136" s="845">
        <f>C136*$C$135*$C$110</f>
        <v>0</v>
      </c>
      <c r="E136" s="678"/>
      <c r="F136" s="681"/>
      <c r="G136" s="681"/>
      <c r="H136" s="681"/>
      <c r="I136" s="681"/>
      <c r="J136" s="681"/>
      <c r="K136" s="681"/>
      <c r="L136" s="681"/>
      <c r="M136" s="681"/>
      <c r="N136" s="681"/>
      <c r="O136" s="681"/>
      <c r="P136" s="681"/>
      <c r="Q136" s="681"/>
      <c r="R136" s="681"/>
      <c r="S136" s="681"/>
      <c r="T136" s="681"/>
      <c r="U136" s="681"/>
      <c r="V136" s="681"/>
      <c r="W136" s="681"/>
      <c r="X136" s="681"/>
      <c r="Y136" s="681"/>
      <c r="Z136" s="681"/>
      <c r="AA136" s="681"/>
      <c r="AB136" s="681"/>
      <c r="AC136" s="681"/>
      <c r="AD136" s="681"/>
      <c r="AE136" s="82">
        <f t="shared" si="38"/>
        <v>0</v>
      </c>
    </row>
    <row r="137" spans="1:31" ht="18" hidden="1" customHeight="1">
      <c r="A137" s="86" t="s">
        <v>278</v>
      </c>
      <c r="B137" s="51"/>
      <c r="C137" s="677"/>
      <c r="D137" s="845">
        <f>C137*$C$135*$C$110</f>
        <v>0</v>
      </c>
      <c r="E137" s="678"/>
      <c r="F137" s="681"/>
      <c r="G137" s="681"/>
      <c r="H137" s="681"/>
      <c r="I137" s="681"/>
      <c r="J137" s="681"/>
      <c r="K137" s="681"/>
      <c r="L137" s="681"/>
      <c r="M137" s="681"/>
      <c r="N137" s="681"/>
      <c r="O137" s="681"/>
      <c r="P137" s="681"/>
      <c r="Q137" s="681"/>
      <c r="R137" s="681"/>
      <c r="S137" s="681"/>
      <c r="T137" s="681"/>
      <c r="U137" s="681"/>
      <c r="V137" s="681"/>
      <c r="W137" s="681"/>
      <c r="X137" s="681"/>
      <c r="Y137" s="681"/>
      <c r="Z137" s="681"/>
      <c r="AA137" s="681"/>
      <c r="AB137" s="681"/>
      <c r="AC137" s="681"/>
      <c r="AD137" s="681"/>
      <c r="AE137" s="82">
        <f t="shared" si="38"/>
        <v>0</v>
      </c>
    </row>
    <row r="138" spans="1:31" ht="18" hidden="1" customHeight="1">
      <c r="A138" s="86" t="s">
        <v>279</v>
      </c>
      <c r="B138" s="51"/>
      <c r="C138" s="677"/>
      <c r="D138" s="845">
        <f>C138*$C$135*$C$110</f>
        <v>0</v>
      </c>
      <c r="E138" s="678"/>
      <c r="F138" s="681"/>
      <c r="G138" s="681"/>
      <c r="H138" s="681"/>
      <c r="I138" s="681"/>
      <c r="J138" s="681"/>
      <c r="K138" s="681"/>
      <c r="L138" s="681"/>
      <c r="M138" s="681"/>
      <c r="N138" s="681"/>
      <c r="O138" s="681"/>
      <c r="P138" s="681"/>
      <c r="Q138" s="681"/>
      <c r="R138" s="681"/>
      <c r="S138" s="681"/>
      <c r="T138" s="681"/>
      <c r="U138" s="681"/>
      <c r="V138" s="681"/>
      <c r="W138" s="681"/>
      <c r="X138" s="681"/>
      <c r="Y138" s="681"/>
      <c r="Z138" s="681"/>
      <c r="AA138" s="681"/>
      <c r="AB138" s="681"/>
      <c r="AC138" s="681"/>
      <c r="AD138" s="681"/>
      <c r="AE138" s="82">
        <f t="shared" si="38"/>
        <v>0</v>
      </c>
    </row>
    <row r="139" spans="1:31" ht="18" hidden="1" customHeight="1">
      <c r="A139" s="86" t="s">
        <v>280</v>
      </c>
      <c r="B139" s="51"/>
      <c r="C139" s="677"/>
      <c r="D139" s="845">
        <f>C139*$C$135*$C$110</f>
        <v>0</v>
      </c>
      <c r="E139" s="678"/>
      <c r="F139" s="681"/>
      <c r="G139" s="681"/>
      <c r="H139" s="681"/>
      <c r="I139" s="681"/>
      <c r="J139" s="681"/>
      <c r="K139" s="681"/>
      <c r="L139" s="681"/>
      <c r="M139" s="681"/>
      <c r="N139" s="681"/>
      <c r="O139" s="681"/>
      <c r="P139" s="681"/>
      <c r="Q139" s="681"/>
      <c r="R139" s="681"/>
      <c r="S139" s="681"/>
      <c r="T139" s="681"/>
      <c r="U139" s="681"/>
      <c r="V139" s="681"/>
      <c r="W139" s="681"/>
      <c r="X139" s="681"/>
      <c r="Y139" s="681"/>
      <c r="Z139" s="681"/>
      <c r="AA139" s="681"/>
      <c r="AB139" s="681"/>
      <c r="AC139" s="681"/>
      <c r="AD139" s="681"/>
      <c r="AE139" s="82">
        <f t="shared" si="38"/>
        <v>0</v>
      </c>
    </row>
    <row r="140" spans="1:31" ht="18" hidden="1" customHeight="1">
      <c r="A140" s="86" t="s">
        <v>281</v>
      </c>
      <c r="B140" s="51"/>
      <c r="C140" s="677"/>
      <c r="D140" s="845">
        <f>C140*$C$135*$C$110</f>
        <v>0</v>
      </c>
      <c r="E140" s="678"/>
      <c r="F140" s="681"/>
      <c r="G140" s="681"/>
      <c r="H140" s="681"/>
      <c r="I140" s="681"/>
      <c r="J140" s="681"/>
      <c r="K140" s="681"/>
      <c r="L140" s="681"/>
      <c r="M140" s="681"/>
      <c r="N140" s="681"/>
      <c r="O140" s="681"/>
      <c r="P140" s="681"/>
      <c r="Q140" s="681"/>
      <c r="R140" s="681"/>
      <c r="S140" s="681"/>
      <c r="T140" s="681"/>
      <c r="U140" s="681"/>
      <c r="V140" s="681"/>
      <c r="W140" s="681"/>
      <c r="X140" s="681"/>
      <c r="Y140" s="681"/>
      <c r="Z140" s="681"/>
      <c r="AA140" s="681"/>
      <c r="AB140" s="681"/>
      <c r="AC140" s="681"/>
      <c r="AD140" s="681"/>
      <c r="AE140" s="82">
        <f t="shared" si="38"/>
        <v>0</v>
      </c>
    </row>
    <row r="141" spans="1:31" ht="18" hidden="1" customHeight="1">
      <c r="A141" s="84" t="s">
        <v>282</v>
      </c>
      <c r="B141" s="37"/>
      <c r="C141" s="38"/>
      <c r="D141" s="846"/>
      <c r="E141" s="39"/>
      <c r="F141" s="54"/>
      <c r="G141" s="54">
        <f>G142+G148+G154+G160+G166</f>
        <v>0</v>
      </c>
      <c r="H141" s="54">
        <f t="shared" ref="H141:R141" si="93">H142+H148+H154+H160+H166</f>
        <v>0</v>
      </c>
      <c r="I141" s="54">
        <f t="shared" si="93"/>
        <v>0</v>
      </c>
      <c r="J141" s="54">
        <f t="shared" si="93"/>
        <v>0</v>
      </c>
      <c r="K141" s="54">
        <f t="shared" si="93"/>
        <v>0</v>
      </c>
      <c r="L141" s="54">
        <f t="shared" si="93"/>
        <v>0</v>
      </c>
      <c r="M141" s="54">
        <f t="shared" si="93"/>
        <v>0</v>
      </c>
      <c r="N141" s="54">
        <f t="shared" si="93"/>
        <v>0</v>
      </c>
      <c r="O141" s="54">
        <f t="shared" si="93"/>
        <v>0</v>
      </c>
      <c r="P141" s="54">
        <f t="shared" si="93"/>
        <v>0</v>
      </c>
      <c r="Q141" s="54">
        <f>Q142+Q148+Q154+Q160+Q166</f>
        <v>0</v>
      </c>
      <c r="R141" s="54">
        <f t="shared" si="93"/>
        <v>0</v>
      </c>
      <c r="S141" s="54">
        <f t="shared" ref="S141:AD141" si="94">S142+S148+S154</f>
        <v>0</v>
      </c>
      <c r="T141" s="54">
        <f t="shared" si="94"/>
        <v>0</v>
      </c>
      <c r="U141" s="54">
        <f t="shared" si="94"/>
        <v>0</v>
      </c>
      <c r="V141" s="54">
        <f t="shared" si="94"/>
        <v>0</v>
      </c>
      <c r="W141" s="54">
        <f t="shared" si="94"/>
        <v>0</v>
      </c>
      <c r="X141" s="54">
        <f t="shared" si="94"/>
        <v>0</v>
      </c>
      <c r="Y141" s="54">
        <f t="shared" si="94"/>
        <v>0</v>
      </c>
      <c r="Z141" s="54">
        <f t="shared" si="94"/>
        <v>0</v>
      </c>
      <c r="AA141" s="54">
        <f t="shared" si="94"/>
        <v>0</v>
      </c>
      <c r="AB141" s="54">
        <f t="shared" si="94"/>
        <v>0</v>
      </c>
      <c r="AC141" s="54">
        <f t="shared" si="94"/>
        <v>0</v>
      </c>
      <c r="AD141" s="54">
        <f t="shared" si="94"/>
        <v>0</v>
      </c>
      <c r="AE141" s="82">
        <f t="shared" si="38"/>
        <v>0</v>
      </c>
    </row>
    <row r="142" spans="1:31" ht="18" hidden="1" customHeight="1">
      <c r="A142" s="85" t="s">
        <v>283</v>
      </c>
      <c r="B142" s="34"/>
      <c r="C142" s="35"/>
      <c r="D142" s="847"/>
      <c r="E142" s="36"/>
      <c r="F142" s="55"/>
      <c r="G142" s="55">
        <f>SUM(G143:G147)</f>
        <v>0</v>
      </c>
      <c r="H142" s="55">
        <f t="shared" ref="H142" si="95">SUM(H143:H147)</f>
        <v>0</v>
      </c>
      <c r="I142" s="55">
        <f>SUM(I143:I147)</f>
        <v>0</v>
      </c>
      <c r="J142" s="55">
        <f t="shared" ref="J142" si="96">SUM(J143:J147)</f>
        <v>0</v>
      </c>
      <c r="K142" s="55">
        <f t="shared" ref="K142" si="97">SUM(K143:K147)</f>
        <v>0</v>
      </c>
      <c r="L142" s="55">
        <f t="shared" ref="L142" si="98">SUM(L143:L147)</f>
        <v>0</v>
      </c>
      <c r="M142" s="55">
        <f t="shared" ref="M142" si="99">SUM(M143:M147)</f>
        <v>0</v>
      </c>
      <c r="N142" s="55">
        <f t="shared" ref="N142" si="100">SUM(N143:N147)</f>
        <v>0</v>
      </c>
      <c r="O142" s="55">
        <f t="shared" ref="O142" si="101">SUM(O143:O147)</f>
        <v>0</v>
      </c>
      <c r="P142" s="55">
        <f t="shared" ref="P142" si="102">SUM(P143:P147)</f>
        <v>0</v>
      </c>
      <c r="Q142" s="55">
        <f t="shared" ref="Q142:AD142" si="103">SUM(Q143:Q147)</f>
        <v>0</v>
      </c>
      <c r="R142" s="55">
        <f t="shared" si="103"/>
        <v>0</v>
      </c>
      <c r="S142" s="55">
        <f t="shared" si="103"/>
        <v>0</v>
      </c>
      <c r="T142" s="55">
        <f t="shared" si="103"/>
        <v>0</v>
      </c>
      <c r="U142" s="55">
        <f t="shared" si="103"/>
        <v>0</v>
      </c>
      <c r="V142" s="55">
        <f t="shared" si="103"/>
        <v>0</v>
      </c>
      <c r="W142" s="55">
        <f t="shared" si="103"/>
        <v>0</v>
      </c>
      <c r="X142" s="55">
        <f t="shared" si="103"/>
        <v>0</v>
      </c>
      <c r="Y142" s="55">
        <f t="shared" si="103"/>
        <v>0</v>
      </c>
      <c r="Z142" s="55">
        <f t="shared" si="103"/>
        <v>0</v>
      </c>
      <c r="AA142" s="55">
        <f t="shared" si="103"/>
        <v>0</v>
      </c>
      <c r="AB142" s="55">
        <f t="shared" si="103"/>
        <v>0</v>
      </c>
      <c r="AC142" s="55">
        <f t="shared" si="103"/>
        <v>0</v>
      </c>
      <c r="AD142" s="55">
        <f t="shared" si="103"/>
        <v>0</v>
      </c>
      <c r="AE142" s="82">
        <f t="shared" si="38"/>
        <v>0</v>
      </c>
    </row>
    <row r="143" spans="1:31" ht="18" hidden="1" customHeight="1">
      <c r="A143" s="86" t="s">
        <v>284</v>
      </c>
      <c r="B143" s="51"/>
      <c r="C143" s="677"/>
      <c r="D143" s="845">
        <f>C143*$C$142*$C$141</f>
        <v>0</v>
      </c>
      <c r="E143" s="678"/>
      <c r="F143" s="681"/>
      <c r="G143" s="681"/>
      <c r="H143" s="681"/>
      <c r="I143" s="681"/>
      <c r="J143" s="681"/>
      <c r="K143" s="681"/>
      <c r="L143" s="681"/>
      <c r="M143" s="681"/>
      <c r="N143" s="681"/>
      <c r="O143" s="681"/>
      <c r="P143" s="681"/>
      <c r="Q143" s="681"/>
      <c r="R143" s="681"/>
      <c r="S143" s="681"/>
      <c r="T143" s="681"/>
      <c r="U143" s="681"/>
      <c r="V143" s="681"/>
      <c r="W143" s="681"/>
      <c r="X143" s="681"/>
      <c r="Y143" s="681"/>
      <c r="Z143" s="681"/>
      <c r="AA143" s="681"/>
      <c r="AB143" s="681"/>
      <c r="AC143" s="681"/>
      <c r="AD143" s="681"/>
      <c r="AE143" s="82">
        <f t="shared" si="38"/>
        <v>0</v>
      </c>
    </row>
    <row r="144" spans="1:31" ht="18" hidden="1" customHeight="1">
      <c r="A144" s="86" t="s">
        <v>285</v>
      </c>
      <c r="B144" s="51"/>
      <c r="C144" s="677"/>
      <c r="D144" s="845">
        <f t="shared" ref="D144:D147" si="104">C144*$C$142*$C$141</f>
        <v>0</v>
      </c>
      <c r="E144" s="678"/>
      <c r="F144" s="681"/>
      <c r="G144" s="681"/>
      <c r="H144" s="681"/>
      <c r="I144" s="681"/>
      <c r="J144" s="681"/>
      <c r="K144" s="681"/>
      <c r="L144" s="681"/>
      <c r="M144" s="681"/>
      <c r="N144" s="681"/>
      <c r="O144" s="681"/>
      <c r="P144" s="681"/>
      <c r="Q144" s="681"/>
      <c r="R144" s="681"/>
      <c r="S144" s="681"/>
      <c r="T144" s="681"/>
      <c r="U144" s="681"/>
      <c r="V144" s="681"/>
      <c r="W144" s="681"/>
      <c r="X144" s="681"/>
      <c r="Y144" s="681"/>
      <c r="Z144" s="681"/>
      <c r="AA144" s="681"/>
      <c r="AB144" s="681"/>
      <c r="AC144" s="681"/>
      <c r="AD144" s="681"/>
      <c r="AE144" s="82">
        <f t="shared" si="38"/>
        <v>0</v>
      </c>
    </row>
    <row r="145" spans="1:31" ht="18" hidden="1" customHeight="1">
      <c r="A145" s="86" t="s">
        <v>286</v>
      </c>
      <c r="B145" s="51"/>
      <c r="C145" s="677"/>
      <c r="D145" s="845">
        <f t="shared" si="104"/>
        <v>0</v>
      </c>
      <c r="E145" s="678"/>
      <c r="F145" s="681"/>
      <c r="G145" s="681"/>
      <c r="H145" s="681"/>
      <c r="I145" s="681"/>
      <c r="J145" s="681"/>
      <c r="K145" s="681"/>
      <c r="L145" s="681"/>
      <c r="M145" s="681"/>
      <c r="N145" s="681"/>
      <c r="O145" s="681"/>
      <c r="P145" s="681"/>
      <c r="Q145" s="681"/>
      <c r="R145" s="681"/>
      <c r="S145" s="681"/>
      <c r="T145" s="681"/>
      <c r="U145" s="681"/>
      <c r="V145" s="681"/>
      <c r="W145" s="681"/>
      <c r="X145" s="681"/>
      <c r="Y145" s="681"/>
      <c r="Z145" s="681"/>
      <c r="AA145" s="681"/>
      <c r="AB145" s="681"/>
      <c r="AC145" s="681"/>
      <c r="AD145" s="681"/>
      <c r="AE145" s="82">
        <f t="shared" ref="AE145:AE171" si="105">F145-SUM(G145:AD145)</f>
        <v>0</v>
      </c>
    </row>
    <row r="146" spans="1:31" ht="18" hidden="1" customHeight="1">
      <c r="A146" s="86" t="s">
        <v>287</v>
      </c>
      <c r="B146" s="51"/>
      <c r="C146" s="677"/>
      <c r="D146" s="845">
        <f t="shared" si="104"/>
        <v>0</v>
      </c>
      <c r="E146" s="678"/>
      <c r="F146" s="681"/>
      <c r="G146" s="681"/>
      <c r="H146" s="681"/>
      <c r="I146" s="681"/>
      <c r="J146" s="681"/>
      <c r="K146" s="681"/>
      <c r="L146" s="681"/>
      <c r="M146" s="681"/>
      <c r="N146" s="681"/>
      <c r="O146" s="681"/>
      <c r="P146" s="681"/>
      <c r="Q146" s="681"/>
      <c r="R146" s="681"/>
      <c r="S146" s="681"/>
      <c r="T146" s="681"/>
      <c r="U146" s="681"/>
      <c r="V146" s="681"/>
      <c r="W146" s="681"/>
      <c r="X146" s="681"/>
      <c r="Y146" s="681"/>
      <c r="Z146" s="681"/>
      <c r="AA146" s="681"/>
      <c r="AB146" s="681"/>
      <c r="AC146" s="681"/>
      <c r="AD146" s="681"/>
      <c r="AE146" s="82">
        <f t="shared" si="105"/>
        <v>0</v>
      </c>
    </row>
    <row r="147" spans="1:31" ht="18" hidden="1" customHeight="1">
      <c r="A147" s="86" t="s">
        <v>288</v>
      </c>
      <c r="B147" s="51"/>
      <c r="C147" s="677"/>
      <c r="D147" s="845">
        <f t="shared" si="104"/>
        <v>0</v>
      </c>
      <c r="E147" s="678"/>
      <c r="F147" s="681"/>
      <c r="G147" s="681"/>
      <c r="H147" s="681"/>
      <c r="I147" s="681"/>
      <c r="J147" s="681"/>
      <c r="K147" s="681"/>
      <c r="L147" s="681"/>
      <c r="M147" s="681"/>
      <c r="N147" s="681"/>
      <c r="O147" s="681"/>
      <c r="P147" s="681"/>
      <c r="Q147" s="681"/>
      <c r="R147" s="681"/>
      <c r="S147" s="681"/>
      <c r="T147" s="681"/>
      <c r="U147" s="681"/>
      <c r="V147" s="681"/>
      <c r="W147" s="681"/>
      <c r="X147" s="681"/>
      <c r="Y147" s="681"/>
      <c r="Z147" s="681"/>
      <c r="AA147" s="681"/>
      <c r="AB147" s="681"/>
      <c r="AC147" s="681"/>
      <c r="AD147" s="681"/>
      <c r="AE147" s="82">
        <f t="shared" si="105"/>
        <v>0</v>
      </c>
    </row>
    <row r="148" spans="1:31" ht="18" hidden="1" customHeight="1">
      <c r="A148" s="85" t="s">
        <v>289</v>
      </c>
      <c r="B148" s="34"/>
      <c r="C148" s="35"/>
      <c r="D148" s="847"/>
      <c r="E148" s="36"/>
      <c r="F148" s="55"/>
      <c r="G148" s="55">
        <f>SUM(G149:G153)</f>
        <v>0</v>
      </c>
      <c r="H148" s="55">
        <f t="shared" ref="H148" si="106">SUM(H149:H153)</f>
        <v>0</v>
      </c>
      <c r="I148" s="55">
        <f t="shared" ref="I148" si="107">SUM(I149:I153)</f>
        <v>0</v>
      </c>
      <c r="J148" s="55">
        <f>SUM(J149:J153)</f>
        <v>0</v>
      </c>
      <c r="K148" s="55">
        <f t="shared" ref="K148" si="108">SUM(K149:K153)</f>
        <v>0</v>
      </c>
      <c r="L148" s="55">
        <f t="shared" ref="L148" si="109">SUM(L149:L153)</f>
        <v>0</v>
      </c>
      <c r="M148" s="55">
        <f t="shared" ref="M148" si="110">SUM(M149:M153)</f>
        <v>0</v>
      </c>
      <c r="N148" s="55">
        <f t="shared" ref="N148" si="111">SUM(N149:N153)</f>
        <v>0</v>
      </c>
      <c r="O148" s="55">
        <f t="shared" ref="O148" si="112">SUM(O149:O153)</f>
        <v>0</v>
      </c>
      <c r="P148" s="55">
        <f t="shared" ref="P148" si="113">SUM(P149:P153)</f>
        <v>0</v>
      </c>
      <c r="Q148" s="55">
        <f t="shared" ref="Q148:AD148" si="114">SUM(Q149:Q153)</f>
        <v>0</v>
      </c>
      <c r="R148" s="55">
        <f t="shared" si="114"/>
        <v>0</v>
      </c>
      <c r="S148" s="55">
        <f t="shared" si="114"/>
        <v>0</v>
      </c>
      <c r="T148" s="55">
        <f t="shared" si="114"/>
        <v>0</v>
      </c>
      <c r="U148" s="55">
        <f t="shared" si="114"/>
        <v>0</v>
      </c>
      <c r="V148" s="55">
        <f t="shared" si="114"/>
        <v>0</v>
      </c>
      <c r="W148" s="55">
        <f t="shared" si="114"/>
        <v>0</v>
      </c>
      <c r="X148" s="55">
        <f t="shared" si="114"/>
        <v>0</v>
      </c>
      <c r="Y148" s="55">
        <f t="shared" si="114"/>
        <v>0</v>
      </c>
      <c r="Z148" s="55">
        <f t="shared" si="114"/>
        <v>0</v>
      </c>
      <c r="AA148" s="55">
        <f t="shared" si="114"/>
        <v>0</v>
      </c>
      <c r="AB148" s="55">
        <f t="shared" si="114"/>
        <v>0</v>
      </c>
      <c r="AC148" s="55">
        <f t="shared" si="114"/>
        <v>0</v>
      </c>
      <c r="AD148" s="55">
        <f t="shared" si="114"/>
        <v>0</v>
      </c>
      <c r="AE148" s="82">
        <f t="shared" si="105"/>
        <v>0</v>
      </c>
    </row>
    <row r="149" spans="1:31" ht="18" hidden="1" customHeight="1">
      <c r="A149" s="86" t="s">
        <v>290</v>
      </c>
      <c r="B149" s="51"/>
      <c r="C149" s="677"/>
      <c r="D149" s="845">
        <f>C149*$C$148*$C$141</f>
        <v>0</v>
      </c>
      <c r="E149" s="678"/>
      <c r="F149" s="681"/>
      <c r="G149" s="681"/>
      <c r="H149" s="681"/>
      <c r="I149" s="681"/>
      <c r="J149" s="681"/>
      <c r="K149" s="681"/>
      <c r="L149" s="681"/>
      <c r="M149" s="681"/>
      <c r="N149" s="681"/>
      <c r="O149" s="681"/>
      <c r="P149" s="681"/>
      <c r="Q149" s="681"/>
      <c r="R149" s="681"/>
      <c r="S149" s="681"/>
      <c r="T149" s="681"/>
      <c r="U149" s="681"/>
      <c r="V149" s="681"/>
      <c r="W149" s="681"/>
      <c r="X149" s="681"/>
      <c r="Y149" s="681"/>
      <c r="Z149" s="681"/>
      <c r="AA149" s="681"/>
      <c r="AB149" s="681"/>
      <c r="AC149" s="681"/>
      <c r="AD149" s="681"/>
      <c r="AE149" s="82">
        <f t="shared" si="105"/>
        <v>0</v>
      </c>
    </row>
    <row r="150" spans="1:31" ht="18" hidden="1" customHeight="1">
      <c r="A150" s="86" t="s">
        <v>291</v>
      </c>
      <c r="B150" s="51"/>
      <c r="C150" s="677"/>
      <c r="D150" s="845">
        <f>C150*$C$148*$C$141</f>
        <v>0</v>
      </c>
      <c r="E150" s="678"/>
      <c r="F150" s="681"/>
      <c r="G150" s="681"/>
      <c r="H150" s="681"/>
      <c r="I150" s="681"/>
      <c r="J150" s="681"/>
      <c r="K150" s="681"/>
      <c r="L150" s="681"/>
      <c r="M150" s="681"/>
      <c r="N150" s="681"/>
      <c r="O150" s="681"/>
      <c r="P150" s="681"/>
      <c r="Q150" s="681"/>
      <c r="R150" s="681"/>
      <c r="S150" s="681"/>
      <c r="T150" s="681"/>
      <c r="U150" s="681"/>
      <c r="V150" s="681"/>
      <c r="W150" s="681"/>
      <c r="X150" s="681"/>
      <c r="Y150" s="681"/>
      <c r="Z150" s="681"/>
      <c r="AA150" s="681"/>
      <c r="AB150" s="681"/>
      <c r="AC150" s="681"/>
      <c r="AD150" s="681"/>
      <c r="AE150" s="82">
        <f t="shared" si="105"/>
        <v>0</v>
      </c>
    </row>
    <row r="151" spans="1:31" ht="18" hidden="1" customHeight="1">
      <c r="A151" s="86" t="s">
        <v>292</v>
      </c>
      <c r="B151" s="51"/>
      <c r="C151" s="677"/>
      <c r="D151" s="845">
        <f>C151*$C$148*$C$141</f>
        <v>0</v>
      </c>
      <c r="E151" s="678"/>
      <c r="F151" s="681"/>
      <c r="G151" s="681"/>
      <c r="H151" s="681"/>
      <c r="I151" s="681"/>
      <c r="J151" s="681"/>
      <c r="K151" s="681"/>
      <c r="L151" s="681"/>
      <c r="M151" s="681"/>
      <c r="N151" s="681"/>
      <c r="O151" s="681"/>
      <c r="P151" s="681"/>
      <c r="Q151" s="681"/>
      <c r="R151" s="681"/>
      <c r="S151" s="681"/>
      <c r="T151" s="681"/>
      <c r="U151" s="681"/>
      <c r="V151" s="681"/>
      <c r="W151" s="681"/>
      <c r="X151" s="681"/>
      <c r="Y151" s="681"/>
      <c r="Z151" s="681"/>
      <c r="AA151" s="681"/>
      <c r="AB151" s="681"/>
      <c r="AC151" s="681"/>
      <c r="AD151" s="681"/>
      <c r="AE151" s="82">
        <f t="shared" si="105"/>
        <v>0</v>
      </c>
    </row>
    <row r="152" spans="1:31" ht="18" hidden="1" customHeight="1">
      <c r="A152" s="86" t="s">
        <v>293</v>
      </c>
      <c r="B152" s="51"/>
      <c r="C152" s="677"/>
      <c r="D152" s="845">
        <f>C152*$C$148*$C$141</f>
        <v>0</v>
      </c>
      <c r="E152" s="678"/>
      <c r="F152" s="681"/>
      <c r="G152" s="681"/>
      <c r="H152" s="681"/>
      <c r="I152" s="681"/>
      <c r="J152" s="681"/>
      <c r="K152" s="681"/>
      <c r="L152" s="681"/>
      <c r="M152" s="681"/>
      <c r="N152" s="681"/>
      <c r="O152" s="681"/>
      <c r="P152" s="681"/>
      <c r="Q152" s="681"/>
      <c r="R152" s="681"/>
      <c r="S152" s="681"/>
      <c r="T152" s="681"/>
      <c r="U152" s="681"/>
      <c r="V152" s="681"/>
      <c r="W152" s="681"/>
      <c r="X152" s="681"/>
      <c r="Y152" s="681"/>
      <c r="Z152" s="681"/>
      <c r="AA152" s="681"/>
      <c r="AB152" s="681"/>
      <c r="AC152" s="681"/>
      <c r="AD152" s="681"/>
      <c r="AE152" s="82">
        <f t="shared" si="105"/>
        <v>0</v>
      </c>
    </row>
    <row r="153" spans="1:31" ht="18" hidden="1" customHeight="1">
      <c r="A153" s="86" t="s">
        <v>294</v>
      </c>
      <c r="B153" s="51"/>
      <c r="C153" s="677"/>
      <c r="D153" s="845">
        <f>C153*$C$148*$C$141</f>
        <v>0</v>
      </c>
      <c r="E153" s="678"/>
      <c r="F153" s="681"/>
      <c r="G153" s="681"/>
      <c r="H153" s="681"/>
      <c r="I153" s="681"/>
      <c r="J153" s="681"/>
      <c r="K153" s="681"/>
      <c r="L153" s="681"/>
      <c r="M153" s="681"/>
      <c r="N153" s="681"/>
      <c r="O153" s="681"/>
      <c r="P153" s="681"/>
      <c r="Q153" s="681"/>
      <c r="R153" s="681"/>
      <c r="S153" s="681"/>
      <c r="T153" s="681"/>
      <c r="U153" s="681"/>
      <c r="V153" s="681"/>
      <c r="W153" s="681"/>
      <c r="X153" s="681"/>
      <c r="Y153" s="681"/>
      <c r="Z153" s="681"/>
      <c r="AA153" s="681"/>
      <c r="AB153" s="681"/>
      <c r="AC153" s="681"/>
      <c r="AD153" s="681"/>
      <c r="AE153" s="82">
        <f t="shared" si="105"/>
        <v>0</v>
      </c>
    </row>
    <row r="154" spans="1:31" ht="18" hidden="1" customHeight="1">
      <c r="A154" s="85" t="s">
        <v>295</v>
      </c>
      <c r="B154" s="34"/>
      <c r="C154" s="35"/>
      <c r="D154" s="847"/>
      <c r="E154" s="36"/>
      <c r="F154" s="55"/>
      <c r="G154" s="55">
        <f>SUM(G155:G159)</f>
        <v>0</v>
      </c>
      <c r="H154" s="55">
        <f t="shared" ref="H154" si="115">SUM(H155:H159)</f>
        <v>0</v>
      </c>
      <c r="I154" s="55">
        <f t="shared" ref="I154" si="116">SUM(I155:I159)</f>
        <v>0</v>
      </c>
      <c r="J154" s="55">
        <f>SUM(J155:J159)</f>
        <v>0</v>
      </c>
      <c r="K154" s="55">
        <f t="shared" ref="K154" si="117">SUM(K155:K159)</f>
        <v>0</v>
      </c>
      <c r="L154" s="55">
        <f t="shared" ref="L154" si="118">SUM(L155:L159)</f>
        <v>0</v>
      </c>
      <c r="M154" s="55">
        <f t="shared" ref="M154" si="119">SUM(M155:M159)</f>
        <v>0</v>
      </c>
      <c r="N154" s="55">
        <f t="shared" ref="N154" si="120">SUM(N155:N159)</f>
        <v>0</v>
      </c>
      <c r="O154" s="55">
        <f t="shared" ref="O154" si="121">SUM(O155:O159)</f>
        <v>0</v>
      </c>
      <c r="P154" s="55">
        <f t="shared" ref="P154" si="122">SUM(P155:P159)</f>
        <v>0</v>
      </c>
      <c r="Q154" s="55">
        <f t="shared" ref="Q154:AD154" si="123">SUM(Q155:Q159)</f>
        <v>0</v>
      </c>
      <c r="R154" s="55">
        <f t="shared" si="123"/>
        <v>0</v>
      </c>
      <c r="S154" s="55">
        <f t="shared" si="123"/>
        <v>0</v>
      </c>
      <c r="T154" s="55">
        <f t="shared" si="123"/>
        <v>0</v>
      </c>
      <c r="U154" s="55">
        <f t="shared" si="123"/>
        <v>0</v>
      </c>
      <c r="V154" s="55">
        <f t="shared" si="123"/>
        <v>0</v>
      </c>
      <c r="W154" s="55">
        <f t="shared" si="123"/>
        <v>0</v>
      </c>
      <c r="X154" s="55">
        <f t="shared" si="123"/>
        <v>0</v>
      </c>
      <c r="Y154" s="55">
        <f t="shared" si="123"/>
        <v>0</v>
      </c>
      <c r="Z154" s="55">
        <f t="shared" si="123"/>
        <v>0</v>
      </c>
      <c r="AA154" s="55">
        <f t="shared" si="123"/>
        <v>0</v>
      </c>
      <c r="AB154" s="55">
        <f t="shared" si="123"/>
        <v>0</v>
      </c>
      <c r="AC154" s="55">
        <f t="shared" si="123"/>
        <v>0</v>
      </c>
      <c r="AD154" s="55">
        <f t="shared" si="123"/>
        <v>0</v>
      </c>
      <c r="AE154" s="82">
        <f t="shared" si="105"/>
        <v>0</v>
      </c>
    </row>
    <row r="155" spans="1:31" ht="18" hidden="1" customHeight="1">
      <c r="A155" s="86" t="s">
        <v>296</v>
      </c>
      <c r="B155" s="51"/>
      <c r="C155" s="677"/>
      <c r="D155" s="845">
        <f>C155*$C$154*$C$141</f>
        <v>0</v>
      </c>
      <c r="E155" s="678"/>
      <c r="F155" s="681"/>
      <c r="G155" s="681"/>
      <c r="H155" s="681"/>
      <c r="I155" s="681"/>
      <c r="J155" s="681"/>
      <c r="K155" s="681"/>
      <c r="L155" s="681"/>
      <c r="M155" s="681"/>
      <c r="N155" s="681"/>
      <c r="O155" s="681"/>
      <c r="P155" s="681"/>
      <c r="Q155" s="681"/>
      <c r="R155" s="681"/>
      <c r="S155" s="681"/>
      <c r="T155" s="681"/>
      <c r="U155" s="681"/>
      <c r="V155" s="681"/>
      <c r="W155" s="681"/>
      <c r="X155" s="681"/>
      <c r="Y155" s="681"/>
      <c r="Z155" s="681"/>
      <c r="AA155" s="681"/>
      <c r="AB155" s="681"/>
      <c r="AC155" s="681"/>
      <c r="AD155" s="681"/>
      <c r="AE155" s="82">
        <f t="shared" si="105"/>
        <v>0</v>
      </c>
    </row>
    <row r="156" spans="1:31" ht="18" hidden="1" customHeight="1">
      <c r="A156" s="86" t="s">
        <v>297</v>
      </c>
      <c r="B156" s="51"/>
      <c r="C156" s="677"/>
      <c r="D156" s="845">
        <f>C156*$C$154*$C$141</f>
        <v>0</v>
      </c>
      <c r="E156" s="678"/>
      <c r="F156" s="681"/>
      <c r="G156" s="681"/>
      <c r="H156" s="681"/>
      <c r="I156" s="681"/>
      <c r="J156" s="681"/>
      <c r="K156" s="681"/>
      <c r="L156" s="681"/>
      <c r="M156" s="681"/>
      <c r="N156" s="681"/>
      <c r="O156" s="681"/>
      <c r="P156" s="681"/>
      <c r="Q156" s="681"/>
      <c r="R156" s="681"/>
      <c r="S156" s="681"/>
      <c r="T156" s="681"/>
      <c r="U156" s="681"/>
      <c r="V156" s="681"/>
      <c r="W156" s="681"/>
      <c r="X156" s="681"/>
      <c r="Y156" s="681"/>
      <c r="Z156" s="681"/>
      <c r="AA156" s="681"/>
      <c r="AB156" s="681"/>
      <c r="AC156" s="681"/>
      <c r="AD156" s="681"/>
      <c r="AE156" s="82">
        <f t="shared" si="105"/>
        <v>0</v>
      </c>
    </row>
    <row r="157" spans="1:31" ht="18" hidden="1" customHeight="1">
      <c r="A157" s="86" t="s">
        <v>298</v>
      </c>
      <c r="B157" s="51"/>
      <c r="C157" s="677"/>
      <c r="D157" s="845">
        <f>C157*$C$154*$C$141</f>
        <v>0</v>
      </c>
      <c r="E157" s="678"/>
      <c r="F157" s="681"/>
      <c r="G157" s="681"/>
      <c r="H157" s="681"/>
      <c r="I157" s="681"/>
      <c r="J157" s="681"/>
      <c r="K157" s="681"/>
      <c r="L157" s="681"/>
      <c r="M157" s="681"/>
      <c r="N157" s="681"/>
      <c r="O157" s="681"/>
      <c r="P157" s="681"/>
      <c r="Q157" s="681"/>
      <c r="R157" s="681"/>
      <c r="S157" s="681"/>
      <c r="T157" s="681"/>
      <c r="U157" s="681"/>
      <c r="V157" s="681"/>
      <c r="W157" s="681"/>
      <c r="X157" s="681"/>
      <c r="Y157" s="681"/>
      <c r="Z157" s="681"/>
      <c r="AA157" s="681"/>
      <c r="AB157" s="681"/>
      <c r="AC157" s="681"/>
      <c r="AD157" s="681"/>
      <c r="AE157" s="82">
        <f t="shared" si="105"/>
        <v>0</v>
      </c>
    </row>
    <row r="158" spans="1:31" ht="18" hidden="1" customHeight="1">
      <c r="A158" s="86" t="s">
        <v>299</v>
      </c>
      <c r="B158" s="51"/>
      <c r="C158" s="677"/>
      <c r="D158" s="845">
        <f>C158*$C$154*$C$141</f>
        <v>0</v>
      </c>
      <c r="E158" s="678"/>
      <c r="F158" s="681"/>
      <c r="G158" s="681"/>
      <c r="H158" s="681"/>
      <c r="I158" s="681"/>
      <c r="J158" s="681"/>
      <c r="K158" s="681"/>
      <c r="L158" s="681"/>
      <c r="M158" s="681"/>
      <c r="N158" s="681"/>
      <c r="O158" s="681"/>
      <c r="P158" s="681"/>
      <c r="Q158" s="681"/>
      <c r="R158" s="681"/>
      <c r="S158" s="681"/>
      <c r="T158" s="681"/>
      <c r="U158" s="681"/>
      <c r="V158" s="681"/>
      <c r="W158" s="681"/>
      <c r="X158" s="681"/>
      <c r="Y158" s="681"/>
      <c r="Z158" s="681"/>
      <c r="AA158" s="681"/>
      <c r="AB158" s="681"/>
      <c r="AC158" s="681"/>
      <c r="AD158" s="681"/>
      <c r="AE158" s="82">
        <f t="shared" si="105"/>
        <v>0</v>
      </c>
    </row>
    <row r="159" spans="1:31" ht="18" hidden="1" customHeight="1">
      <c r="A159" s="86" t="s">
        <v>300</v>
      </c>
      <c r="B159" s="51"/>
      <c r="C159" s="677"/>
      <c r="D159" s="845">
        <f>C159*$C$154*$C$141</f>
        <v>0</v>
      </c>
      <c r="E159" s="678"/>
      <c r="F159" s="681"/>
      <c r="G159" s="681"/>
      <c r="H159" s="681"/>
      <c r="I159" s="681"/>
      <c r="J159" s="681"/>
      <c r="K159" s="681"/>
      <c r="L159" s="681"/>
      <c r="M159" s="681"/>
      <c r="N159" s="681"/>
      <c r="O159" s="681"/>
      <c r="P159" s="681"/>
      <c r="Q159" s="681"/>
      <c r="R159" s="681"/>
      <c r="S159" s="681"/>
      <c r="T159" s="681"/>
      <c r="U159" s="681"/>
      <c r="V159" s="681"/>
      <c r="W159" s="681"/>
      <c r="X159" s="681"/>
      <c r="Y159" s="681"/>
      <c r="Z159" s="681"/>
      <c r="AA159" s="681"/>
      <c r="AB159" s="681"/>
      <c r="AC159" s="681"/>
      <c r="AD159" s="681"/>
      <c r="AE159" s="82">
        <f t="shared" si="105"/>
        <v>0</v>
      </c>
    </row>
    <row r="160" spans="1:31" ht="18" hidden="1" customHeight="1">
      <c r="A160" s="85" t="s">
        <v>301</v>
      </c>
      <c r="B160" s="34"/>
      <c r="C160" s="35"/>
      <c r="D160" s="847"/>
      <c r="E160" s="36"/>
      <c r="F160" s="55"/>
      <c r="G160" s="55">
        <f>SUM(G161:G165)</f>
        <v>0</v>
      </c>
      <c r="H160" s="55">
        <f>SUM(H161:H165)</f>
        <v>0</v>
      </c>
      <c r="I160" s="55">
        <f t="shared" ref="I160" si="124">SUM(I161:I165)</f>
        <v>0</v>
      </c>
      <c r="J160" s="55">
        <f>SUM(J161:J165)</f>
        <v>0</v>
      </c>
      <c r="K160" s="55">
        <f t="shared" ref="K160:AD160" si="125">SUM(K161:K165)</f>
        <v>0</v>
      </c>
      <c r="L160" s="55">
        <f t="shared" si="125"/>
        <v>0</v>
      </c>
      <c r="M160" s="55">
        <f t="shared" si="125"/>
        <v>0</v>
      </c>
      <c r="N160" s="55">
        <f t="shared" si="125"/>
        <v>0</v>
      </c>
      <c r="O160" s="55">
        <f t="shared" si="125"/>
        <v>0</v>
      </c>
      <c r="P160" s="55">
        <f t="shared" si="125"/>
        <v>0</v>
      </c>
      <c r="Q160" s="55">
        <f t="shared" si="125"/>
        <v>0</v>
      </c>
      <c r="R160" s="55">
        <f t="shared" si="125"/>
        <v>0</v>
      </c>
      <c r="S160" s="55">
        <f t="shared" si="125"/>
        <v>0</v>
      </c>
      <c r="T160" s="55">
        <f t="shared" si="125"/>
        <v>0</v>
      </c>
      <c r="U160" s="55">
        <f t="shared" si="125"/>
        <v>0</v>
      </c>
      <c r="V160" s="55">
        <f t="shared" si="125"/>
        <v>0</v>
      </c>
      <c r="W160" s="55">
        <f t="shared" si="125"/>
        <v>0</v>
      </c>
      <c r="X160" s="55">
        <f t="shared" si="125"/>
        <v>0</v>
      </c>
      <c r="Y160" s="55">
        <f t="shared" si="125"/>
        <v>0</v>
      </c>
      <c r="Z160" s="55">
        <f t="shared" si="125"/>
        <v>0</v>
      </c>
      <c r="AA160" s="55">
        <f t="shared" si="125"/>
        <v>0</v>
      </c>
      <c r="AB160" s="55">
        <f t="shared" si="125"/>
        <v>0</v>
      </c>
      <c r="AC160" s="55">
        <f t="shared" si="125"/>
        <v>0</v>
      </c>
      <c r="AD160" s="55">
        <f t="shared" si="125"/>
        <v>0</v>
      </c>
      <c r="AE160" s="82">
        <f t="shared" si="105"/>
        <v>0</v>
      </c>
    </row>
    <row r="161" spans="1:31" ht="18" hidden="1" customHeight="1">
      <c r="A161" s="86" t="s">
        <v>302</v>
      </c>
      <c r="B161" s="51"/>
      <c r="C161" s="677"/>
      <c r="D161" s="845">
        <f>C161*$C$160*$C$141</f>
        <v>0</v>
      </c>
      <c r="E161" s="678"/>
      <c r="F161" s="681"/>
      <c r="G161" s="681"/>
      <c r="H161" s="681"/>
      <c r="I161" s="681"/>
      <c r="J161" s="681"/>
      <c r="K161" s="681"/>
      <c r="L161" s="681"/>
      <c r="M161" s="681"/>
      <c r="N161" s="681"/>
      <c r="O161" s="681"/>
      <c r="P161" s="681"/>
      <c r="Q161" s="681"/>
      <c r="R161" s="681"/>
      <c r="S161" s="681"/>
      <c r="T161" s="681"/>
      <c r="U161" s="681"/>
      <c r="V161" s="681"/>
      <c r="W161" s="681"/>
      <c r="X161" s="681"/>
      <c r="Y161" s="681"/>
      <c r="Z161" s="681"/>
      <c r="AA161" s="681"/>
      <c r="AB161" s="681"/>
      <c r="AC161" s="681"/>
      <c r="AD161" s="681"/>
      <c r="AE161" s="82">
        <f t="shared" si="105"/>
        <v>0</v>
      </c>
    </row>
    <row r="162" spans="1:31" ht="18" hidden="1" customHeight="1">
      <c r="A162" s="86" t="s">
        <v>303</v>
      </c>
      <c r="B162" s="51"/>
      <c r="C162" s="677"/>
      <c r="D162" s="845">
        <f>C162*$C$160*$C$141</f>
        <v>0</v>
      </c>
      <c r="E162" s="678"/>
      <c r="F162" s="681"/>
      <c r="G162" s="681"/>
      <c r="H162" s="681"/>
      <c r="I162" s="681"/>
      <c r="J162" s="681"/>
      <c r="K162" s="681"/>
      <c r="L162" s="681"/>
      <c r="M162" s="681"/>
      <c r="N162" s="681"/>
      <c r="O162" s="681"/>
      <c r="P162" s="681"/>
      <c r="Q162" s="681"/>
      <c r="R162" s="681"/>
      <c r="S162" s="681"/>
      <c r="T162" s="681"/>
      <c r="U162" s="681"/>
      <c r="V162" s="681"/>
      <c r="W162" s="681"/>
      <c r="X162" s="681"/>
      <c r="Y162" s="681"/>
      <c r="Z162" s="681"/>
      <c r="AA162" s="681"/>
      <c r="AB162" s="681"/>
      <c r="AC162" s="681"/>
      <c r="AD162" s="681"/>
      <c r="AE162" s="82">
        <f t="shared" si="105"/>
        <v>0</v>
      </c>
    </row>
    <row r="163" spans="1:31" ht="18" hidden="1" customHeight="1">
      <c r="A163" s="86" t="s">
        <v>304</v>
      </c>
      <c r="B163" s="51"/>
      <c r="C163" s="677"/>
      <c r="D163" s="845">
        <f>C163*$C$160*$C$141</f>
        <v>0</v>
      </c>
      <c r="E163" s="678"/>
      <c r="F163" s="681"/>
      <c r="G163" s="681"/>
      <c r="H163" s="681"/>
      <c r="I163" s="681"/>
      <c r="J163" s="681"/>
      <c r="K163" s="681"/>
      <c r="L163" s="681"/>
      <c r="M163" s="681"/>
      <c r="N163" s="681"/>
      <c r="O163" s="681"/>
      <c r="P163" s="681"/>
      <c r="Q163" s="681"/>
      <c r="R163" s="681"/>
      <c r="S163" s="681"/>
      <c r="T163" s="681"/>
      <c r="U163" s="681"/>
      <c r="V163" s="681"/>
      <c r="W163" s="681"/>
      <c r="X163" s="681"/>
      <c r="Y163" s="681"/>
      <c r="Z163" s="681"/>
      <c r="AA163" s="681"/>
      <c r="AB163" s="681"/>
      <c r="AC163" s="681"/>
      <c r="AD163" s="681"/>
      <c r="AE163" s="82">
        <f t="shared" si="105"/>
        <v>0</v>
      </c>
    </row>
    <row r="164" spans="1:31" ht="18" hidden="1" customHeight="1">
      <c r="A164" s="86" t="s">
        <v>305</v>
      </c>
      <c r="B164" s="51"/>
      <c r="C164" s="677"/>
      <c r="D164" s="845">
        <f>C164*$C$160*$C$141</f>
        <v>0</v>
      </c>
      <c r="E164" s="678"/>
      <c r="F164" s="681"/>
      <c r="G164" s="681"/>
      <c r="H164" s="681"/>
      <c r="I164" s="681"/>
      <c r="J164" s="681"/>
      <c r="K164" s="681"/>
      <c r="L164" s="681"/>
      <c r="M164" s="681"/>
      <c r="N164" s="681"/>
      <c r="O164" s="681"/>
      <c r="P164" s="681"/>
      <c r="Q164" s="681"/>
      <c r="R164" s="681"/>
      <c r="S164" s="681"/>
      <c r="T164" s="681"/>
      <c r="U164" s="681"/>
      <c r="V164" s="681"/>
      <c r="W164" s="681"/>
      <c r="X164" s="681"/>
      <c r="Y164" s="681"/>
      <c r="Z164" s="681"/>
      <c r="AA164" s="681"/>
      <c r="AB164" s="681"/>
      <c r="AC164" s="681"/>
      <c r="AD164" s="681"/>
      <c r="AE164" s="82">
        <f t="shared" si="105"/>
        <v>0</v>
      </c>
    </row>
    <row r="165" spans="1:31" ht="18" hidden="1" customHeight="1">
      <c r="A165" s="86" t="s">
        <v>306</v>
      </c>
      <c r="B165" s="51"/>
      <c r="C165" s="677"/>
      <c r="D165" s="845">
        <f>C165*$C$160*$C$141</f>
        <v>0</v>
      </c>
      <c r="E165" s="678"/>
      <c r="F165" s="681"/>
      <c r="G165" s="681"/>
      <c r="H165" s="681"/>
      <c r="I165" s="681"/>
      <c r="J165" s="681"/>
      <c r="K165" s="681"/>
      <c r="L165" s="681"/>
      <c r="M165" s="681"/>
      <c r="N165" s="681"/>
      <c r="O165" s="681"/>
      <c r="P165" s="681"/>
      <c r="Q165" s="681"/>
      <c r="R165" s="681"/>
      <c r="S165" s="681"/>
      <c r="T165" s="681"/>
      <c r="U165" s="681"/>
      <c r="V165" s="681"/>
      <c r="W165" s="681"/>
      <c r="X165" s="681"/>
      <c r="Y165" s="681"/>
      <c r="Z165" s="681"/>
      <c r="AA165" s="681"/>
      <c r="AB165" s="681"/>
      <c r="AC165" s="681"/>
      <c r="AD165" s="681"/>
      <c r="AE165" s="82">
        <f t="shared" si="105"/>
        <v>0</v>
      </c>
    </row>
    <row r="166" spans="1:31" ht="18" hidden="1" customHeight="1">
      <c r="A166" s="85" t="s">
        <v>307</v>
      </c>
      <c r="B166" s="34"/>
      <c r="C166" s="35"/>
      <c r="D166" s="847"/>
      <c r="E166" s="36"/>
      <c r="F166" s="55"/>
      <c r="G166" s="55">
        <f>SUM(G167:G171)</f>
        <v>0</v>
      </c>
      <c r="H166" s="55">
        <f>SUM(H167:H171)</f>
        <v>0</v>
      </c>
      <c r="I166" s="55">
        <f t="shared" ref="I166" si="126">SUM(I167:I171)</f>
        <v>0</v>
      </c>
      <c r="J166" s="55">
        <f>SUM(J167:J171)</f>
        <v>0</v>
      </c>
      <c r="K166" s="55">
        <f t="shared" ref="K166:AD166" si="127">SUM(K167:K171)</f>
        <v>0</v>
      </c>
      <c r="L166" s="55">
        <f t="shared" si="127"/>
        <v>0</v>
      </c>
      <c r="M166" s="55">
        <f t="shared" si="127"/>
        <v>0</v>
      </c>
      <c r="N166" s="55">
        <f t="shared" si="127"/>
        <v>0</v>
      </c>
      <c r="O166" s="55">
        <f t="shared" si="127"/>
        <v>0</v>
      </c>
      <c r="P166" s="55">
        <f t="shared" si="127"/>
        <v>0</v>
      </c>
      <c r="Q166" s="55">
        <f t="shared" si="127"/>
        <v>0</v>
      </c>
      <c r="R166" s="55">
        <f t="shared" si="127"/>
        <v>0</v>
      </c>
      <c r="S166" s="55">
        <f t="shared" si="127"/>
        <v>0</v>
      </c>
      <c r="T166" s="55">
        <f t="shared" si="127"/>
        <v>0</v>
      </c>
      <c r="U166" s="55">
        <f t="shared" si="127"/>
        <v>0</v>
      </c>
      <c r="V166" s="55">
        <f t="shared" si="127"/>
        <v>0</v>
      </c>
      <c r="W166" s="55">
        <f t="shared" si="127"/>
        <v>0</v>
      </c>
      <c r="X166" s="55">
        <f t="shared" si="127"/>
        <v>0</v>
      </c>
      <c r="Y166" s="55">
        <f t="shared" si="127"/>
        <v>0</v>
      </c>
      <c r="Z166" s="55">
        <f t="shared" si="127"/>
        <v>0</v>
      </c>
      <c r="AA166" s="55">
        <f t="shared" si="127"/>
        <v>0</v>
      </c>
      <c r="AB166" s="55">
        <f t="shared" si="127"/>
        <v>0</v>
      </c>
      <c r="AC166" s="55">
        <f t="shared" si="127"/>
        <v>0</v>
      </c>
      <c r="AD166" s="55">
        <f t="shared" si="127"/>
        <v>0</v>
      </c>
      <c r="AE166" s="82">
        <f t="shared" si="105"/>
        <v>0</v>
      </c>
    </row>
    <row r="167" spans="1:31" ht="18" hidden="1" customHeight="1">
      <c r="A167" s="86" t="s">
        <v>308</v>
      </c>
      <c r="B167" s="51"/>
      <c r="C167" s="677"/>
      <c r="D167" s="845">
        <f>C167*$C$166*$C$141</f>
        <v>0</v>
      </c>
      <c r="E167" s="678"/>
      <c r="F167" s="681"/>
      <c r="G167" s="681"/>
      <c r="H167" s="681"/>
      <c r="I167" s="681"/>
      <c r="J167" s="681"/>
      <c r="K167" s="681"/>
      <c r="L167" s="681"/>
      <c r="M167" s="681"/>
      <c r="N167" s="681"/>
      <c r="O167" s="681"/>
      <c r="P167" s="681"/>
      <c r="Q167" s="681"/>
      <c r="R167" s="681"/>
      <c r="S167" s="681"/>
      <c r="T167" s="681"/>
      <c r="U167" s="681"/>
      <c r="V167" s="681"/>
      <c r="W167" s="681"/>
      <c r="X167" s="681"/>
      <c r="Y167" s="681"/>
      <c r="Z167" s="681"/>
      <c r="AA167" s="681"/>
      <c r="AB167" s="681"/>
      <c r="AC167" s="681"/>
      <c r="AD167" s="681"/>
      <c r="AE167" s="82">
        <f t="shared" si="105"/>
        <v>0</v>
      </c>
    </row>
    <row r="168" spans="1:31" ht="18" hidden="1" customHeight="1">
      <c r="A168" s="86" t="s">
        <v>309</v>
      </c>
      <c r="B168" s="51"/>
      <c r="C168" s="677"/>
      <c r="D168" s="845">
        <f>C168*$C$166*$C$141</f>
        <v>0</v>
      </c>
      <c r="E168" s="678"/>
      <c r="F168" s="681"/>
      <c r="G168" s="681"/>
      <c r="H168" s="681"/>
      <c r="I168" s="681"/>
      <c r="J168" s="681"/>
      <c r="K168" s="681"/>
      <c r="L168" s="681"/>
      <c r="M168" s="681"/>
      <c r="N168" s="681"/>
      <c r="O168" s="681"/>
      <c r="P168" s="681"/>
      <c r="Q168" s="681"/>
      <c r="R168" s="681"/>
      <c r="S168" s="681"/>
      <c r="T168" s="681"/>
      <c r="U168" s="681"/>
      <c r="V168" s="681"/>
      <c r="W168" s="681"/>
      <c r="X168" s="681"/>
      <c r="Y168" s="681"/>
      <c r="Z168" s="681"/>
      <c r="AA168" s="681"/>
      <c r="AB168" s="681"/>
      <c r="AC168" s="681"/>
      <c r="AD168" s="681"/>
      <c r="AE168" s="82">
        <f t="shared" si="105"/>
        <v>0</v>
      </c>
    </row>
    <row r="169" spans="1:31" ht="18" hidden="1" customHeight="1">
      <c r="A169" s="86" t="s">
        <v>310</v>
      </c>
      <c r="B169" s="51"/>
      <c r="C169" s="677"/>
      <c r="D169" s="845">
        <f>C169*$C$166*$C$141</f>
        <v>0</v>
      </c>
      <c r="E169" s="678"/>
      <c r="F169" s="681"/>
      <c r="G169" s="681"/>
      <c r="H169" s="681"/>
      <c r="I169" s="681"/>
      <c r="J169" s="681"/>
      <c r="K169" s="681"/>
      <c r="L169" s="681"/>
      <c r="M169" s="681"/>
      <c r="N169" s="681"/>
      <c r="O169" s="681"/>
      <c r="P169" s="681"/>
      <c r="Q169" s="681"/>
      <c r="R169" s="681"/>
      <c r="S169" s="681"/>
      <c r="T169" s="681"/>
      <c r="U169" s="681"/>
      <c r="V169" s="681"/>
      <c r="W169" s="681"/>
      <c r="X169" s="681"/>
      <c r="Y169" s="681"/>
      <c r="Z169" s="681"/>
      <c r="AA169" s="681"/>
      <c r="AB169" s="681"/>
      <c r="AC169" s="681"/>
      <c r="AD169" s="681"/>
      <c r="AE169" s="82">
        <f t="shared" si="105"/>
        <v>0</v>
      </c>
    </row>
    <row r="170" spans="1:31" ht="18" hidden="1" customHeight="1">
      <c r="A170" s="86" t="s">
        <v>311</v>
      </c>
      <c r="B170" s="51"/>
      <c r="C170" s="677"/>
      <c r="D170" s="845">
        <f>C170*$C$166*$C$141</f>
        <v>0</v>
      </c>
      <c r="E170" s="678"/>
      <c r="F170" s="681"/>
      <c r="G170" s="681"/>
      <c r="H170" s="681"/>
      <c r="I170" s="681"/>
      <c r="J170" s="681"/>
      <c r="K170" s="681"/>
      <c r="L170" s="681"/>
      <c r="M170" s="681"/>
      <c r="N170" s="681"/>
      <c r="O170" s="681"/>
      <c r="P170" s="681"/>
      <c r="Q170" s="681"/>
      <c r="R170" s="681"/>
      <c r="S170" s="681"/>
      <c r="T170" s="681"/>
      <c r="U170" s="681"/>
      <c r="V170" s="681"/>
      <c r="W170" s="681"/>
      <c r="X170" s="681"/>
      <c r="Y170" s="681"/>
      <c r="Z170" s="681"/>
      <c r="AA170" s="681"/>
      <c r="AB170" s="681"/>
      <c r="AC170" s="681"/>
      <c r="AD170" s="681"/>
      <c r="AE170" s="82">
        <f t="shared" si="105"/>
        <v>0</v>
      </c>
    </row>
    <row r="171" spans="1:31" ht="18" hidden="1" customHeight="1">
      <c r="A171" s="86" t="s">
        <v>312</v>
      </c>
      <c r="B171" s="51"/>
      <c r="C171" s="677"/>
      <c r="D171" s="845">
        <f>C171*$C$166*$C$141</f>
        <v>0</v>
      </c>
      <c r="E171" s="678"/>
      <c r="F171" s="681"/>
      <c r="G171" s="681"/>
      <c r="H171" s="681"/>
      <c r="I171" s="681"/>
      <c r="J171" s="681"/>
      <c r="K171" s="681"/>
      <c r="L171" s="681"/>
      <c r="M171" s="681"/>
      <c r="N171" s="681"/>
      <c r="O171" s="681"/>
      <c r="P171" s="681"/>
      <c r="Q171" s="681"/>
      <c r="R171" s="681"/>
      <c r="S171" s="681"/>
      <c r="T171" s="681"/>
      <c r="U171" s="681"/>
      <c r="V171" s="681"/>
      <c r="W171" s="681"/>
      <c r="X171" s="681"/>
      <c r="Y171" s="681"/>
      <c r="Z171" s="681"/>
      <c r="AA171" s="681"/>
      <c r="AB171" s="681"/>
      <c r="AC171" s="681"/>
      <c r="AD171" s="681"/>
      <c r="AE171" s="82">
        <f t="shared" si="105"/>
        <v>0</v>
      </c>
    </row>
    <row r="172" spans="1:31" ht="18" hidden="1" customHeight="1">
      <c r="A172" s="84" t="s">
        <v>313</v>
      </c>
      <c r="B172" s="37"/>
      <c r="C172" s="38"/>
      <c r="D172" s="846"/>
      <c r="E172" s="39"/>
      <c r="F172" s="54"/>
      <c r="G172" s="54">
        <f>G173+G179+G185+G191+G197</f>
        <v>0</v>
      </c>
      <c r="H172" s="54">
        <f t="shared" ref="H172:R172" si="128">H173+H179+H185+H191+H197</f>
        <v>0</v>
      </c>
      <c r="I172" s="54">
        <f t="shared" si="128"/>
        <v>0</v>
      </c>
      <c r="J172" s="54">
        <f t="shared" si="128"/>
        <v>0</v>
      </c>
      <c r="K172" s="54">
        <f t="shared" si="128"/>
        <v>0</v>
      </c>
      <c r="L172" s="54">
        <f t="shared" si="128"/>
        <v>0</v>
      </c>
      <c r="M172" s="54">
        <f t="shared" si="128"/>
        <v>0</v>
      </c>
      <c r="N172" s="54">
        <f>N173+N179+N185+N191+N197</f>
        <v>0</v>
      </c>
      <c r="O172" s="54">
        <f t="shared" si="128"/>
        <v>0</v>
      </c>
      <c r="P172" s="54">
        <f t="shared" si="128"/>
        <v>0</v>
      </c>
      <c r="Q172" s="54">
        <f t="shared" si="128"/>
        <v>0</v>
      </c>
      <c r="R172" s="54">
        <f t="shared" si="128"/>
        <v>0</v>
      </c>
      <c r="S172" s="54">
        <f t="shared" ref="S172:AD172" si="129">S173+S179+S185</f>
        <v>0</v>
      </c>
      <c r="T172" s="54">
        <f t="shared" si="129"/>
        <v>0</v>
      </c>
      <c r="U172" s="54">
        <f t="shared" si="129"/>
        <v>0</v>
      </c>
      <c r="V172" s="54">
        <f t="shared" si="129"/>
        <v>0</v>
      </c>
      <c r="W172" s="54">
        <f t="shared" si="129"/>
        <v>0</v>
      </c>
      <c r="X172" s="54">
        <f t="shared" si="129"/>
        <v>0</v>
      </c>
      <c r="Y172" s="54">
        <f t="shared" si="129"/>
        <v>0</v>
      </c>
      <c r="Z172" s="54">
        <f t="shared" si="129"/>
        <v>0</v>
      </c>
      <c r="AA172" s="54">
        <f t="shared" si="129"/>
        <v>0</v>
      </c>
      <c r="AB172" s="54">
        <f t="shared" si="129"/>
        <v>0</v>
      </c>
      <c r="AC172" s="54">
        <f t="shared" si="129"/>
        <v>0</v>
      </c>
      <c r="AD172" s="54">
        <f t="shared" si="129"/>
        <v>0</v>
      </c>
      <c r="AE172" s="82">
        <f t="shared" ref="AE172:AE175" si="130">F172-SUM(G172:AD172)</f>
        <v>0</v>
      </c>
    </row>
    <row r="173" spans="1:31" ht="18" hidden="1" customHeight="1">
      <c r="A173" s="85" t="s">
        <v>314</v>
      </c>
      <c r="B173" s="34"/>
      <c r="C173" s="35"/>
      <c r="D173" s="847"/>
      <c r="E173" s="36"/>
      <c r="F173" s="55"/>
      <c r="G173" s="55">
        <f>SUM(G174:G178)</f>
        <v>0</v>
      </c>
      <c r="H173" s="55">
        <f t="shared" ref="H173" si="131">SUM(H174:H178)</f>
        <v>0</v>
      </c>
      <c r="I173" s="55">
        <f>SUM(I174:I178)</f>
        <v>0</v>
      </c>
      <c r="J173" s="55">
        <f t="shared" ref="J173:AD173" si="132">SUM(J174:J178)</f>
        <v>0</v>
      </c>
      <c r="K173" s="55">
        <f t="shared" si="132"/>
        <v>0</v>
      </c>
      <c r="L173" s="55">
        <f t="shared" si="132"/>
        <v>0</v>
      </c>
      <c r="M173" s="55">
        <f t="shared" si="132"/>
        <v>0</v>
      </c>
      <c r="N173" s="55">
        <f t="shared" si="132"/>
        <v>0</v>
      </c>
      <c r="O173" s="55">
        <f t="shared" si="132"/>
        <v>0</v>
      </c>
      <c r="P173" s="55">
        <f t="shared" si="132"/>
        <v>0</v>
      </c>
      <c r="Q173" s="55">
        <f t="shared" si="132"/>
        <v>0</v>
      </c>
      <c r="R173" s="55">
        <f t="shared" si="132"/>
        <v>0</v>
      </c>
      <c r="S173" s="55">
        <f t="shared" si="132"/>
        <v>0</v>
      </c>
      <c r="T173" s="55">
        <f t="shared" si="132"/>
        <v>0</v>
      </c>
      <c r="U173" s="55">
        <f t="shared" si="132"/>
        <v>0</v>
      </c>
      <c r="V173" s="55">
        <f t="shared" si="132"/>
        <v>0</v>
      </c>
      <c r="W173" s="55">
        <f t="shared" si="132"/>
        <v>0</v>
      </c>
      <c r="X173" s="55">
        <f t="shared" si="132"/>
        <v>0</v>
      </c>
      <c r="Y173" s="55">
        <f t="shared" si="132"/>
        <v>0</v>
      </c>
      <c r="Z173" s="55">
        <f t="shared" si="132"/>
        <v>0</v>
      </c>
      <c r="AA173" s="55">
        <f t="shared" si="132"/>
        <v>0</v>
      </c>
      <c r="AB173" s="55">
        <f t="shared" si="132"/>
        <v>0</v>
      </c>
      <c r="AC173" s="55">
        <f t="shared" si="132"/>
        <v>0</v>
      </c>
      <c r="AD173" s="55">
        <f t="shared" si="132"/>
        <v>0</v>
      </c>
      <c r="AE173" s="82">
        <f t="shared" si="130"/>
        <v>0</v>
      </c>
    </row>
    <row r="174" spans="1:31" ht="18" hidden="1" customHeight="1">
      <c r="A174" s="86" t="s">
        <v>315</v>
      </c>
      <c r="B174" s="51"/>
      <c r="C174" s="677"/>
      <c r="D174" s="845">
        <f>C174*$C$173*$C$172</f>
        <v>0</v>
      </c>
      <c r="E174" s="678"/>
      <c r="F174" s="681"/>
      <c r="G174" s="681"/>
      <c r="H174" s="681"/>
      <c r="I174" s="681"/>
      <c r="J174" s="681"/>
      <c r="K174" s="681"/>
      <c r="L174" s="681"/>
      <c r="M174" s="681"/>
      <c r="N174" s="681"/>
      <c r="O174" s="681"/>
      <c r="P174" s="681"/>
      <c r="Q174" s="681"/>
      <c r="R174" s="681"/>
      <c r="S174" s="681"/>
      <c r="T174" s="681"/>
      <c r="U174" s="681"/>
      <c r="V174" s="681"/>
      <c r="W174" s="681"/>
      <c r="X174" s="681"/>
      <c r="Y174" s="681"/>
      <c r="Z174" s="681"/>
      <c r="AA174" s="681"/>
      <c r="AB174" s="681"/>
      <c r="AC174" s="681"/>
      <c r="AD174" s="681"/>
      <c r="AE174" s="82">
        <f t="shared" si="130"/>
        <v>0</v>
      </c>
    </row>
    <row r="175" spans="1:31" ht="18" hidden="1" customHeight="1">
      <c r="A175" s="86" t="s">
        <v>316</v>
      </c>
      <c r="B175" s="51"/>
      <c r="C175" s="677"/>
      <c r="D175" s="845">
        <f>C175*$C$173*$C$172</f>
        <v>0</v>
      </c>
      <c r="E175" s="678"/>
      <c r="F175" s="681"/>
      <c r="G175" s="681"/>
      <c r="H175" s="681"/>
      <c r="I175" s="681"/>
      <c r="J175" s="681"/>
      <c r="K175" s="681"/>
      <c r="L175" s="681"/>
      <c r="M175" s="681"/>
      <c r="N175" s="681"/>
      <c r="O175" s="681"/>
      <c r="P175" s="681"/>
      <c r="Q175" s="681"/>
      <c r="R175" s="681"/>
      <c r="S175" s="681"/>
      <c r="T175" s="681"/>
      <c r="U175" s="681"/>
      <c r="V175" s="681"/>
      <c r="W175" s="681"/>
      <c r="X175" s="681"/>
      <c r="Y175" s="681"/>
      <c r="Z175" s="681"/>
      <c r="AA175" s="681"/>
      <c r="AB175" s="681"/>
      <c r="AC175" s="681"/>
      <c r="AD175" s="681"/>
      <c r="AE175" s="82">
        <f t="shared" si="130"/>
        <v>0</v>
      </c>
    </row>
    <row r="176" spans="1:31" ht="18" hidden="1" customHeight="1">
      <c r="A176" s="86" t="s">
        <v>317</v>
      </c>
      <c r="B176" s="51"/>
      <c r="C176" s="677"/>
      <c r="D176" s="845">
        <f>C176*$C$173*$C$172</f>
        <v>0</v>
      </c>
      <c r="E176" s="678"/>
      <c r="F176" s="681"/>
      <c r="G176" s="681"/>
      <c r="H176" s="681"/>
      <c r="I176" s="681"/>
      <c r="J176" s="681"/>
      <c r="K176" s="681"/>
      <c r="L176" s="681"/>
      <c r="M176" s="681"/>
      <c r="N176" s="681"/>
      <c r="O176" s="681"/>
      <c r="P176" s="681"/>
      <c r="Q176" s="681"/>
      <c r="R176" s="681"/>
      <c r="S176" s="681"/>
      <c r="T176" s="681"/>
      <c r="U176" s="681"/>
      <c r="V176" s="681"/>
      <c r="W176" s="681"/>
      <c r="X176" s="681"/>
      <c r="Y176" s="681"/>
      <c r="Z176" s="681"/>
      <c r="AA176" s="681"/>
      <c r="AB176" s="681"/>
      <c r="AC176" s="681"/>
      <c r="AD176" s="681"/>
      <c r="AE176" s="82">
        <f t="shared" ref="AE176:AE202" si="133">F176-SUM(G176:AD176)</f>
        <v>0</v>
      </c>
    </row>
    <row r="177" spans="1:31" ht="18" hidden="1" customHeight="1">
      <c r="A177" s="86" t="s">
        <v>318</v>
      </c>
      <c r="B177" s="51"/>
      <c r="C177" s="677"/>
      <c r="D177" s="845">
        <f>C177*$C$173*$C$172</f>
        <v>0</v>
      </c>
      <c r="E177" s="678"/>
      <c r="F177" s="681"/>
      <c r="G177" s="681"/>
      <c r="H177" s="681"/>
      <c r="I177" s="681"/>
      <c r="J177" s="681"/>
      <c r="K177" s="681"/>
      <c r="L177" s="681"/>
      <c r="M177" s="681"/>
      <c r="N177" s="681"/>
      <c r="O177" s="681"/>
      <c r="P177" s="681"/>
      <c r="Q177" s="681"/>
      <c r="R177" s="681"/>
      <c r="S177" s="681"/>
      <c r="T177" s="681"/>
      <c r="U177" s="681"/>
      <c r="V177" s="681"/>
      <c r="W177" s="681"/>
      <c r="X177" s="681"/>
      <c r="Y177" s="681"/>
      <c r="Z177" s="681"/>
      <c r="AA177" s="681"/>
      <c r="AB177" s="681"/>
      <c r="AC177" s="681"/>
      <c r="AD177" s="681"/>
      <c r="AE177" s="82">
        <f t="shared" si="133"/>
        <v>0</v>
      </c>
    </row>
    <row r="178" spans="1:31" ht="18" hidden="1" customHeight="1">
      <c r="A178" s="86" t="s">
        <v>319</v>
      </c>
      <c r="B178" s="51"/>
      <c r="C178" s="677"/>
      <c r="D178" s="845">
        <f>C178*$C$173*$C$172</f>
        <v>0</v>
      </c>
      <c r="E178" s="678"/>
      <c r="F178" s="681"/>
      <c r="G178" s="681"/>
      <c r="H178" s="681"/>
      <c r="I178" s="681"/>
      <c r="J178" s="681"/>
      <c r="K178" s="681"/>
      <c r="L178" s="681"/>
      <c r="M178" s="681"/>
      <c r="N178" s="681"/>
      <c r="O178" s="681"/>
      <c r="P178" s="681"/>
      <c r="Q178" s="681"/>
      <c r="R178" s="681"/>
      <c r="S178" s="681"/>
      <c r="T178" s="681"/>
      <c r="U178" s="681"/>
      <c r="V178" s="681"/>
      <c r="W178" s="681"/>
      <c r="X178" s="681"/>
      <c r="Y178" s="681"/>
      <c r="Z178" s="681"/>
      <c r="AA178" s="681"/>
      <c r="AB178" s="681"/>
      <c r="AC178" s="681"/>
      <c r="AD178" s="681"/>
      <c r="AE178" s="82">
        <f t="shared" si="133"/>
        <v>0</v>
      </c>
    </row>
    <row r="179" spans="1:31" ht="18" hidden="1" customHeight="1">
      <c r="A179" s="85" t="s">
        <v>320</v>
      </c>
      <c r="B179" s="34"/>
      <c r="C179" s="35"/>
      <c r="D179" s="847"/>
      <c r="E179" s="36"/>
      <c r="F179" s="55"/>
      <c r="G179" s="55">
        <f>SUM(G180:G184)</f>
        <v>0</v>
      </c>
      <c r="H179" s="55">
        <f t="shared" ref="H179:I179" si="134">SUM(H180:H184)</f>
        <v>0</v>
      </c>
      <c r="I179" s="55">
        <f t="shared" si="134"/>
        <v>0</v>
      </c>
      <c r="J179" s="55">
        <f>SUM(J180:J184)</f>
        <v>0</v>
      </c>
      <c r="K179" s="55">
        <f t="shared" ref="K179:AD179" si="135">SUM(K180:K184)</f>
        <v>0</v>
      </c>
      <c r="L179" s="55">
        <f t="shared" si="135"/>
        <v>0</v>
      </c>
      <c r="M179" s="55">
        <f t="shared" si="135"/>
        <v>0</v>
      </c>
      <c r="N179" s="55">
        <f t="shared" si="135"/>
        <v>0</v>
      </c>
      <c r="O179" s="55">
        <f t="shared" si="135"/>
        <v>0</v>
      </c>
      <c r="P179" s="55">
        <f t="shared" si="135"/>
        <v>0</v>
      </c>
      <c r="Q179" s="55">
        <f t="shared" si="135"/>
        <v>0</v>
      </c>
      <c r="R179" s="55">
        <f t="shared" si="135"/>
        <v>0</v>
      </c>
      <c r="S179" s="55">
        <f t="shared" si="135"/>
        <v>0</v>
      </c>
      <c r="T179" s="55">
        <f t="shared" si="135"/>
        <v>0</v>
      </c>
      <c r="U179" s="55">
        <f t="shared" si="135"/>
        <v>0</v>
      </c>
      <c r="V179" s="55">
        <f t="shared" si="135"/>
        <v>0</v>
      </c>
      <c r="W179" s="55">
        <f t="shared" si="135"/>
        <v>0</v>
      </c>
      <c r="X179" s="55">
        <f t="shared" si="135"/>
        <v>0</v>
      </c>
      <c r="Y179" s="55">
        <f t="shared" si="135"/>
        <v>0</v>
      </c>
      <c r="Z179" s="55">
        <f t="shared" si="135"/>
        <v>0</v>
      </c>
      <c r="AA179" s="55">
        <f t="shared" si="135"/>
        <v>0</v>
      </c>
      <c r="AB179" s="55">
        <f t="shared" si="135"/>
        <v>0</v>
      </c>
      <c r="AC179" s="55">
        <f t="shared" si="135"/>
        <v>0</v>
      </c>
      <c r="AD179" s="55">
        <f t="shared" si="135"/>
        <v>0</v>
      </c>
      <c r="AE179" s="82">
        <f t="shared" si="133"/>
        <v>0</v>
      </c>
    </row>
    <row r="180" spans="1:31" ht="18" hidden="1" customHeight="1">
      <c r="A180" s="86" t="s">
        <v>321</v>
      </c>
      <c r="B180" s="51"/>
      <c r="C180" s="677"/>
      <c r="D180" s="845">
        <f>C180*$C$179*$C$172</f>
        <v>0</v>
      </c>
      <c r="E180" s="678"/>
      <c r="F180" s="681"/>
      <c r="G180" s="681"/>
      <c r="H180" s="681"/>
      <c r="I180" s="681"/>
      <c r="J180" s="681"/>
      <c r="K180" s="681"/>
      <c r="L180" s="681"/>
      <c r="M180" s="681"/>
      <c r="N180" s="681"/>
      <c r="O180" s="681"/>
      <c r="P180" s="681"/>
      <c r="Q180" s="681"/>
      <c r="R180" s="681"/>
      <c r="S180" s="681"/>
      <c r="T180" s="681"/>
      <c r="U180" s="681"/>
      <c r="V180" s="681"/>
      <c r="W180" s="681"/>
      <c r="X180" s="681"/>
      <c r="Y180" s="681"/>
      <c r="Z180" s="681"/>
      <c r="AA180" s="681"/>
      <c r="AB180" s="681"/>
      <c r="AC180" s="681"/>
      <c r="AD180" s="681"/>
      <c r="AE180" s="82">
        <f t="shared" si="133"/>
        <v>0</v>
      </c>
    </row>
    <row r="181" spans="1:31" ht="18" hidden="1" customHeight="1">
      <c r="A181" s="86" t="s">
        <v>322</v>
      </c>
      <c r="B181" s="51"/>
      <c r="C181" s="677"/>
      <c r="D181" s="845">
        <f t="shared" ref="D181:D183" si="136">C181*$C$179*$C$172</f>
        <v>0</v>
      </c>
      <c r="E181" s="678"/>
      <c r="F181" s="681"/>
      <c r="G181" s="681"/>
      <c r="H181" s="681"/>
      <c r="I181" s="681"/>
      <c r="J181" s="681"/>
      <c r="K181" s="681"/>
      <c r="L181" s="681"/>
      <c r="M181" s="681"/>
      <c r="N181" s="681"/>
      <c r="O181" s="681"/>
      <c r="P181" s="681"/>
      <c r="Q181" s="681"/>
      <c r="R181" s="681"/>
      <c r="S181" s="681"/>
      <c r="T181" s="681"/>
      <c r="U181" s="681"/>
      <c r="V181" s="681"/>
      <c r="W181" s="681"/>
      <c r="X181" s="681"/>
      <c r="Y181" s="681"/>
      <c r="Z181" s="681"/>
      <c r="AA181" s="681"/>
      <c r="AB181" s="681"/>
      <c r="AC181" s="681"/>
      <c r="AD181" s="681"/>
      <c r="AE181" s="82">
        <f t="shared" si="133"/>
        <v>0</v>
      </c>
    </row>
    <row r="182" spans="1:31" ht="18" hidden="1" customHeight="1">
      <c r="A182" s="86" t="s">
        <v>323</v>
      </c>
      <c r="B182" s="51"/>
      <c r="C182" s="677"/>
      <c r="D182" s="845">
        <f t="shared" si="136"/>
        <v>0</v>
      </c>
      <c r="E182" s="678"/>
      <c r="F182" s="681"/>
      <c r="G182" s="681"/>
      <c r="H182" s="681"/>
      <c r="I182" s="681"/>
      <c r="J182" s="681"/>
      <c r="K182" s="681"/>
      <c r="L182" s="681"/>
      <c r="M182" s="681"/>
      <c r="N182" s="681"/>
      <c r="O182" s="681"/>
      <c r="P182" s="681"/>
      <c r="Q182" s="681"/>
      <c r="R182" s="681"/>
      <c r="S182" s="681"/>
      <c r="T182" s="681"/>
      <c r="U182" s="681"/>
      <c r="V182" s="681"/>
      <c r="W182" s="681"/>
      <c r="X182" s="681"/>
      <c r="Y182" s="681"/>
      <c r="Z182" s="681"/>
      <c r="AA182" s="681"/>
      <c r="AB182" s="681"/>
      <c r="AC182" s="681"/>
      <c r="AD182" s="681"/>
      <c r="AE182" s="82">
        <f t="shared" si="133"/>
        <v>0</v>
      </c>
    </row>
    <row r="183" spans="1:31" ht="18" hidden="1" customHeight="1">
      <c r="A183" s="86" t="s">
        <v>324</v>
      </c>
      <c r="B183" s="51"/>
      <c r="C183" s="677"/>
      <c r="D183" s="845">
        <f t="shared" si="136"/>
        <v>0</v>
      </c>
      <c r="E183" s="678"/>
      <c r="F183" s="681"/>
      <c r="G183" s="681"/>
      <c r="H183" s="681"/>
      <c r="I183" s="681"/>
      <c r="J183" s="681"/>
      <c r="K183" s="681"/>
      <c r="L183" s="681"/>
      <c r="M183" s="681"/>
      <c r="N183" s="681"/>
      <c r="O183" s="681"/>
      <c r="P183" s="681"/>
      <c r="Q183" s="681"/>
      <c r="R183" s="681"/>
      <c r="S183" s="681"/>
      <c r="T183" s="681"/>
      <c r="U183" s="681"/>
      <c r="V183" s="681"/>
      <c r="W183" s="681"/>
      <c r="X183" s="681"/>
      <c r="Y183" s="681"/>
      <c r="Z183" s="681"/>
      <c r="AA183" s="681"/>
      <c r="AB183" s="681"/>
      <c r="AC183" s="681"/>
      <c r="AD183" s="681"/>
      <c r="AE183" s="82">
        <f t="shared" si="133"/>
        <v>0</v>
      </c>
    </row>
    <row r="184" spans="1:31" ht="18" hidden="1" customHeight="1">
      <c r="A184" s="86" t="s">
        <v>325</v>
      </c>
      <c r="B184" s="51"/>
      <c r="C184" s="677"/>
      <c r="D184" s="845">
        <f>C184*$C$179*$C$172</f>
        <v>0</v>
      </c>
      <c r="E184" s="678"/>
      <c r="F184" s="681"/>
      <c r="G184" s="681"/>
      <c r="H184" s="681"/>
      <c r="I184" s="681"/>
      <c r="J184" s="681"/>
      <c r="K184" s="681"/>
      <c r="L184" s="681"/>
      <c r="M184" s="681"/>
      <c r="N184" s="681"/>
      <c r="O184" s="681"/>
      <c r="P184" s="681"/>
      <c r="Q184" s="681"/>
      <c r="R184" s="681"/>
      <c r="S184" s="681"/>
      <c r="T184" s="681"/>
      <c r="U184" s="681"/>
      <c r="V184" s="681"/>
      <c r="W184" s="681"/>
      <c r="X184" s="681"/>
      <c r="Y184" s="681"/>
      <c r="Z184" s="681"/>
      <c r="AA184" s="681"/>
      <c r="AB184" s="681"/>
      <c r="AC184" s="681"/>
      <c r="AD184" s="681"/>
      <c r="AE184" s="82">
        <f t="shared" si="133"/>
        <v>0</v>
      </c>
    </row>
    <row r="185" spans="1:31" ht="18" hidden="1" customHeight="1">
      <c r="A185" s="85" t="s">
        <v>326</v>
      </c>
      <c r="B185" s="34"/>
      <c r="C185" s="35"/>
      <c r="D185" s="847"/>
      <c r="E185" s="36"/>
      <c r="F185" s="55"/>
      <c r="G185" s="55">
        <f>SUM(G186:G190)</f>
        <v>0</v>
      </c>
      <c r="H185" s="55">
        <f t="shared" ref="H185:I185" si="137">SUM(H186:H190)</f>
        <v>0</v>
      </c>
      <c r="I185" s="55">
        <f t="shared" si="137"/>
        <v>0</v>
      </c>
      <c r="J185" s="55">
        <f>SUM(J186:J190)</f>
        <v>0</v>
      </c>
      <c r="K185" s="55">
        <f t="shared" ref="K185:AD185" si="138">SUM(K186:K190)</f>
        <v>0</v>
      </c>
      <c r="L185" s="55">
        <f t="shared" si="138"/>
        <v>0</v>
      </c>
      <c r="M185" s="55">
        <f t="shared" si="138"/>
        <v>0</v>
      </c>
      <c r="N185" s="55">
        <f t="shared" si="138"/>
        <v>0</v>
      </c>
      <c r="O185" s="55">
        <f t="shared" si="138"/>
        <v>0</v>
      </c>
      <c r="P185" s="55">
        <f t="shared" si="138"/>
        <v>0</v>
      </c>
      <c r="Q185" s="55">
        <f t="shared" si="138"/>
        <v>0</v>
      </c>
      <c r="R185" s="55">
        <f t="shared" si="138"/>
        <v>0</v>
      </c>
      <c r="S185" s="55">
        <f t="shared" si="138"/>
        <v>0</v>
      </c>
      <c r="T185" s="55">
        <f t="shared" si="138"/>
        <v>0</v>
      </c>
      <c r="U185" s="55">
        <f t="shared" si="138"/>
        <v>0</v>
      </c>
      <c r="V185" s="55">
        <f t="shared" si="138"/>
        <v>0</v>
      </c>
      <c r="W185" s="55">
        <f t="shared" si="138"/>
        <v>0</v>
      </c>
      <c r="X185" s="55">
        <f t="shared" si="138"/>
        <v>0</v>
      </c>
      <c r="Y185" s="55">
        <f t="shared" si="138"/>
        <v>0</v>
      </c>
      <c r="Z185" s="55">
        <f t="shared" si="138"/>
        <v>0</v>
      </c>
      <c r="AA185" s="55">
        <f t="shared" si="138"/>
        <v>0</v>
      </c>
      <c r="AB185" s="55">
        <f t="shared" si="138"/>
        <v>0</v>
      </c>
      <c r="AC185" s="55">
        <f t="shared" si="138"/>
        <v>0</v>
      </c>
      <c r="AD185" s="55">
        <f t="shared" si="138"/>
        <v>0</v>
      </c>
      <c r="AE185" s="82">
        <f t="shared" si="133"/>
        <v>0</v>
      </c>
    </row>
    <row r="186" spans="1:31" ht="18" hidden="1" customHeight="1">
      <c r="A186" s="86" t="s">
        <v>327</v>
      </c>
      <c r="B186" s="51"/>
      <c r="C186" s="677"/>
      <c r="D186" s="845">
        <f>C186*$C$185*$C$172</f>
        <v>0</v>
      </c>
      <c r="E186" s="678"/>
      <c r="F186" s="681"/>
      <c r="G186" s="681"/>
      <c r="H186" s="681"/>
      <c r="I186" s="681"/>
      <c r="J186" s="681"/>
      <c r="K186" s="681"/>
      <c r="L186" s="681"/>
      <c r="M186" s="681"/>
      <c r="N186" s="681"/>
      <c r="O186" s="681"/>
      <c r="P186" s="681"/>
      <c r="Q186" s="681"/>
      <c r="R186" s="681"/>
      <c r="S186" s="681"/>
      <c r="T186" s="681"/>
      <c r="U186" s="681"/>
      <c r="V186" s="681"/>
      <c r="W186" s="681"/>
      <c r="X186" s="681"/>
      <c r="Y186" s="681"/>
      <c r="Z186" s="681"/>
      <c r="AA186" s="681"/>
      <c r="AB186" s="681"/>
      <c r="AC186" s="681"/>
      <c r="AD186" s="681"/>
      <c r="AE186" s="82">
        <f t="shared" si="133"/>
        <v>0</v>
      </c>
    </row>
    <row r="187" spans="1:31" ht="18" hidden="1" customHeight="1">
      <c r="A187" s="86" t="s">
        <v>328</v>
      </c>
      <c r="B187" s="51"/>
      <c r="C187" s="677"/>
      <c r="D187" s="845">
        <f t="shared" ref="D187:D189" si="139">C187*$C$185*$C$172</f>
        <v>0</v>
      </c>
      <c r="E187" s="678"/>
      <c r="F187" s="681"/>
      <c r="G187" s="681"/>
      <c r="H187" s="681"/>
      <c r="I187" s="681"/>
      <c r="J187" s="681"/>
      <c r="K187" s="681"/>
      <c r="L187" s="681"/>
      <c r="M187" s="681"/>
      <c r="N187" s="681"/>
      <c r="O187" s="681"/>
      <c r="P187" s="681"/>
      <c r="Q187" s="681"/>
      <c r="R187" s="681"/>
      <c r="S187" s="681"/>
      <c r="T187" s="681"/>
      <c r="U187" s="681"/>
      <c r="V187" s="681"/>
      <c r="W187" s="681"/>
      <c r="X187" s="681"/>
      <c r="Y187" s="681"/>
      <c r="Z187" s="681"/>
      <c r="AA187" s="681"/>
      <c r="AB187" s="681"/>
      <c r="AC187" s="681"/>
      <c r="AD187" s="681"/>
      <c r="AE187" s="82">
        <f t="shared" si="133"/>
        <v>0</v>
      </c>
    </row>
    <row r="188" spans="1:31" ht="18" hidden="1" customHeight="1">
      <c r="A188" s="86" t="s">
        <v>329</v>
      </c>
      <c r="B188" s="51"/>
      <c r="C188" s="677"/>
      <c r="D188" s="845">
        <f t="shared" si="139"/>
        <v>0</v>
      </c>
      <c r="E188" s="678"/>
      <c r="F188" s="681"/>
      <c r="G188" s="681"/>
      <c r="H188" s="681"/>
      <c r="I188" s="681"/>
      <c r="J188" s="681"/>
      <c r="K188" s="681"/>
      <c r="L188" s="681"/>
      <c r="M188" s="681"/>
      <c r="N188" s="681"/>
      <c r="O188" s="681"/>
      <c r="P188" s="681"/>
      <c r="Q188" s="681"/>
      <c r="R188" s="681"/>
      <c r="S188" s="681"/>
      <c r="T188" s="681"/>
      <c r="U188" s="681"/>
      <c r="V188" s="681"/>
      <c r="W188" s="681"/>
      <c r="X188" s="681"/>
      <c r="Y188" s="681"/>
      <c r="Z188" s="681"/>
      <c r="AA188" s="681"/>
      <c r="AB188" s="681"/>
      <c r="AC188" s="681"/>
      <c r="AD188" s="681"/>
      <c r="AE188" s="82">
        <f t="shared" si="133"/>
        <v>0</v>
      </c>
    </row>
    <row r="189" spans="1:31" ht="18" hidden="1" customHeight="1">
      <c r="A189" s="86" t="s">
        <v>330</v>
      </c>
      <c r="B189" s="51"/>
      <c r="C189" s="677"/>
      <c r="D189" s="845">
        <f t="shared" si="139"/>
        <v>0</v>
      </c>
      <c r="E189" s="678"/>
      <c r="F189" s="681"/>
      <c r="G189" s="681"/>
      <c r="H189" s="681"/>
      <c r="I189" s="681"/>
      <c r="J189" s="681"/>
      <c r="K189" s="681"/>
      <c r="L189" s="681"/>
      <c r="M189" s="681"/>
      <c r="N189" s="681"/>
      <c r="O189" s="681"/>
      <c r="P189" s="681"/>
      <c r="Q189" s="681"/>
      <c r="R189" s="681"/>
      <c r="S189" s="681"/>
      <c r="T189" s="681"/>
      <c r="U189" s="681"/>
      <c r="V189" s="681"/>
      <c r="W189" s="681"/>
      <c r="X189" s="681"/>
      <c r="Y189" s="681"/>
      <c r="Z189" s="681"/>
      <c r="AA189" s="681"/>
      <c r="AB189" s="681"/>
      <c r="AC189" s="681"/>
      <c r="AD189" s="681"/>
      <c r="AE189" s="82">
        <f t="shared" si="133"/>
        <v>0</v>
      </c>
    </row>
    <row r="190" spans="1:31" ht="18" hidden="1" customHeight="1">
      <c r="A190" s="86" t="s">
        <v>331</v>
      </c>
      <c r="B190" s="51"/>
      <c r="C190" s="677"/>
      <c r="D190" s="845">
        <f>C190*$C$185*$C$172</f>
        <v>0</v>
      </c>
      <c r="E190" s="678"/>
      <c r="F190" s="681"/>
      <c r="G190" s="681"/>
      <c r="H190" s="681"/>
      <c r="I190" s="681"/>
      <c r="J190" s="681"/>
      <c r="K190" s="681"/>
      <c r="L190" s="681"/>
      <c r="M190" s="681"/>
      <c r="N190" s="681"/>
      <c r="O190" s="681"/>
      <c r="P190" s="681"/>
      <c r="Q190" s="681"/>
      <c r="R190" s="681"/>
      <c r="S190" s="681"/>
      <c r="T190" s="681"/>
      <c r="U190" s="681"/>
      <c r="V190" s="681"/>
      <c r="W190" s="681"/>
      <c r="X190" s="681"/>
      <c r="Y190" s="681"/>
      <c r="Z190" s="681"/>
      <c r="AA190" s="681"/>
      <c r="AB190" s="681"/>
      <c r="AC190" s="681"/>
      <c r="AD190" s="681"/>
      <c r="AE190" s="82">
        <f t="shared" si="133"/>
        <v>0</v>
      </c>
    </row>
    <row r="191" spans="1:31" ht="18" hidden="1" customHeight="1">
      <c r="A191" s="85" t="s">
        <v>332</v>
      </c>
      <c r="B191" s="34"/>
      <c r="C191" s="35"/>
      <c r="D191" s="847"/>
      <c r="E191" s="36"/>
      <c r="F191" s="55"/>
      <c r="G191" s="55">
        <f>SUM(G192:G196)</f>
        <v>0</v>
      </c>
      <c r="H191" s="55">
        <f>SUM(H192:H196)</f>
        <v>0</v>
      </c>
      <c r="I191" s="55">
        <f t="shared" ref="I191" si="140">SUM(I192:I196)</f>
        <v>0</v>
      </c>
      <c r="J191" s="55">
        <f>SUM(J192:J196)</f>
        <v>0</v>
      </c>
      <c r="K191" s="55">
        <f t="shared" ref="K191:AD191" si="141">SUM(K192:K196)</f>
        <v>0</v>
      </c>
      <c r="L191" s="55">
        <f t="shared" si="141"/>
        <v>0</v>
      </c>
      <c r="M191" s="55">
        <f t="shared" si="141"/>
        <v>0</v>
      </c>
      <c r="N191" s="55">
        <f t="shared" si="141"/>
        <v>0</v>
      </c>
      <c r="O191" s="55">
        <f t="shared" si="141"/>
        <v>0</v>
      </c>
      <c r="P191" s="55">
        <f t="shared" si="141"/>
        <v>0</v>
      </c>
      <c r="Q191" s="55">
        <f t="shared" si="141"/>
        <v>0</v>
      </c>
      <c r="R191" s="55">
        <f t="shared" si="141"/>
        <v>0</v>
      </c>
      <c r="S191" s="55">
        <f t="shared" si="141"/>
        <v>0</v>
      </c>
      <c r="T191" s="55">
        <f t="shared" si="141"/>
        <v>0</v>
      </c>
      <c r="U191" s="55">
        <f t="shared" si="141"/>
        <v>0</v>
      </c>
      <c r="V191" s="55">
        <f t="shared" si="141"/>
        <v>0</v>
      </c>
      <c r="W191" s="55">
        <f t="shared" si="141"/>
        <v>0</v>
      </c>
      <c r="X191" s="55">
        <f t="shared" si="141"/>
        <v>0</v>
      </c>
      <c r="Y191" s="55">
        <f t="shared" si="141"/>
        <v>0</v>
      </c>
      <c r="Z191" s="55">
        <f t="shared" si="141"/>
        <v>0</v>
      </c>
      <c r="AA191" s="55">
        <f t="shared" si="141"/>
        <v>0</v>
      </c>
      <c r="AB191" s="55">
        <f t="shared" si="141"/>
        <v>0</v>
      </c>
      <c r="AC191" s="55">
        <f t="shared" si="141"/>
        <v>0</v>
      </c>
      <c r="AD191" s="55">
        <f t="shared" si="141"/>
        <v>0</v>
      </c>
      <c r="AE191" s="82">
        <f t="shared" si="133"/>
        <v>0</v>
      </c>
    </row>
    <row r="192" spans="1:31" ht="18" hidden="1" customHeight="1">
      <c r="A192" s="86" t="s">
        <v>333</v>
      </c>
      <c r="B192" s="51"/>
      <c r="C192" s="677"/>
      <c r="D192" s="845">
        <f>C192*$C$191*$C$172</f>
        <v>0</v>
      </c>
      <c r="E192" s="678"/>
      <c r="F192" s="681"/>
      <c r="G192" s="681"/>
      <c r="H192" s="681"/>
      <c r="I192" s="681"/>
      <c r="J192" s="681"/>
      <c r="K192" s="681"/>
      <c r="L192" s="681"/>
      <c r="M192" s="681"/>
      <c r="N192" s="681"/>
      <c r="O192" s="681"/>
      <c r="P192" s="681"/>
      <c r="Q192" s="681"/>
      <c r="R192" s="681"/>
      <c r="S192" s="681"/>
      <c r="T192" s="681"/>
      <c r="U192" s="681"/>
      <c r="V192" s="681"/>
      <c r="W192" s="681"/>
      <c r="X192" s="681"/>
      <c r="Y192" s="681"/>
      <c r="Z192" s="681"/>
      <c r="AA192" s="681"/>
      <c r="AB192" s="681"/>
      <c r="AC192" s="681"/>
      <c r="AD192" s="681"/>
      <c r="AE192" s="82">
        <f t="shared" si="133"/>
        <v>0</v>
      </c>
    </row>
    <row r="193" spans="1:31" ht="18" hidden="1" customHeight="1">
      <c r="A193" s="86" t="s">
        <v>334</v>
      </c>
      <c r="B193" s="51"/>
      <c r="C193" s="677"/>
      <c r="D193" s="845">
        <f t="shared" ref="D193:D194" si="142">C193*$C$191*$C$172</f>
        <v>0</v>
      </c>
      <c r="E193" s="678"/>
      <c r="F193" s="681"/>
      <c r="G193" s="681"/>
      <c r="H193" s="681"/>
      <c r="I193" s="681"/>
      <c r="J193" s="681"/>
      <c r="K193" s="681"/>
      <c r="L193" s="681"/>
      <c r="M193" s="681"/>
      <c r="N193" s="681"/>
      <c r="O193" s="681"/>
      <c r="P193" s="681"/>
      <c r="Q193" s="681"/>
      <c r="R193" s="681"/>
      <c r="S193" s="681"/>
      <c r="T193" s="681"/>
      <c r="U193" s="681"/>
      <c r="V193" s="681"/>
      <c r="W193" s="681"/>
      <c r="X193" s="681"/>
      <c r="Y193" s="681"/>
      <c r="Z193" s="681"/>
      <c r="AA193" s="681"/>
      <c r="AB193" s="681"/>
      <c r="AC193" s="681"/>
      <c r="AD193" s="681"/>
      <c r="AE193" s="82">
        <f t="shared" si="133"/>
        <v>0</v>
      </c>
    </row>
    <row r="194" spans="1:31" ht="18" hidden="1" customHeight="1">
      <c r="A194" s="86" t="s">
        <v>335</v>
      </c>
      <c r="B194" s="51"/>
      <c r="C194" s="677"/>
      <c r="D194" s="845">
        <f t="shared" si="142"/>
        <v>0</v>
      </c>
      <c r="E194" s="678"/>
      <c r="F194" s="681"/>
      <c r="G194" s="681"/>
      <c r="H194" s="681"/>
      <c r="I194" s="681"/>
      <c r="J194" s="681"/>
      <c r="K194" s="681"/>
      <c r="L194" s="681"/>
      <c r="M194" s="681"/>
      <c r="N194" s="681"/>
      <c r="O194" s="681"/>
      <c r="P194" s="681"/>
      <c r="Q194" s="681"/>
      <c r="R194" s="681"/>
      <c r="S194" s="681"/>
      <c r="T194" s="681"/>
      <c r="U194" s="681"/>
      <c r="V194" s="681"/>
      <c r="W194" s="681"/>
      <c r="X194" s="681"/>
      <c r="Y194" s="681"/>
      <c r="Z194" s="681"/>
      <c r="AA194" s="681"/>
      <c r="AB194" s="681"/>
      <c r="AC194" s="681"/>
      <c r="AD194" s="681"/>
      <c r="AE194" s="82">
        <f t="shared" si="133"/>
        <v>0</v>
      </c>
    </row>
    <row r="195" spans="1:31" ht="18" hidden="1" customHeight="1">
      <c r="A195" s="86" t="s">
        <v>336</v>
      </c>
      <c r="B195" s="51"/>
      <c r="C195" s="677"/>
      <c r="D195" s="845">
        <f>C195*$C$191*$C$172</f>
        <v>0</v>
      </c>
      <c r="E195" s="678"/>
      <c r="F195" s="681"/>
      <c r="G195" s="681"/>
      <c r="H195" s="681"/>
      <c r="I195" s="681"/>
      <c r="J195" s="681"/>
      <c r="K195" s="681"/>
      <c r="L195" s="681"/>
      <c r="M195" s="681"/>
      <c r="N195" s="681"/>
      <c r="O195" s="681"/>
      <c r="P195" s="681"/>
      <c r="Q195" s="681"/>
      <c r="R195" s="681"/>
      <c r="S195" s="681"/>
      <c r="T195" s="681"/>
      <c r="U195" s="681"/>
      <c r="V195" s="681"/>
      <c r="W195" s="681"/>
      <c r="X195" s="681"/>
      <c r="Y195" s="681"/>
      <c r="Z195" s="681"/>
      <c r="AA195" s="681"/>
      <c r="AB195" s="681"/>
      <c r="AC195" s="681"/>
      <c r="AD195" s="681"/>
      <c r="AE195" s="82">
        <f t="shared" si="133"/>
        <v>0</v>
      </c>
    </row>
    <row r="196" spans="1:31" ht="18" hidden="1" customHeight="1">
      <c r="A196" s="86" t="s">
        <v>337</v>
      </c>
      <c r="B196" s="51"/>
      <c r="C196" s="677"/>
      <c r="D196" s="845">
        <f>C196*$C$191*$C$172</f>
        <v>0</v>
      </c>
      <c r="E196" s="678"/>
      <c r="F196" s="681"/>
      <c r="G196" s="681"/>
      <c r="H196" s="681"/>
      <c r="I196" s="681"/>
      <c r="J196" s="681"/>
      <c r="K196" s="681"/>
      <c r="L196" s="681"/>
      <c r="M196" s="681"/>
      <c r="N196" s="681"/>
      <c r="O196" s="681"/>
      <c r="P196" s="681"/>
      <c r="Q196" s="681"/>
      <c r="R196" s="681"/>
      <c r="S196" s="681"/>
      <c r="T196" s="681"/>
      <c r="U196" s="681"/>
      <c r="V196" s="681"/>
      <c r="W196" s="681"/>
      <c r="X196" s="681"/>
      <c r="Y196" s="681"/>
      <c r="Z196" s="681"/>
      <c r="AA196" s="681"/>
      <c r="AB196" s="681"/>
      <c r="AC196" s="681"/>
      <c r="AD196" s="681"/>
      <c r="AE196" s="82">
        <f t="shared" si="133"/>
        <v>0</v>
      </c>
    </row>
    <row r="197" spans="1:31" ht="18" hidden="1" customHeight="1">
      <c r="A197" s="85" t="s">
        <v>338</v>
      </c>
      <c r="B197" s="34"/>
      <c r="C197" s="35"/>
      <c r="D197" s="847"/>
      <c r="E197" s="36"/>
      <c r="F197" s="55"/>
      <c r="G197" s="55">
        <f>SUM(G198:G202)</f>
        <v>0</v>
      </c>
      <c r="H197" s="55">
        <f>SUM(H198:H202)</f>
        <v>0</v>
      </c>
      <c r="I197" s="55">
        <f t="shared" ref="I197" si="143">SUM(I198:I202)</f>
        <v>0</v>
      </c>
      <c r="J197" s="55">
        <f>SUM(J198:J202)</f>
        <v>0</v>
      </c>
      <c r="K197" s="55">
        <f t="shared" ref="K197:AD197" si="144">SUM(K198:K202)</f>
        <v>0</v>
      </c>
      <c r="L197" s="55">
        <f t="shared" si="144"/>
        <v>0</v>
      </c>
      <c r="M197" s="55">
        <f t="shared" si="144"/>
        <v>0</v>
      </c>
      <c r="N197" s="55">
        <f t="shared" si="144"/>
        <v>0</v>
      </c>
      <c r="O197" s="55">
        <f t="shared" si="144"/>
        <v>0</v>
      </c>
      <c r="P197" s="55">
        <f t="shared" si="144"/>
        <v>0</v>
      </c>
      <c r="Q197" s="55">
        <f t="shared" si="144"/>
        <v>0</v>
      </c>
      <c r="R197" s="55">
        <f t="shared" si="144"/>
        <v>0</v>
      </c>
      <c r="S197" s="55">
        <f t="shared" si="144"/>
        <v>0</v>
      </c>
      <c r="T197" s="55">
        <f t="shared" si="144"/>
        <v>0</v>
      </c>
      <c r="U197" s="55">
        <f t="shared" si="144"/>
        <v>0</v>
      </c>
      <c r="V197" s="55">
        <f t="shared" si="144"/>
        <v>0</v>
      </c>
      <c r="W197" s="55">
        <f t="shared" si="144"/>
        <v>0</v>
      </c>
      <c r="X197" s="55">
        <f t="shared" si="144"/>
        <v>0</v>
      </c>
      <c r="Y197" s="55">
        <f t="shared" si="144"/>
        <v>0</v>
      </c>
      <c r="Z197" s="55">
        <f t="shared" si="144"/>
        <v>0</v>
      </c>
      <c r="AA197" s="55">
        <f t="shared" si="144"/>
        <v>0</v>
      </c>
      <c r="AB197" s="55">
        <f t="shared" si="144"/>
        <v>0</v>
      </c>
      <c r="AC197" s="55">
        <f t="shared" si="144"/>
        <v>0</v>
      </c>
      <c r="AD197" s="55">
        <f t="shared" si="144"/>
        <v>0</v>
      </c>
      <c r="AE197" s="82">
        <f t="shared" si="133"/>
        <v>0</v>
      </c>
    </row>
    <row r="198" spans="1:31" ht="18" hidden="1" customHeight="1">
      <c r="A198" s="86" t="s">
        <v>339</v>
      </c>
      <c r="B198" s="51"/>
      <c r="C198" s="677"/>
      <c r="D198" s="845">
        <f>C198*$C$197*$C$172</f>
        <v>0</v>
      </c>
      <c r="E198" s="678"/>
      <c r="F198" s="681"/>
      <c r="G198" s="681"/>
      <c r="H198" s="681"/>
      <c r="I198" s="681"/>
      <c r="J198" s="681"/>
      <c r="K198" s="681"/>
      <c r="L198" s="681"/>
      <c r="M198" s="681"/>
      <c r="N198" s="681"/>
      <c r="O198" s="681"/>
      <c r="P198" s="681"/>
      <c r="Q198" s="681"/>
      <c r="R198" s="681"/>
      <c r="S198" s="681"/>
      <c r="T198" s="681"/>
      <c r="U198" s="681"/>
      <c r="V198" s="681"/>
      <c r="W198" s="681"/>
      <c r="X198" s="681"/>
      <c r="Y198" s="681"/>
      <c r="Z198" s="681"/>
      <c r="AA198" s="681"/>
      <c r="AB198" s="681"/>
      <c r="AC198" s="681"/>
      <c r="AD198" s="681"/>
      <c r="AE198" s="82">
        <f t="shared" si="133"/>
        <v>0</v>
      </c>
    </row>
    <row r="199" spans="1:31" ht="18" hidden="1" customHeight="1">
      <c r="A199" s="86" t="s">
        <v>340</v>
      </c>
      <c r="B199" s="51"/>
      <c r="C199" s="677"/>
      <c r="D199" s="845">
        <f t="shared" ref="D199:D202" si="145">C199*$C$197*$C$172</f>
        <v>0</v>
      </c>
      <c r="E199" s="678"/>
      <c r="F199" s="681"/>
      <c r="G199" s="681"/>
      <c r="H199" s="681"/>
      <c r="I199" s="681"/>
      <c r="J199" s="681"/>
      <c r="K199" s="681"/>
      <c r="L199" s="681"/>
      <c r="M199" s="681"/>
      <c r="N199" s="681"/>
      <c r="O199" s="681"/>
      <c r="P199" s="681"/>
      <c r="Q199" s="681"/>
      <c r="R199" s="681"/>
      <c r="S199" s="681"/>
      <c r="T199" s="681"/>
      <c r="U199" s="681"/>
      <c r="V199" s="681"/>
      <c r="W199" s="681"/>
      <c r="X199" s="681"/>
      <c r="Y199" s="681"/>
      <c r="Z199" s="681"/>
      <c r="AA199" s="681"/>
      <c r="AB199" s="681"/>
      <c r="AC199" s="681"/>
      <c r="AD199" s="681"/>
      <c r="AE199" s="82">
        <f t="shared" si="133"/>
        <v>0</v>
      </c>
    </row>
    <row r="200" spans="1:31" ht="18" hidden="1" customHeight="1">
      <c r="A200" s="86" t="s">
        <v>341</v>
      </c>
      <c r="B200" s="51"/>
      <c r="C200" s="677"/>
      <c r="D200" s="845">
        <f t="shared" si="145"/>
        <v>0</v>
      </c>
      <c r="E200" s="678"/>
      <c r="F200" s="681"/>
      <c r="G200" s="681"/>
      <c r="H200" s="681"/>
      <c r="I200" s="681"/>
      <c r="J200" s="681"/>
      <c r="K200" s="681"/>
      <c r="L200" s="681"/>
      <c r="M200" s="681"/>
      <c r="N200" s="681"/>
      <c r="O200" s="681"/>
      <c r="P200" s="681"/>
      <c r="Q200" s="681"/>
      <c r="R200" s="681"/>
      <c r="S200" s="681"/>
      <c r="T200" s="681"/>
      <c r="U200" s="681"/>
      <c r="V200" s="681"/>
      <c r="W200" s="681"/>
      <c r="X200" s="681"/>
      <c r="Y200" s="681"/>
      <c r="Z200" s="681"/>
      <c r="AA200" s="681"/>
      <c r="AB200" s="681"/>
      <c r="AC200" s="681"/>
      <c r="AD200" s="681"/>
      <c r="AE200" s="82">
        <f t="shared" si="133"/>
        <v>0</v>
      </c>
    </row>
    <row r="201" spans="1:31" ht="18" hidden="1" customHeight="1">
      <c r="A201" s="86" t="s">
        <v>342</v>
      </c>
      <c r="B201" s="51"/>
      <c r="C201" s="677"/>
      <c r="D201" s="845">
        <f>C201*$C$197*$C$172</f>
        <v>0</v>
      </c>
      <c r="E201" s="678"/>
      <c r="F201" s="681"/>
      <c r="G201" s="681"/>
      <c r="H201" s="681"/>
      <c r="I201" s="681"/>
      <c r="J201" s="681"/>
      <c r="K201" s="681"/>
      <c r="L201" s="681"/>
      <c r="M201" s="681"/>
      <c r="N201" s="681"/>
      <c r="O201" s="681"/>
      <c r="P201" s="681"/>
      <c r="Q201" s="681"/>
      <c r="R201" s="681"/>
      <c r="S201" s="681"/>
      <c r="T201" s="681"/>
      <c r="U201" s="681"/>
      <c r="V201" s="681"/>
      <c r="W201" s="681"/>
      <c r="X201" s="681"/>
      <c r="Y201" s="681"/>
      <c r="Z201" s="681"/>
      <c r="AA201" s="681"/>
      <c r="AB201" s="681"/>
      <c r="AC201" s="681"/>
      <c r="AD201" s="681"/>
      <c r="AE201" s="82">
        <f t="shared" si="133"/>
        <v>0</v>
      </c>
    </row>
    <row r="202" spans="1:31" ht="18" hidden="1" customHeight="1">
      <c r="A202" s="86" t="s">
        <v>343</v>
      </c>
      <c r="B202" s="51"/>
      <c r="C202" s="677"/>
      <c r="D202" s="845">
        <f t="shared" si="145"/>
        <v>0</v>
      </c>
      <c r="E202" s="678"/>
      <c r="F202" s="681"/>
      <c r="G202" s="681"/>
      <c r="H202" s="681"/>
      <c r="I202" s="681"/>
      <c r="J202" s="681"/>
      <c r="K202" s="681"/>
      <c r="L202" s="681"/>
      <c r="M202" s="681"/>
      <c r="N202" s="681"/>
      <c r="O202" s="681"/>
      <c r="P202" s="681"/>
      <c r="Q202" s="681"/>
      <c r="R202" s="681"/>
      <c r="S202" s="681"/>
      <c r="T202" s="681"/>
      <c r="U202" s="681"/>
      <c r="V202" s="681"/>
      <c r="W202" s="681"/>
      <c r="X202" s="681"/>
      <c r="Y202" s="681"/>
      <c r="Z202" s="681"/>
      <c r="AA202" s="681"/>
      <c r="AB202" s="681"/>
      <c r="AC202" s="681"/>
      <c r="AD202" s="681"/>
      <c r="AE202" s="82">
        <f t="shared" si="133"/>
        <v>0</v>
      </c>
    </row>
    <row r="203" spans="1:31" ht="18" customHeight="1">
      <c r="A203" s="1003" t="s">
        <v>344</v>
      </c>
      <c r="B203" s="1004"/>
      <c r="C203" s="1004"/>
      <c r="D203" s="1004"/>
      <c r="E203" s="1004"/>
      <c r="F203" s="1004"/>
      <c r="G203" s="844">
        <f>(IFERROR(((G19/$F$19)*$D$19),0)+(IFERROR(((G20/$F$20)*$D$20),0)))+(IFERROR(((G21/$F$21)*D21),0))+(IFERROR(((G22/$F$22)*$D$22),0))+(IFERROR(((G23/$F$23)*$D$23),0))+(IFERROR(((G25/$F$25)*$D$25),0))+(IFERROR(((G26/$F$26)*$D$26),0))+(IFERROR(((G27/$F$27)*$D$27),0))+(IFERROR(((G28/$F$28)*$D$28),0))+(IFERROR(((G29/$F$29)*$D$29),0))+(IFERROR(((G31/$F$31)*$D$31),0))+(IFERROR(((G32/$F$32)*$D$32),0))+(IFERROR(((G33/$F$33)*$D$33),0))+(IFERROR(((G34/$F$34)*$D$34),0))+(IFERROR(((G35/$F$35)*$D$35),0))+(IFERROR(((G37/$F$37)*$D$37),0))+(IFERROR(((G38/$F$38)*$D$38),0))+(IFERROR(((G39/$F$39)*$D$39),0))+(IFERROR(((G40/$F$40)*$D$40),0))+(IFERROR(((G41/$F$41)*$D$41),0))+(IFERROR(((G43/$F$43)*$D$43),0))+(IFERROR(((G44/$F$44)*$D$44),0))+(IFERROR(((G45/$F$45)*$D$45),0))+(IFERROR(((G46/$F$46)*$D$46),0))+(IFERROR(((G47/$F$47)*$D$47),0))+(IFERROR(((G50/$F$50)*$D$50),0))+(IFERROR(((G51/$F$51)*$D$51),0))+(IFERROR(((G52/$F$52)*$D$52),0))+(IFERROR(((G53/$F$53)*$D$53),0))+(IFERROR(((G54/$F$54)*$D$54),0))+(IFERROR(((G56/$F$56)*$D$56),0))+(IFERROR(((G57/$F$57)*$D$57),0))+(IFERROR(((G58/$F$58)*$D$58),0))+(IFERROR(((G59/$F$59)*$D$59),0))+(IFERROR(((G60/$F$60)*$D$60),0))+(IFERROR(((G62/$F$62)*$D$62),0))+(IFERROR(((G63/$F$63)*$D$63),0))+(IFERROR(((G64/$F$64)*$D$64),0))+(IFERROR(((G65/$F$65)*$D$65),0))+(IFERROR(((G66/$F$66)*$D$66),0))+(IFERROR(((G68/$F$68)*$D$68),0))+(IFERROR(((G69/$F$69)*$D$69),0))+(IFERROR(((G70/$F$70)*$D$70),0))+(IFERROR(((G71/$F$71)*$D$71),0))+(IFERROR(((G72/$F$72)*$D$72),0))+(IFERROR(((G74/$F$74)*$D$74),0))+(IFERROR(((G75/$F$75)*$D$75),0))+(IFERROR(((G76/$F$76)*$D$76),0))+(IFERROR(((G77/$F$77)*$D$77),0))+(IFERROR(((G78/$F$78)*$D$78),0))+(IFERROR(((G81/$F$81)*$D$81),0))+(IFERROR(((G82/$F$82)*$D$82),0))+(IFERROR(((G83/$F$83)*$D$83),0))+(IFERROR(((G84/$F$84)*$D$84),0))+(IFERROR(((G85/$F$85)*$D$85),0))+(IFERROR(((G87/$F$87)*$D$87),0))+(IFERROR(((G88/$F$88)*$D$88),0))+(IFERROR(((G89/$F$89)*$D$89),0))+(IFERROR(((G90/$F$90)*$D$90),0))+(IFERROR(((G91/$F$91)*$D$91),0))+(IFERROR(((G93/$F$93)*$D$93),0))+(IFERROR(((G94/$F$94)*$D$94),0))+(IFERROR(((G95/$F$95)*$D$95),0))+(IFERROR(((G96/$F$96)*$D$96),0))+(IFERROR(((G97/$F$97)*$D$97),0))+(IFERROR(((G99/$F$99)*$D$99),0))+(IFERROR(((G100/$F$100)*$D$100),0))+(IFERROR(((G101/$F$101)*$D$101),0))+(IFERROR(((G102/$F$102)*$D$102),0))+(IFERROR(((G103/$F$103)*$D$103),0))+(IFERROR(((G105/$F$105)*$D$105),0))+(IFERROR(((G106/$F$106)*$D$106),0))+(IFERROR(((G107/$F$107)*$D$107),0))+(IFERROR(((G108/$F$108)*$D$108),0))+(IFERROR(((G109/$F$109)*$D$109),0))+(IFERROR(((G112/$F$112)*$D$112),0))+(IFERROR(((G113/$F$113)*$D$113),0))+(IFERROR(((G114/$F$114)*$D$114),0))+(IFERROR(((G115/$F$115)*$D$115),0))+(IFERROR(((G116/$F$116)*$D$116),0))+(IFERROR(((G118/$F$118)*$D$118),0))+(IFERROR(((G119/$F$119)*$D$119),0))+(IFERROR(((G120/$F$120)*$D$120),0))+(IFERROR(((G121/$F$121)*$D$121),0))+(IFERROR(((G122/$F$122)*$D$122),0))+(IFERROR(((G124/$F$124)*$D$124),0))+(IFERROR(((G125/$F$125)*$D$125),0))+(IFERROR(((G126/$F$126)*$D$126),0))+(IFERROR(((G127/$F$127)*$D$127),0))+(IFERROR(((G128/$F$128)*$D$128),0))+(IFERROR(((G130/$F$130)*$D$130),0))+(IFERROR(((G131/$F$131)*$D$131),0))+(IFERROR(((G132/$F$132)*$D$132),0))+(IFERROR(((G133/$F$133)*$D$133),0))+(IFERROR(((G134/$F$134)*$D$134),0))+(IFERROR(((G136/$F$136)*$D$136),0))+(IFERROR(((G137/$F$137)*$D$137),0))+(IFERROR(((G138/$F$138)*$D$138),0))+(IFERROR(((G139/$F$139)*$D$139),0))+(IFERROR(((G140/$F$140)*$D$140),0))+(IFERROR(((G143/$F$143)*$D$143),0))+(IFERROR(((G144/$F$144)*$D$144),0))+(IFERROR(((G145/$F$145)*$D$145),0))+(IFERROR(((G146/$F$146)*$D$146),0))+(IFERROR(((G147/$F$147)*$D$147),0))+(IFERROR(((G149/$F$149)*$D$149),0))+(IFERROR(((G150/$F$150)*$D$150),0))+(IFERROR(((G151/$F$151)*$D$151),0))+(IFERROR(((G152/$F$152)*$D$152),0))+(IFERROR(((G153/$F$153)*$D$153),0))+(IFERROR(((G155/$F$155)*$D$155),0))+(IFERROR(((G156/$F$156)*$D$156),0))+(IFERROR(((G157/$F$157)*$D$157),0))+(IFERROR(((G158/$F$158)*$D$158),0))+(IFERROR(((G159/$F$159)*$D$159),0))+(IFERROR(((G161/$F$161)*$D$161),0))+(IFERROR(((G162/F162)*D162),0))+(IFERROR(((G163/$F$163)*$D$163),0))+(IFERROR(((G164/$F$164)*$D$164),0))+(IFERROR(((G165/$F$165)*$D$165),0))+(IFERROR(((G167/$F$167)*$D$167),0))+(IFERROR(((G168/$F$168)*$D$168),0))+(IFERROR(((G169/$F$169)*$D$169),0))+(IFERROR(((G170/$F$170)*$D$170),0))+(IFERROR(((G171/$F$171)*$D$171),0))+(IFERROR(((G174/$F$174)*$D$174),0))+(IFERROR(((G175/$F$175)*$D$175),0))+(IFERROR(((G176/$F$176)*$D$176),0))+(IFERROR(((G177/$F$177)*$D$177),0))+(IFERROR(((G178/$F$178)*$D$178),0))+(IFERROR(((G180/$F$180)*$D$180),0))+(IFERROR(((G181/$F$181)*$D$181),0))+(IFERROR(((G182/$F$182)*$D$182),0))+(IFERROR(((G183/$F$183)*$D$183),0))+(IFERROR(((G184/$F$184)*$D$184),0))+(IFERROR(((G186/$F$186)*$D$186),0))+(IFERROR(((G187/$F$187)*$D$187),0))+(IFERROR(((G188/$F$188)*$D$188),0))+(IFERROR(((G189/$F$189)*$D$189),0))+(IFERROR(((G190/$F$190)*$D$190),0))+(IFERROR(((G192/$F$192)*$D$192),0))+(IFERROR(((G193/$F$193)*$D$193),0))+(IFERROR(((G194/$F$194)*$D$194),0))+(IFERROR(((G195/$F$195)*$D$195),0))+(IFERROR(((G196/$F$196)*$D$196),0))+(IFERROR(((G198/$F$198)*$D$198),0))+(IFERROR(((G199/$F$199)*$D$199),0))+(IFERROR(((G200/$F$200)*$D$200),0))+(IFERROR(((G201/$F$201)*$D$201),0))+(IFERROR(((G202/$F$202)*$D$202),0))</f>
        <v>0.25</v>
      </c>
      <c r="H203" s="844">
        <f t="shared" ref="H203:AD203" si="146">(IFERROR(((H19/$F$19)*$D$19),0)+(IFERROR(((H20/$F$20)*$D$20),0)))+(IFERROR(((H21/$F$21)*E21),0))+(IFERROR(((H22/$F$22)*$D$22),0))+(IFERROR(((H23/$F$23)*$D$23),0))+(IFERROR(((H25/$F$25)*$D$25),0))+(IFERROR(((H26/$F$26)*$D$26),0))+(IFERROR(((H27/$F$27)*$D$27),0))+(IFERROR(((H28/$F$28)*$D$28),0))+(IFERROR(((H29/$F$29)*$D$29),0))+(IFERROR(((H31/$F$31)*$D$31),0))+(IFERROR(((H32/$F$32)*$D$32),0))+(IFERROR(((H33/$F$33)*$D$33),0))+(IFERROR(((H34/$F$34)*$D$34),0))+(IFERROR(((H35/$F$35)*$D$35),0))+(IFERROR(((H37/$F$37)*$D$37),0))+(IFERROR(((H38/$F$38)*$D$38),0))+(IFERROR(((H39/$F$39)*$D$39),0))+(IFERROR(((H40/$F$40)*$D$40),0))+(IFERROR(((H41/$F$41)*$D$41),0))+(IFERROR(((H43/$F$43)*$D$43),0))+(IFERROR(((H44/$F$44)*$D$44),0))+(IFERROR(((H45/$F$45)*$D$45),0))+(IFERROR(((H46/$F$46)*$D$46),0))+(IFERROR(((H47/$F$47)*$D$47),0))+(IFERROR(((H50/$F$50)*$D$50),0))+(IFERROR(((H51/$F$51)*$D$51),0))+(IFERROR(((H52/$F$52)*$D$52),0))+(IFERROR(((H53/$F$53)*$D$53),0))+(IFERROR(((H54/$F$54)*$D$54),0))+(IFERROR(((H56/$F$56)*$D$56),0))+(IFERROR(((H57/$F$57)*$D$57),0))+(IFERROR(((H58/$F$58)*$D$58),0))+(IFERROR(((H59/$F$59)*$D$59),0))+(IFERROR(((H60/$F$60)*$D$60),0))+(IFERROR(((H62/$F$62)*$D$62),0))+(IFERROR(((H63/$F$63)*$D$63),0))+(IFERROR(((H64/$F$64)*$D$64),0))+(IFERROR(((H65/$F$65)*$D$65),0))+(IFERROR(((H66/$F$66)*$D$66),0))+(IFERROR(((H68/$F$68)*$D$68),0))+(IFERROR(((H69/$F$69)*$D$69),0))+(IFERROR(((H70/$F$70)*$D$70),0))+(IFERROR(((H71/$F$71)*$D$71),0))+(IFERROR(((H72/$F$72)*$D$72),0))+(IFERROR(((H74/$F$74)*$D$74),0))+(IFERROR(((H75/$F$75)*$D$75),0))+(IFERROR(((H76/$F$76)*$D$76),0))+(IFERROR(((H77/$F$77)*$D$77),0))+(IFERROR(((H78/$F$78)*$D$78),0))+(IFERROR(((H81/$F$81)*$D$81),0))+(IFERROR(((H82/$F$82)*$D$82),0))+(IFERROR(((H83/$F$83)*$D$83),0))+(IFERROR(((H84/$F$84)*$D$84),0))+(IFERROR(((H85/$F$85)*$D$85),0))+(IFERROR(((H87/$F$87)*$D$87),0))+(IFERROR(((H88/$F$88)*$D$88),0))+(IFERROR(((H89/$F$89)*$D$89),0))+(IFERROR(((H90/$F$90)*$D$90),0))+(IFERROR(((H91/$F$91)*$D$91),0))+(IFERROR(((H93/$F$93)*$D$93),0))+(IFERROR(((H94/$F$94)*$D$94),0))+(IFERROR(((H95/$F$95)*$D$95),0))+(IFERROR(((H96/$F$96)*$D$96),0))+(IFERROR(((H97/$F$97)*$D$97),0))+(IFERROR(((H99/$F$99)*$D$99),0))+(IFERROR(((H100/$F$100)*$D$100),0))+(IFERROR(((H101/$F$101)*$D$101),0))+(IFERROR(((H102/$F$102)*$D$102),0))+(IFERROR(((H103/$F$103)*$D$103),0))+(IFERROR(((H105/$F$105)*$D$105),0))+(IFERROR(((H106/$F$106)*$D$106),0))+(IFERROR(((H107/$F$107)*$D$107),0))+(IFERROR(((H108/$F$108)*$D$108),0))+(IFERROR(((H109/$F$109)*$D$109),0))+(IFERROR(((H112/$F$112)*$D$112),0))+(IFERROR(((H113/$F$113)*$D$113),0))+(IFERROR(((H114/$F$114)*$D$114),0))+(IFERROR(((H115/$F$115)*$D$115),0))+(IFERROR(((H116/$F$116)*$D$116),0))+(IFERROR(((H118/$F$118)*$D$118),0))+(IFERROR(((H119/$F$119)*$D$119),0))+(IFERROR(((H120/$F$120)*$D$120),0))+(IFERROR(((H121/$F$121)*$D$121),0))+(IFERROR(((H122/$F$122)*$D$122),0))+(IFERROR(((H124/$F$124)*$D$124),0))+(IFERROR(((H125/$F$125)*$D$125),0))+(IFERROR(((H126/$F$126)*$D$126),0))+(IFERROR(((H127/$F$127)*$D$127),0))+(IFERROR(((H128/$F$128)*$D$128),0))+(IFERROR(((H130/$F$130)*$D$130),0))+(IFERROR(((H131/$F$131)*$D$131),0))+(IFERROR(((H132/$F$132)*$D$132),0))+(IFERROR(((H133/$F$133)*$D$133),0))+(IFERROR(((H134/$F$134)*$D$134),0))+(IFERROR(((H136/$F$136)*$D$136),0))+(IFERROR(((H137/$F$137)*$D$137),0))+(IFERROR(((H138/$F$138)*$D$138),0))+(IFERROR(((H139/$F$139)*$D$139),0))+(IFERROR(((H140/$F$140)*$D$140),0))+(IFERROR(((H143/$F$143)*$D$143),0))+(IFERROR(((H144/$F$144)*$D$144),0))+(IFERROR(((H145/$F$145)*$D$145),0))+(IFERROR(((H146/$F$146)*$D$146),0))+(IFERROR(((H147/$F$147)*$D$147),0))+(IFERROR(((H149/$F$149)*$D$149),0))+(IFERROR(((H150/$F$150)*$D$150),0))+(IFERROR(((H151/$F$151)*$D$151),0))+(IFERROR(((H152/$F$152)*$D$152),0))+(IFERROR(((H153/$F$153)*$D$153),0))+(IFERROR(((H155/$F$155)*$D$155),0))+(IFERROR(((H156/$F$156)*$D$156),0))+(IFERROR(((H157/$F$157)*$D$157),0))+(IFERROR(((H158/$F$158)*$D$158),0))+(IFERROR(((H159/$F$159)*$D$159),0))+(IFERROR(((H161/$F$161)*$D$161),0))+(IFERROR(((H162/G162)*E162),0))+(IFERROR(((H163/$F$163)*$D$163),0))+(IFERROR(((H164/$F$164)*$D$164),0))+(IFERROR(((H165/$F$165)*$D$165),0))+(IFERROR(((H167/$F$167)*$D$167),0))+(IFERROR(((H168/$F$168)*$D$168),0))+(IFERROR(((H169/$F$169)*$D$169),0))+(IFERROR(((H170/$F$170)*$D$170),0))+(IFERROR(((H171/$F$171)*$D$171),0))+(IFERROR(((H174/$F$174)*$D$174),0))+(IFERROR(((H175/$F$175)*$D$175),0))+(IFERROR(((H176/$F$176)*$D$176),0))+(IFERROR(((H177/$F$177)*$D$177),0))+(IFERROR(((H178/$F$178)*$D$178),0))+(IFERROR(((H180/$F$180)*$D$180),0))+(IFERROR(((H181/$F$181)*$D$181),0))+(IFERROR(((H182/$F$182)*$D$182),0))+(IFERROR(((H183/$F$183)*$D$183),0))+(IFERROR(((H184/$F$184)*$D$184),0))+(IFERROR(((H186/$F$186)*$D$186),0))+(IFERROR(((H187/$F$187)*$D$187),0))+(IFERROR(((H188/$F$188)*$D$188),0))+(IFERROR(((H189/$F$189)*$D$189),0))+(IFERROR(((H190/$F$190)*$D$190),0))+(IFERROR(((H192/$F$192)*$D$192),0))+(IFERROR(((H193/$F$193)*$D$193),0))+(IFERROR(((H194/$F$194)*$D$194),0))+(IFERROR(((H195/$F$195)*$D$195),0))+(IFERROR(((H196/$F$196)*$D$196),0))+(IFERROR(((H198/$F$198)*$D$198),0))+(IFERROR(((H199/$F$199)*$D$199),0))+(IFERROR(((H200/$F$200)*$D$200),0))+(IFERROR(((H201/$F$201)*$D$201),0))+(IFERROR(((H202/$F$202)*$D$202),0))</f>
        <v>0.25</v>
      </c>
      <c r="I203" s="844">
        <f t="shared" si="146"/>
        <v>0.25</v>
      </c>
      <c r="J203" s="844">
        <f t="shared" si="146"/>
        <v>0.25</v>
      </c>
      <c r="K203" s="844">
        <f t="shared" si="146"/>
        <v>0</v>
      </c>
      <c r="L203" s="844">
        <f t="shared" si="146"/>
        <v>0</v>
      </c>
      <c r="M203" s="844">
        <f t="shared" si="146"/>
        <v>0</v>
      </c>
      <c r="N203" s="844">
        <f t="shared" si="146"/>
        <v>0</v>
      </c>
      <c r="O203" s="844">
        <f t="shared" si="146"/>
        <v>0</v>
      </c>
      <c r="P203" s="844">
        <f t="shared" si="146"/>
        <v>0</v>
      </c>
      <c r="Q203" s="844">
        <f t="shared" si="146"/>
        <v>0</v>
      </c>
      <c r="R203" s="844">
        <f t="shared" si="146"/>
        <v>0</v>
      </c>
      <c r="S203" s="844">
        <f t="shared" si="146"/>
        <v>0</v>
      </c>
      <c r="T203" s="844">
        <f t="shared" si="146"/>
        <v>0</v>
      </c>
      <c r="U203" s="844">
        <f t="shared" si="146"/>
        <v>0</v>
      </c>
      <c r="V203" s="844">
        <f t="shared" si="146"/>
        <v>0</v>
      </c>
      <c r="W203" s="844">
        <f t="shared" si="146"/>
        <v>0</v>
      </c>
      <c r="X203" s="844">
        <f t="shared" si="146"/>
        <v>0</v>
      </c>
      <c r="Y203" s="844">
        <f t="shared" si="146"/>
        <v>0</v>
      </c>
      <c r="Z203" s="844">
        <f t="shared" si="146"/>
        <v>0</v>
      </c>
      <c r="AA203" s="844">
        <f t="shared" si="146"/>
        <v>0</v>
      </c>
      <c r="AB203" s="844">
        <f t="shared" si="146"/>
        <v>0</v>
      </c>
      <c r="AC203" s="844">
        <f t="shared" si="146"/>
        <v>0</v>
      </c>
      <c r="AD203" s="844">
        <f t="shared" si="146"/>
        <v>0</v>
      </c>
    </row>
    <row r="204" spans="1:31" ht="18" customHeight="1" thickBot="1">
      <c r="A204" s="1005" t="s">
        <v>345</v>
      </c>
      <c r="B204" s="1006"/>
      <c r="C204" s="1006"/>
      <c r="D204" s="1006"/>
      <c r="E204" s="1006"/>
      <c r="F204" s="1006"/>
      <c r="G204" s="87">
        <f>G203</f>
        <v>0.25</v>
      </c>
      <c r="H204" s="87">
        <f>H203+G204</f>
        <v>0.5</v>
      </c>
      <c r="I204" s="87">
        <f t="shared" ref="I204:AC204" si="147">I203+H204</f>
        <v>0.75</v>
      </c>
      <c r="J204" s="87">
        <f>J203+I204</f>
        <v>1</v>
      </c>
      <c r="K204" s="87">
        <v>0</v>
      </c>
      <c r="L204" s="87">
        <f t="shared" si="147"/>
        <v>0</v>
      </c>
      <c r="M204" s="87">
        <f t="shared" si="147"/>
        <v>0</v>
      </c>
      <c r="N204" s="87">
        <f t="shared" si="147"/>
        <v>0</v>
      </c>
      <c r="O204" s="87">
        <f t="shared" si="147"/>
        <v>0</v>
      </c>
      <c r="P204" s="87">
        <f t="shared" si="147"/>
        <v>0</v>
      </c>
      <c r="Q204" s="87">
        <f t="shared" si="147"/>
        <v>0</v>
      </c>
      <c r="R204" s="87">
        <f>R203+Q204</f>
        <v>0</v>
      </c>
      <c r="S204" s="87">
        <f t="shared" si="147"/>
        <v>0</v>
      </c>
      <c r="T204" s="87">
        <f t="shared" si="147"/>
        <v>0</v>
      </c>
      <c r="U204" s="87">
        <f t="shared" si="147"/>
        <v>0</v>
      </c>
      <c r="V204" s="87">
        <f t="shared" si="147"/>
        <v>0</v>
      </c>
      <c r="W204" s="87">
        <f t="shared" si="147"/>
        <v>0</v>
      </c>
      <c r="X204" s="87">
        <f t="shared" si="147"/>
        <v>0</v>
      </c>
      <c r="Y204" s="87">
        <f t="shared" si="147"/>
        <v>0</v>
      </c>
      <c r="Z204" s="87">
        <f t="shared" si="147"/>
        <v>0</v>
      </c>
      <c r="AA204" s="87">
        <f t="shared" si="147"/>
        <v>0</v>
      </c>
      <c r="AB204" s="87">
        <f t="shared" si="147"/>
        <v>0</v>
      </c>
      <c r="AC204" s="87">
        <f t="shared" si="147"/>
        <v>0</v>
      </c>
      <c r="AD204" s="87">
        <f>AD203+AC204</f>
        <v>0</v>
      </c>
    </row>
    <row r="205" spans="1:31" ht="18" customHeight="1" thickBot="1">
      <c r="A205" s="76"/>
      <c r="B205" s="76"/>
      <c r="C205" s="76"/>
      <c r="D205" s="77"/>
      <c r="E205" s="76"/>
      <c r="F205" s="76"/>
      <c r="G205" s="378"/>
      <c r="H205" s="378"/>
      <c r="I205" s="378"/>
      <c r="J205" s="378"/>
      <c r="K205" s="378"/>
      <c r="L205" s="378"/>
      <c r="M205" s="378"/>
      <c r="N205" s="378"/>
      <c r="O205" s="378"/>
      <c r="P205" s="378"/>
      <c r="Q205" s="378"/>
      <c r="R205" s="378"/>
      <c r="S205" s="378"/>
      <c r="T205" s="378"/>
      <c r="U205" s="378"/>
      <c r="V205" s="378"/>
      <c r="W205" s="378"/>
      <c r="X205" s="378"/>
      <c r="Y205" s="378"/>
      <c r="Z205" s="378"/>
      <c r="AA205" s="378"/>
      <c r="AB205" s="378"/>
      <c r="AC205" s="378"/>
      <c r="AD205" s="378"/>
    </row>
    <row r="206" spans="1:31" ht="18" customHeight="1" thickBot="1">
      <c r="A206" s="89"/>
      <c r="C206" s="90"/>
      <c r="E206" s="979" t="s">
        <v>346</v>
      </c>
      <c r="F206" s="980"/>
      <c r="G206" s="980"/>
      <c r="H206" s="980"/>
      <c r="I206" s="980"/>
      <c r="J206" s="980"/>
      <c r="K206" s="980"/>
      <c r="L206" s="980"/>
      <c r="M206" s="980"/>
      <c r="N206" s="980"/>
      <c r="O206" s="980"/>
      <c r="P206" s="980"/>
      <c r="Q206" s="981"/>
      <c r="R206" s="410" t="s">
        <v>347</v>
      </c>
      <c r="S206" s="982"/>
      <c r="T206" s="983"/>
      <c r="U206" s="983"/>
      <c r="V206" s="983"/>
      <c r="W206" s="983"/>
      <c r="X206" s="983"/>
      <c r="Y206" s="983"/>
      <c r="Z206" s="983"/>
      <c r="AA206" s="983"/>
      <c r="AB206" s="983"/>
      <c r="AC206" s="983"/>
      <c r="AD206" s="984"/>
    </row>
    <row r="207" spans="1:31" ht="18" customHeight="1">
      <c r="E207" s="1010" t="s">
        <v>348</v>
      </c>
      <c r="F207" s="1011"/>
      <c r="G207" s="1011"/>
      <c r="H207" s="1011"/>
      <c r="I207" s="1011"/>
      <c r="J207" s="1011"/>
      <c r="K207" s="1011"/>
      <c r="L207" s="1011"/>
      <c r="M207" s="1011"/>
      <c r="N207" s="1011"/>
      <c r="O207" s="1011"/>
      <c r="P207" s="1011"/>
      <c r="Q207" s="1011"/>
      <c r="R207" s="1012"/>
      <c r="S207" s="1012"/>
      <c r="T207" s="1012"/>
      <c r="U207" s="1012"/>
      <c r="V207" s="1012"/>
      <c r="W207" s="1012"/>
      <c r="X207" s="1012"/>
      <c r="Y207" s="1012"/>
      <c r="Z207" s="1012"/>
      <c r="AA207" s="1012"/>
      <c r="AB207" s="1012"/>
      <c r="AC207" s="1012"/>
      <c r="AD207" s="1013"/>
    </row>
    <row r="208" spans="1:31" ht="27.75" customHeight="1">
      <c r="E208" s="1014" t="s">
        <v>349</v>
      </c>
      <c r="F208" s="973" t="s">
        <v>350</v>
      </c>
      <c r="G208" s="973" t="s">
        <v>351</v>
      </c>
      <c r="H208" s="973"/>
      <c r="I208" s="973"/>
      <c r="J208" s="973"/>
      <c r="K208" s="973"/>
      <c r="L208" s="973"/>
      <c r="M208" s="973"/>
      <c r="N208" s="973"/>
      <c r="O208" s="973"/>
      <c r="P208" s="973"/>
      <c r="Q208" s="973"/>
      <c r="R208" s="955"/>
      <c r="S208" s="955"/>
      <c r="T208" s="955"/>
      <c r="U208" s="955"/>
      <c r="V208" s="955"/>
      <c r="W208" s="955"/>
      <c r="X208" s="955"/>
      <c r="Y208" s="955"/>
      <c r="Z208" s="955"/>
      <c r="AA208" s="955"/>
      <c r="AB208" s="955"/>
      <c r="AC208" s="955"/>
      <c r="AD208" s="974"/>
    </row>
    <row r="209" spans="3:33" ht="18" customHeight="1">
      <c r="E209" s="1014"/>
      <c r="F209" s="973"/>
      <c r="G209" s="374" t="s">
        <v>125</v>
      </c>
      <c r="H209" s="374" t="s">
        <v>126</v>
      </c>
      <c r="I209" s="374" t="s">
        <v>127</v>
      </c>
      <c r="J209" s="374" t="s">
        <v>128</v>
      </c>
      <c r="K209" s="374" t="s">
        <v>129</v>
      </c>
      <c r="L209" s="374" t="s">
        <v>130</v>
      </c>
      <c r="M209" s="374" t="s">
        <v>131</v>
      </c>
      <c r="N209" s="374" t="s">
        <v>132</v>
      </c>
      <c r="O209" s="374" t="s">
        <v>133</v>
      </c>
      <c r="P209" s="374" t="s">
        <v>134</v>
      </c>
      <c r="Q209" s="374" t="s">
        <v>135</v>
      </c>
      <c r="R209" s="374" t="s">
        <v>136</v>
      </c>
      <c r="S209" s="374" t="s">
        <v>137</v>
      </c>
      <c r="T209" s="374" t="s">
        <v>138</v>
      </c>
      <c r="U209" s="374" t="s">
        <v>139</v>
      </c>
      <c r="V209" s="374" t="s">
        <v>140</v>
      </c>
      <c r="W209" s="374" t="s">
        <v>141</v>
      </c>
      <c r="X209" s="374" t="s">
        <v>142</v>
      </c>
      <c r="Y209" s="374" t="s">
        <v>143</v>
      </c>
      <c r="Z209" s="374" t="s">
        <v>144</v>
      </c>
      <c r="AA209" s="374" t="s">
        <v>145</v>
      </c>
      <c r="AB209" s="374" t="s">
        <v>146</v>
      </c>
      <c r="AC209" s="374" t="s">
        <v>147</v>
      </c>
      <c r="AD209" s="79" t="s">
        <v>148</v>
      </c>
    </row>
    <row r="210" spans="3:33" ht="21" customHeight="1">
      <c r="E210" s="682">
        <v>93206036</v>
      </c>
      <c r="F210" s="682">
        <v>93206036</v>
      </c>
      <c r="G210" s="684">
        <f t="shared" ref="G210:AD210" si="148">$F$210*G211</f>
        <v>23301509</v>
      </c>
      <c r="H210" s="684">
        <f t="shared" si="148"/>
        <v>23301509</v>
      </c>
      <c r="I210" s="684">
        <f t="shared" si="148"/>
        <v>23301509</v>
      </c>
      <c r="J210" s="684">
        <f t="shared" si="148"/>
        <v>23301509</v>
      </c>
      <c r="K210" s="684">
        <v>0</v>
      </c>
      <c r="L210" s="684">
        <f t="shared" si="148"/>
        <v>0</v>
      </c>
      <c r="M210" s="684">
        <f t="shared" si="148"/>
        <v>0</v>
      </c>
      <c r="N210" s="684">
        <f t="shared" si="148"/>
        <v>0</v>
      </c>
      <c r="O210" s="684">
        <f t="shared" si="148"/>
        <v>0</v>
      </c>
      <c r="P210" s="684">
        <f t="shared" si="148"/>
        <v>0</v>
      </c>
      <c r="Q210" s="684">
        <f t="shared" si="148"/>
        <v>0</v>
      </c>
      <c r="R210" s="684">
        <f t="shared" si="148"/>
        <v>0</v>
      </c>
      <c r="S210" s="684">
        <f t="shared" si="148"/>
        <v>0</v>
      </c>
      <c r="T210" s="684">
        <f t="shared" si="148"/>
        <v>0</v>
      </c>
      <c r="U210" s="684">
        <f t="shared" si="148"/>
        <v>0</v>
      </c>
      <c r="V210" s="684">
        <f t="shared" si="148"/>
        <v>0</v>
      </c>
      <c r="W210" s="684">
        <f t="shared" si="148"/>
        <v>0</v>
      </c>
      <c r="X210" s="684">
        <f t="shared" si="148"/>
        <v>0</v>
      </c>
      <c r="Y210" s="684">
        <f t="shared" si="148"/>
        <v>0</v>
      </c>
      <c r="Z210" s="684">
        <f t="shared" si="148"/>
        <v>0</v>
      </c>
      <c r="AA210" s="684">
        <f t="shared" si="148"/>
        <v>0</v>
      </c>
      <c r="AB210" s="684">
        <f t="shared" si="148"/>
        <v>0</v>
      </c>
      <c r="AC210" s="684">
        <f t="shared" si="148"/>
        <v>0</v>
      </c>
      <c r="AD210" s="685">
        <f t="shared" si="148"/>
        <v>0</v>
      </c>
      <c r="AE210" s="409"/>
      <c r="AF210" s="409"/>
      <c r="AG210" s="409"/>
    </row>
    <row r="211" spans="3:33" ht="21" customHeight="1">
      <c r="E211" s="975" t="s">
        <v>352</v>
      </c>
      <c r="F211" s="976"/>
      <c r="G211" s="379">
        <f>0.25</f>
        <v>0.25</v>
      </c>
      <c r="H211" s="379">
        <f>H203</f>
        <v>0.25</v>
      </c>
      <c r="I211" s="379">
        <f>I203</f>
        <v>0.25</v>
      </c>
      <c r="J211" s="379">
        <f>J203</f>
        <v>0.25</v>
      </c>
      <c r="K211" s="379">
        <v>0</v>
      </c>
      <c r="L211" s="379">
        <f t="shared" ref="L211:AD211" si="149">L203</f>
        <v>0</v>
      </c>
      <c r="M211" s="379">
        <f t="shared" si="149"/>
        <v>0</v>
      </c>
      <c r="N211" s="379">
        <f t="shared" si="149"/>
        <v>0</v>
      </c>
      <c r="O211" s="379">
        <f t="shared" si="149"/>
        <v>0</v>
      </c>
      <c r="P211" s="379">
        <f t="shared" si="149"/>
        <v>0</v>
      </c>
      <c r="Q211" s="379">
        <f t="shared" si="149"/>
        <v>0</v>
      </c>
      <c r="R211" s="379">
        <f t="shared" si="149"/>
        <v>0</v>
      </c>
      <c r="S211" s="379">
        <f t="shared" si="149"/>
        <v>0</v>
      </c>
      <c r="T211" s="379">
        <f t="shared" si="149"/>
        <v>0</v>
      </c>
      <c r="U211" s="379">
        <f t="shared" si="149"/>
        <v>0</v>
      </c>
      <c r="V211" s="379">
        <f t="shared" si="149"/>
        <v>0</v>
      </c>
      <c r="W211" s="379">
        <f t="shared" si="149"/>
        <v>0</v>
      </c>
      <c r="X211" s="379">
        <f t="shared" si="149"/>
        <v>0</v>
      </c>
      <c r="Y211" s="379">
        <f t="shared" si="149"/>
        <v>0</v>
      </c>
      <c r="Z211" s="379">
        <f t="shared" si="149"/>
        <v>0</v>
      </c>
      <c r="AA211" s="379">
        <f t="shared" si="149"/>
        <v>0</v>
      </c>
      <c r="AB211" s="379">
        <f t="shared" si="149"/>
        <v>0</v>
      </c>
      <c r="AC211" s="379">
        <f t="shared" si="149"/>
        <v>0</v>
      </c>
      <c r="AD211" s="380">
        <f t="shared" si="149"/>
        <v>0</v>
      </c>
    </row>
    <row r="212" spans="3:33" ht="21" customHeight="1" thickBot="1">
      <c r="E212" s="975" t="s">
        <v>353</v>
      </c>
      <c r="F212" s="976"/>
      <c r="G212" s="379">
        <f>+G211</f>
        <v>0.25</v>
      </c>
      <c r="H212" s="379">
        <f>+G212+H211</f>
        <v>0.5</v>
      </c>
      <c r="I212" s="379">
        <f>+H212+I211</f>
        <v>0.75</v>
      </c>
      <c r="J212" s="379">
        <f>+I212+J211</f>
        <v>1</v>
      </c>
      <c r="K212" s="379">
        <v>0</v>
      </c>
      <c r="L212" s="379">
        <f>+K212+L211</f>
        <v>0</v>
      </c>
      <c r="M212" s="379">
        <f t="shared" ref="M212:Q212" si="150">+L212+M211</f>
        <v>0</v>
      </c>
      <c r="N212" s="379">
        <f t="shared" si="150"/>
        <v>0</v>
      </c>
      <c r="O212" s="379">
        <f t="shared" si="150"/>
        <v>0</v>
      </c>
      <c r="P212" s="379">
        <f t="shared" si="150"/>
        <v>0</v>
      </c>
      <c r="Q212" s="379">
        <f t="shared" si="150"/>
        <v>0</v>
      </c>
      <c r="R212" s="379">
        <f t="shared" ref="R212" si="151">+Q212+R211</f>
        <v>0</v>
      </c>
      <c r="S212" s="379">
        <f t="shared" ref="S212" si="152">+R212+S211</f>
        <v>0</v>
      </c>
      <c r="T212" s="379">
        <f t="shared" ref="T212" si="153">+S212+T211</f>
        <v>0</v>
      </c>
      <c r="U212" s="379">
        <f t="shared" ref="U212" si="154">+T212+U211</f>
        <v>0</v>
      </c>
      <c r="V212" s="379">
        <f t="shared" ref="V212" si="155">+U212+V211</f>
        <v>0</v>
      </c>
      <c r="W212" s="379">
        <f t="shared" ref="W212" si="156">+V212+W211</f>
        <v>0</v>
      </c>
      <c r="X212" s="379">
        <f t="shared" ref="X212" si="157">+W212+X211</f>
        <v>0</v>
      </c>
      <c r="Y212" s="379">
        <f t="shared" ref="Y212" si="158">+X212+Y211</f>
        <v>0</v>
      </c>
      <c r="Z212" s="379">
        <f t="shared" ref="Z212" si="159">+Y212+Z211</f>
        <v>0</v>
      </c>
      <c r="AA212" s="379">
        <f t="shared" ref="AA212" si="160">+Z212+AA211</f>
        <v>0</v>
      </c>
      <c r="AB212" s="379">
        <f t="shared" ref="AB212" si="161">+AA212+AB211</f>
        <v>0</v>
      </c>
      <c r="AC212" s="379">
        <f t="shared" ref="AC212" si="162">+AB212+AC211</f>
        <v>0</v>
      </c>
      <c r="AD212" s="380">
        <f t="shared" ref="AD212" si="163">+AC212+AD211</f>
        <v>0</v>
      </c>
    </row>
    <row r="213" spans="3:33" ht="21" customHeight="1">
      <c r="C213" s="966" t="s">
        <v>354</v>
      </c>
      <c r="D213" s="967"/>
      <c r="E213" s="1015" t="s">
        <v>355</v>
      </c>
      <c r="F213" s="1016"/>
      <c r="G213" s="98"/>
      <c r="H213" s="98"/>
      <c r="I213" s="98"/>
      <c r="J213" s="98"/>
      <c r="K213" s="98"/>
      <c r="L213" s="98"/>
      <c r="M213" s="98"/>
      <c r="N213" s="98"/>
      <c r="O213" s="98"/>
      <c r="P213" s="98"/>
      <c r="Q213" s="98"/>
      <c r="R213" s="98"/>
      <c r="S213" s="98"/>
      <c r="T213" s="98"/>
      <c r="U213" s="98"/>
      <c r="V213" s="98"/>
      <c r="W213" s="98"/>
      <c r="X213" s="98"/>
      <c r="Y213" s="98"/>
      <c r="Z213" s="98"/>
      <c r="AA213" s="98"/>
      <c r="AB213" s="98"/>
      <c r="AC213" s="98"/>
      <c r="AD213" s="474"/>
    </row>
    <row r="214" spans="3:33" ht="21" customHeight="1">
      <c r="C214" s="968"/>
      <c r="D214" s="969"/>
      <c r="E214" s="1008" t="s">
        <v>356</v>
      </c>
      <c r="F214" s="1009"/>
      <c r="G214" s="92">
        <f t="shared" ref="G214:AD214" si="164">IFERROR(G213/$F$210,0)</f>
        <v>0</v>
      </c>
      <c r="H214" s="92">
        <f t="shared" si="164"/>
        <v>0</v>
      </c>
      <c r="I214" s="92">
        <f t="shared" si="164"/>
        <v>0</v>
      </c>
      <c r="J214" s="92">
        <f t="shared" si="164"/>
        <v>0</v>
      </c>
      <c r="K214" s="92">
        <f t="shared" si="164"/>
        <v>0</v>
      </c>
      <c r="L214" s="92">
        <f t="shared" si="164"/>
        <v>0</v>
      </c>
      <c r="M214" s="92">
        <f t="shared" si="164"/>
        <v>0</v>
      </c>
      <c r="N214" s="92">
        <f t="shared" si="164"/>
        <v>0</v>
      </c>
      <c r="O214" s="92">
        <f t="shared" si="164"/>
        <v>0</v>
      </c>
      <c r="P214" s="92">
        <f t="shared" si="164"/>
        <v>0</v>
      </c>
      <c r="Q214" s="92">
        <f t="shared" si="164"/>
        <v>0</v>
      </c>
      <c r="R214" s="92">
        <f t="shared" si="164"/>
        <v>0</v>
      </c>
      <c r="S214" s="92">
        <f t="shared" si="164"/>
        <v>0</v>
      </c>
      <c r="T214" s="92">
        <f t="shared" si="164"/>
        <v>0</v>
      </c>
      <c r="U214" s="92">
        <f t="shared" si="164"/>
        <v>0</v>
      </c>
      <c r="V214" s="92">
        <f t="shared" si="164"/>
        <v>0</v>
      </c>
      <c r="W214" s="92">
        <f t="shared" si="164"/>
        <v>0</v>
      </c>
      <c r="X214" s="92">
        <f t="shared" si="164"/>
        <v>0</v>
      </c>
      <c r="Y214" s="92">
        <f t="shared" si="164"/>
        <v>0</v>
      </c>
      <c r="Z214" s="92">
        <f t="shared" si="164"/>
        <v>0</v>
      </c>
      <c r="AA214" s="92">
        <f t="shared" si="164"/>
        <v>0</v>
      </c>
      <c r="AB214" s="92">
        <f t="shared" si="164"/>
        <v>0</v>
      </c>
      <c r="AC214" s="92">
        <f t="shared" si="164"/>
        <v>0</v>
      </c>
      <c r="AD214" s="381">
        <f t="shared" si="164"/>
        <v>0</v>
      </c>
    </row>
    <row r="215" spans="3:33" ht="21" customHeight="1" thickBot="1">
      <c r="C215" s="970"/>
      <c r="D215" s="971"/>
      <c r="E215" s="977" t="s">
        <v>357</v>
      </c>
      <c r="F215" s="978"/>
      <c r="G215" s="382">
        <f>G214</f>
        <v>0</v>
      </c>
      <c r="H215" s="382">
        <f>G215+H214</f>
        <v>0</v>
      </c>
      <c r="I215" s="382">
        <f>H215+I214</f>
        <v>0</v>
      </c>
      <c r="J215" s="382">
        <f t="shared" ref="J215:Q215" si="165">I215+J214</f>
        <v>0</v>
      </c>
      <c r="K215" s="382">
        <f t="shared" si="165"/>
        <v>0</v>
      </c>
      <c r="L215" s="382">
        <f t="shared" si="165"/>
        <v>0</v>
      </c>
      <c r="M215" s="382">
        <f t="shared" si="165"/>
        <v>0</v>
      </c>
      <c r="N215" s="382">
        <f t="shared" si="165"/>
        <v>0</v>
      </c>
      <c r="O215" s="382">
        <f t="shared" si="165"/>
        <v>0</v>
      </c>
      <c r="P215" s="382">
        <f t="shared" si="165"/>
        <v>0</v>
      </c>
      <c r="Q215" s="382">
        <f t="shared" si="165"/>
        <v>0</v>
      </c>
      <c r="R215" s="382">
        <f t="shared" ref="R215" si="166">Q215+R214</f>
        <v>0</v>
      </c>
      <c r="S215" s="382">
        <f t="shared" ref="S215" si="167">R215+S214</f>
        <v>0</v>
      </c>
      <c r="T215" s="382">
        <f t="shared" ref="T215" si="168">S215+T214</f>
        <v>0</v>
      </c>
      <c r="U215" s="382">
        <f t="shared" ref="U215" si="169">T215+U214</f>
        <v>0</v>
      </c>
      <c r="V215" s="382">
        <f t="shared" ref="V215" si="170">U215+V214</f>
        <v>0</v>
      </c>
      <c r="W215" s="382">
        <f t="shared" ref="W215" si="171">V215+W214</f>
        <v>0</v>
      </c>
      <c r="X215" s="382">
        <f t="shared" ref="X215" si="172">W215+X214</f>
        <v>0</v>
      </c>
      <c r="Y215" s="382">
        <f t="shared" ref="Y215" si="173">X215+Y214</f>
        <v>0</v>
      </c>
      <c r="Z215" s="382">
        <f t="shared" ref="Z215" si="174">Y215+Z214</f>
        <v>0</v>
      </c>
      <c r="AA215" s="382">
        <f t="shared" ref="AA215" si="175">Z215+AA214</f>
        <v>0</v>
      </c>
      <c r="AB215" s="382">
        <f t="shared" ref="AB215" si="176">AA215+AB214</f>
        <v>0</v>
      </c>
      <c r="AC215" s="382">
        <f t="shared" ref="AC215" si="177">AB215+AC214</f>
        <v>0</v>
      </c>
      <c r="AD215" s="383">
        <f t="shared" ref="AD215" si="178">AC215+AD214</f>
        <v>0</v>
      </c>
    </row>
    <row r="216" spans="3:33" ht="18" customHeight="1" thickBot="1">
      <c r="E216" s="93"/>
      <c r="F216" s="93"/>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row>
    <row r="217" spans="3:33" ht="20.100000000000001" customHeight="1">
      <c r="C217" s="997" t="s">
        <v>358</v>
      </c>
      <c r="D217" s="998"/>
      <c r="E217" s="998"/>
      <c r="F217" s="998"/>
      <c r="G217" s="998"/>
      <c r="H217" s="998"/>
      <c r="I217" s="998"/>
      <c r="J217" s="998"/>
      <c r="K217" s="998"/>
      <c r="L217" s="998"/>
      <c r="M217" s="998"/>
      <c r="N217" s="998"/>
      <c r="O217" s="998"/>
      <c r="P217" s="998"/>
      <c r="Q217" s="998"/>
      <c r="R217" s="998"/>
      <c r="S217" s="998"/>
      <c r="T217" s="998"/>
      <c r="U217" s="998"/>
      <c r="V217" s="998"/>
      <c r="W217" s="998"/>
      <c r="X217" s="998"/>
      <c r="Y217" s="998"/>
      <c r="Z217" s="998"/>
      <c r="AA217" s="998"/>
      <c r="AB217" s="998"/>
      <c r="AC217" s="998"/>
      <c r="AD217" s="998"/>
      <c r="AE217" s="999"/>
    </row>
    <row r="218" spans="3:33" ht="20.100000000000001" customHeight="1">
      <c r="C218" s="946" t="s">
        <v>359</v>
      </c>
      <c r="D218" s="953" t="s">
        <v>360</v>
      </c>
      <c r="E218" s="949" t="s">
        <v>361</v>
      </c>
      <c r="F218" s="955" t="s">
        <v>351</v>
      </c>
      <c r="G218" s="956"/>
      <c r="H218" s="956"/>
      <c r="I218" s="956"/>
      <c r="J218" s="956"/>
      <c r="K218" s="956"/>
      <c r="L218" s="956"/>
      <c r="M218" s="956"/>
      <c r="N218" s="956"/>
      <c r="O218" s="956"/>
      <c r="P218" s="956"/>
      <c r="Q218" s="956"/>
      <c r="R218" s="956"/>
      <c r="S218" s="956"/>
      <c r="T218" s="956"/>
      <c r="U218" s="956"/>
      <c r="V218" s="956"/>
      <c r="W218" s="956"/>
      <c r="X218" s="956"/>
      <c r="Y218" s="956"/>
      <c r="Z218" s="956"/>
      <c r="AA218" s="956"/>
      <c r="AB218" s="956"/>
      <c r="AC218" s="956"/>
      <c r="AD218" s="956"/>
      <c r="AE218" s="957"/>
    </row>
    <row r="219" spans="3:33" ht="45.75" customHeight="1">
      <c r="C219" s="946"/>
      <c r="D219" s="954"/>
      <c r="E219" s="949"/>
      <c r="F219" s="94"/>
      <c r="G219" s="374" t="s">
        <v>125</v>
      </c>
      <c r="H219" s="374" t="s">
        <v>126</v>
      </c>
      <c r="I219" s="374" t="s">
        <v>127</v>
      </c>
      <c r="J219" s="374" t="s">
        <v>128</v>
      </c>
      <c r="K219" s="374" t="s">
        <v>129</v>
      </c>
      <c r="L219" s="374" t="s">
        <v>130</v>
      </c>
      <c r="M219" s="374" t="s">
        <v>131</v>
      </c>
      <c r="N219" s="374" t="s">
        <v>132</v>
      </c>
      <c r="O219" s="374" t="s">
        <v>133</v>
      </c>
      <c r="P219" s="374" t="s">
        <v>134</v>
      </c>
      <c r="Q219" s="374" t="s">
        <v>135</v>
      </c>
      <c r="R219" s="374" t="s">
        <v>136</v>
      </c>
      <c r="S219" s="374" t="s">
        <v>137</v>
      </c>
      <c r="T219" s="374" t="s">
        <v>138</v>
      </c>
      <c r="U219" s="374" t="s">
        <v>139</v>
      </c>
      <c r="V219" s="374" t="s">
        <v>140</v>
      </c>
      <c r="W219" s="374" t="s">
        <v>141</v>
      </c>
      <c r="X219" s="374" t="s">
        <v>142</v>
      </c>
      <c r="Y219" s="374" t="s">
        <v>143</v>
      </c>
      <c r="Z219" s="374" t="s">
        <v>144</v>
      </c>
      <c r="AA219" s="374" t="s">
        <v>145</v>
      </c>
      <c r="AB219" s="374" t="s">
        <v>146</v>
      </c>
      <c r="AC219" s="374" t="s">
        <v>147</v>
      </c>
      <c r="AD219" s="374" t="s">
        <v>148</v>
      </c>
      <c r="AE219" s="79" t="s">
        <v>362</v>
      </c>
    </row>
    <row r="220" spans="3:33" ht="26.25" customHeight="1">
      <c r="C220" s="947">
        <f>E210+D220</f>
        <v>93206036</v>
      </c>
      <c r="D220" s="948"/>
      <c r="E220" s="948">
        <f>F210+D220</f>
        <v>93206036</v>
      </c>
      <c r="F220" s="95" t="s">
        <v>355</v>
      </c>
      <c r="G220" s="472">
        <f>G213</f>
        <v>0</v>
      </c>
      <c r="H220" s="472">
        <f t="shared" ref="H220:Q220" si="179">H213</f>
        <v>0</v>
      </c>
      <c r="I220" s="472">
        <f t="shared" si="179"/>
        <v>0</v>
      </c>
      <c r="J220" s="472">
        <f t="shared" si="179"/>
        <v>0</v>
      </c>
      <c r="K220" s="472">
        <f t="shared" si="179"/>
        <v>0</v>
      </c>
      <c r="L220" s="472">
        <f t="shared" si="179"/>
        <v>0</v>
      </c>
      <c r="M220" s="472">
        <f t="shared" si="179"/>
        <v>0</v>
      </c>
      <c r="N220" s="472">
        <f t="shared" si="179"/>
        <v>0</v>
      </c>
      <c r="O220" s="472">
        <f t="shared" si="179"/>
        <v>0</v>
      </c>
      <c r="P220" s="472">
        <f t="shared" si="179"/>
        <v>0</v>
      </c>
      <c r="Q220" s="472">
        <f t="shared" si="179"/>
        <v>0</v>
      </c>
      <c r="R220" s="472">
        <f t="shared" ref="R220:AC220" si="180">R213</f>
        <v>0</v>
      </c>
      <c r="S220" s="472">
        <f t="shared" si="180"/>
        <v>0</v>
      </c>
      <c r="T220" s="472">
        <f t="shared" si="180"/>
        <v>0</v>
      </c>
      <c r="U220" s="472">
        <f t="shared" si="180"/>
        <v>0</v>
      </c>
      <c r="V220" s="472">
        <f t="shared" si="180"/>
        <v>0</v>
      </c>
      <c r="W220" s="472">
        <f t="shared" si="180"/>
        <v>0</v>
      </c>
      <c r="X220" s="472">
        <f t="shared" si="180"/>
        <v>0</v>
      </c>
      <c r="Y220" s="472">
        <f t="shared" si="180"/>
        <v>0</v>
      </c>
      <c r="Z220" s="472">
        <f t="shared" si="180"/>
        <v>0</v>
      </c>
      <c r="AA220" s="472">
        <f t="shared" si="180"/>
        <v>0</v>
      </c>
      <c r="AB220" s="472">
        <f t="shared" si="180"/>
        <v>0</v>
      </c>
      <c r="AC220" s="472">
        <f t="shared" si="180"/>
        <v>0</v>
      </c>
      <c r="AD220" s="472">
        <f>AD213</f>
        <v>0</v>
      </c>
      <c r="AE220" s="385">
        <f>SUM(G220:AD220)</f>
        <v>0</v>
      </c>
    </row>
    <row r="221" spans="3:33" ht="18" customHeight="1">
      <c r="C221" s="947"/>
      <c r="D221" s="948"/>
      <c r="E221" s="948"/>
      <c r="F221" s="96" t="s">
        <v>352</v>
      </c>
      <c r="G221" s="9">
        <f t="shared" ref="G221:AD221" si="181">IFERROR(G220/$E$220,0)</f>
        <v>0</v>
      </c>
      <c r="H221" s="9">
        <f t="shared" si="181"/>
        <v>0</v>
      </c>
      <c r="I221" s="9">
        <f t="shared" si="181"/>
        <v>0</v>
      </c>
      <c r="J221" s="9">
        <f t="shared" si="181"/>
        <v>0</v>
      </c>
      <c r="K221" s="9">
        <f t="shared" si="181"/>
        <v>0</v>
      </c>
      <c r="L221" s="9">
        <f t="shared" si="181"/>
        <v>0</v>
      </c>
      <c r="M221" s="9">
        <f t="shared" si="181"/>
        <v>0</v>
      </c>
      <c r="N221" s="9">
        <f t="shared" si="181"/>
        <v>0</v>
      </c>
      <c r="O221" s="9">
        <f t="shared" si="181"/>
        <v>0</v>
      </c>
      <c r="P221" s="9">
        <f t="shared" si="181"/>
        <v>0</v>
      </c>
      <c r="Q221" s="9">
        <f t="shared" si="181"/>
        <v>0</v>
      </c>
      <c r="R221" s="9">
        <f t="shared" si="181"/>
        <v>0</v>
      </c>
      <c r="S221" s="9">
        <f t="shared" si="181"/>
        <v>0</v>
      </c>
      <c r="T221" s="9">
        <f t="shared" si="181"/>
        <v>0</v>
      </c>
      <c r="U221" s="9">
        <f t="shared" si="181"/>
        <v>0</v>
      </c>
      <c r="V221" s="9">
        <f t="shared" si="181"/>
        <v>0</v>
      </c>
      <c r="W221" s="9">
        <f t="shared" si="181"/>
        <v>0</v>
      </c>
      <c r="X221" s="9">
        <f t="shared" si="181"/>
        <v>0</v>
      </c>
      <c r="Y221" s="9">
        <f t="shared" si="181"/>
        <v>0</v>
      </c>
      <c r="Z221" s="9">
        <f t="shared" si="181"/>
        <v>0</v>
      </c>
      <c r="AA221" s="9">
        <f t="shared" si="181"/>
        <v>0</v>
      </c>
      <c r="AB221" s="9">
        <f t="shared" si="181"/>
        <v>0</v>
      </c>
      <c r="AC221" s="9">
        <f t="shared" si="181"/>
        <v>0</v>
      </c>
      <c r="AD221" s="9">
        <f t="shared" si="181"/>
        <v>0</v>
      </c>
      <c r="AE221" s="386"/>
    </row>
    <row r="222" spans="3:33" ht="27.75" customHeight="1">
      <c r="C222" s="947"/>
      <c r="D222" s="948"/>
      <c r="E222" s="948"/>
      <c r="F222" s="97" t="s">
        <v>353</v>
      </c>
      <c r="G222" s="92">
        <f>+G221</f>
        <v>0</v>
      </c>
      <c r="H222" s="92">
        <f>+G222+H221</f>
        <v>0</v>
      </c>
      <c r="I222" s="92">
        <f>+H222+I221</f>
        <v>0</v>
      </c>
      <c r="J222" s="92">
        <f>+I222+J221</f>
        <v>0</v>
      </c>
      <c r="K222" s="92">
        <f t="shared" ref="K222" si="182">+J222+K221</f>
        <v>0</v>
      </c>
      <c r="L222" s="92">
        <f t="shared" ref="L222" si="183">+K222+L221</f>
        <v>0</v>
      </c>
      <c r="M222" s="92">
        <f t="shared" ref="M222" si="184">+L222+M221</f>
        <v>0</v>
      </c>
      <c r="N222" s="92">
        <f t="shared" ref="N222" si="185">+M222+N221</f>
        <v>0</v>
      </c>
      <c r="O222" s="92">
        <f t="shared" ref="O222" si="186">+N222+O221</f>
        <v>0</v>
      </c>
      <c r="P222" s="92">
        <f t="shared" ref="P222" si="187">+O222+P221</f>
        <v>0</v>
      </c>
      <c r="Q222" s="92">
        <f t="shared" ref="Q222" si="188">+P222+Q221</f>
        <v>0</v>
      </c>
      <c r="R222" s="92">
        <f t="shared" ref="R222" si="189">+Q222+R221</f>
        <v>0</v>
      </c>
      <c r="S222" s="92">
        <f t="shared" ref="S222" si="190">+R222+S221</f>
        <v>0</v>
      </c>
      <c r="T222" s="92">
        <f t="shared" ref="T222" si="191">+S222+T221</f>
        <v>0</v>
      </c>
      <c r="U222" s="92">
        <f t="shared" ref="U222" si="192">+T222+U221</f>
        <v>0</v>
      </c>
      <c r="V222" s="92">
        <f t="shared" ref="V222" si="193">+U222+V221</f>
        <v>0</v>
      </c>
      <c r="W222" s="92">
        <f t="shared" ref="W222" si="194">+V222+W221</f>
        <v>0</v>
      </c>
      <c r="X222" s="92">
        <f t="shared" ref="X222" si="195">+W222+X221</f>
        <v>0</v>
      </c>
      <c r="Y222" s="92">
        <f t="shared" ref="Y222" si="196">+X222+Y221</f>
        <v>0</v>
      </c>
      <c r="Z222" s="92">
        <f t="shared" ref="Z222" si="197">+Y222+Z221</f>
        <v>0</v>
      </c>
      <c r="AA222" s="92">
        <f t="shared" ref="AA222" si="198">+Z222+AA221</f>
        <v>0</v>
      </c>
      <c r="AB222" s="92">
        <f t="shared" ref="AB222" si="199">+AA222+AB221</f>
        <v>0</v>
      </c>
      <c r="AC222" s="92">
        <f t="shared" ref="AC222" si="200">+AB222+AC221</f>
        <v>0</v>
      </c>
      <c r="AD222" s="92">
        <f>+AC222+AD221</f>
        <v>0</v>
      </c>
      <c r="AE222" s="386"/>
    </row>
    <row r="223" spans="3:33" ht="28.5" customHeight="1">
      <c r="C223" s="947"/>
      <c r="D223" s="948"/>
      <c r="E223" s="948"/>
      <c r="F223" s="95" t="s">
        <v>363</v>
      </c>
      <c r="G223" s="98"/>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385">
        <f>SUM(G223:AD223)</f>
        <v>0</v>
      </c>
    </row>
    <row r="224" spans="3:33" ht="18" customHeight="1">
      <c r="C224" s="947"/>
      <c r="D224" s="948"/>
      <c r="E224" s="948"/>
      <c r="F224" s="96" t="s">
        <v>352</v>
      </c>
      <c r="G224" s="9">
        <f t="shared" ref="G224:AD224" si="201">IFERROR(G223/$E$220,0)</f>
        <v>0</v>
      </c>
      <c r="H224" s="9">
        <f t="shared" si="201"/>
        <v>0</v>
      </c>
      <c r="I224" s="9">
        <f t="shared" si="201"/>
        <v>0</v>
      </c>
      <c r="J224" s="9">
        <f t="shared" si="201"/>
        <v>0</v>
      </c>
      <c r="K224" s="9">
        <f t="shared" si="201"/>
        <v>0</v>
      </c>
      <c r="L224" s="9">
        <f t="shared" si="201"/>
        <v>0</v>
      </c>
      <c r="M224" s="9">
        <f t="shared" si="201"/>
        <v>0</v>
      </c>
      <c r="N224" s="9">
        <f t="shared" si="201"/>
        <v>0</v>
      </c>
      <c r="O224" s="9">
        <f t="shared" si="201"/>
        <v>0</v>
      </c>
      <c r="P224" s="9">
        <f t="shared" si="201"/>
        <v>0</v>
      </c>
      <c r="Q224" s="9">
        <f t="shared" si="201"/>
        <v>0</v>
      </c>
      <c r="R224" s="9">
        <f t="shared" si="201"/>
        <v>0</v>
      </c>
      <c r="S224" s="9">
        <f t="shared" si="201"/>
        <v>0</v>
      </c>
      <c r="T224" s="9">
        <f t="shared" si="201"/>
        <v>0</v>
      </c>
      <c r="U224" s="9">
        <f t="shared" si="201"/>
        <v>0</v>
      </c>
      <c r="V224" s="9">
        <f t="shared" si="201"/>
        <v>0</v>
      </c>
      <c r="W224" s="9">
        <f t="shared" si="201"/>
        <v>0</v>
      </c>
      <c r="X224" s="9">
        <f t="shared" si="201"/>
        <v>0</v>
      </c>
      <c r="Y224" s="9">
        <f t="shared" si="201"/>
        <v>0</v>
      </c>
      <c r="Z224" s="9">
        <f t="shared" si="201"/>
        <v>0</v>
      </c>
      <c r="AA224" s="9">
        <f t="shared" si="201"/>
        <v>0</v>
      </c>
      <c r="AB224" s="9">
        <f t="shared" si="201"/>
        <v>0</v>
      </c>
      <c r="AC224" s="9">
        <f t="shared" si="201"/>
        <v>0</v>
      </c>
      <c r="AD224" s="9">
        <f t="shared" si="201"/>
        <v>0</v>
      </c>
      <c r="AE224" s="386"/>
    </row>
    <row r="225" spans="2:43" ht="26.25" customHeight="1">
      <c r="C225" s="947"/>
      <c r="D225" s="948"/>
      <c r="E225" s="948"/>
      <c r="F225" s="97" t="s">
        <v>353</v>
      </c>
      <c r="G225" s="92">
        <f>+G224</f>
        <v>0</v>
      </c>
      <c r="H225" s="92">
        <f>+G225+H224</f>
        <v>0</v>
      </c>
      <c r="I225" s="92">
        <f>+H225+I224</f>
        <v>0</v>
      </c>
      <c r="J225" s="92">
        <f>+I225+J224</f>
        <v>0</v>
      </c>
      <c r="K225" s="92">
        <f>+J225+K224</f>
        <v>0</v>
      </c>
      <c r="L225" s="92">
        <f t="shared" ref="L225" si="202">+K225+L224</f>
        <v>0</v>
      </c>
      <c r="M225" s="92">
        <f t="shared" ref="M225" si="203">+L225+M224</f>
        <v>0</v>
      </c>
      <c r="N225" s="92">
        <f t="shared" ref="N225" si="204">+M225+N224</f>
        <v>0</v>
      </c>
      <c r="O225" s="92">
        <f t="shared" ref="O225" si="205">+N225+O224</f>
        <v>0</v>
      </c>
      <c r="P225" s="92">
        <f t="shared" ref="P225" si="206">+O225+P224</f>
        <v>0</v>
      </c>
      <c r="Q225" s="92">
        <f t="shared" ref="Q225" si="207">+P225+Q224</f>
        <v>0</v>
      </c>
      <c r="R225" s="92">
        <f t="shared" ref="R225" si="208">+Q225+R224</f>
        <v>0</v>
      </c>
      <c r="S225" s="92">
        <f t="shared" ref="S225" si="209">+R225+S224</f>
        <v>0</v>
      </c>
      <c r="T225" s="92">
        <f t="shared" ref="T225" si="210">+S225+T224</f>
        <v>0</v>
      </c>
      <c r="U225" s="92">
        <f t="shared" ref="U225" si="211">+T225+U224</f>
        <v>0</v>
      </c>
      <c r="V225" s="92">
        <f t="shared" ref="V225" si="212">+U225+V224</f>
        <v>0</v>
      </c>
      <c r="W225" s="92">
        <f t="shared" ref="W225" si="213">+V225+W224</f>
        <v>0</v>
      </c>
      <c r="X225" s="92">
        <f t="shared" ref="X225" si="214">+W225+X224</f>
        <v>0</v>
      </c>
      <c r="Y225" s="92">
        <f t="shared" ref="Y225" si="215">+X225+Y224</f>
        <v>0</v>
      </c>
      <c r="Z225" s="92">
        <f t="shared" ref="Z225" si="216">+Y225+Z224</f>
        <v>0</v>
      </c>
      <c r="AA225" s="92">
        <f t="shared" ref="AA225" si="217">+Z225+AA224</f>
        <v>0</v>
      </c>
      <c r="AB225" s="92">
        <f t="shared" ref="AB225" si="218">+AA225+AB224</f>
        <v>0</v>
      </c>
      <c r="AC225" s="92">
        <f t="shared" ref="AC225" si="219">+AB225+AC224</f>
        <v>0</v>
      </c>
      <c r="AD225" s="92">
        <f>+AC225+AD224</f>
        <v>0</v>
      </c>
      <c r="AE225" s="386"/>
    </row>
    <row r="226" spans="2:43" ht="18" customHeight="1" thickBot="1">
      <c r="C226" s="950" t="s">
        <v>364</v>
      </c>
      <c r="D226" s="951"/>
      <c r="E226" s="951"/>
      <c r="F226" s="952"/>
      <c r="G226" s="382">
        <f>G222+G225</f>
        <v>0</v>
      </c>
      <c r="H226" s="382">
        <f>H222+H225</f>
        <v>0</v>
      </c>
      <c r="I226" s="382">
        <f>I222+I225</f>
        <v>0</v>
      </c>
      <c r="J226" s="382">
        <f t="shared" ref="J226:Q226" si="220">J222+J225</f>
        <v>0</v>
      </c>
      <c r="K226" s="382">
        <f>K222+K225</f>
        <v>0</v>
      </c>
      <c r="L226" s="382">
        <f>L222+L225</f>
        <v>0</v>
      </c>
      <c r="M226" s="382">
        <f t="shared" si="220"/>
        <v>0</v>
      </c>
      <c r="N226" s="382">
        <f t="shared" si="220"/>
        <v>0</v>
      </c>
      <c r="O226" s="382">
        <f t="shared" si="220"/>
        <v>0</v>
      </c>
      <c r="P226" s="382">
        <f t="shared" si="220"/>
        <v>0</v>
      </c>
      <c r="Q226" s="382">
        <f t="shared" si="220"/>
        <v>0</v>
      </c>
      <c r="R226" s="382">
        <f t="shared" ref="R226:AC226" si="221">R222+R225</f>
        <v>0</v>
      </c>
      <c r="S226" s="382">
        <f t="shared" si="221"/>
        <v>0</v>
      </c>
      <c r="T226" s="382">
        <f t="shared" si="221"/>
        <v>0</v>
      </c>
      <c r="U226" s="382">
        <f t="shared" si="221"/>
        <v>0</v>
      </c>
      <c r="V226" s="382">
        <f t="shared" si="221"/>
        <v>0</v>
      </c>
      <c r="W226" s="382">
        <f t="shared" si="221"/>
        <v>0</v>
      </c>
      <c r="X226" s="382">
        <f t="shared" si="221"/>
        <v>0</v>
      </c>
      <c r="Y226" s="382">
        <f t="shared" si="221"/>
        <v>0</v>
      </c>
      <c r="Z226" s="382">
        <f t="shared" si="221"/>
        <v>0</v>
      </c>
      <c r="AA226" s="382">
        <f t="shared" si="221"/>
        <v>0</v>
      </c>
      <c r="AB226" s="382">
        <f t="shared" si="221"/>
        <v>0</v>
      </c>
      <c r="AC226" s="382">
        <f t="shared" si="221"/>
        <v>0</v>
      </c>
      <c r="AD226" s="382">
        <f>AD222+AD225</f>
        <v>0</v>
      </c>
      <c r="AE226" s="387">
        <f>IFERROR((AE220+AE223)/E220,0)</f>
        <v>0</v>
      </c>
    </row>
    <row r="227" spans="2:43" ht="18" customHeight="1">
      <c r="E227" s="93"/>
      <c r="F227" s="93"/>
      <c r="G227" s="90"/>
      <c r="H227" s="90"/>
      <c r="I227" s="90"/>
      <c r="J227" s="90"/>
      <c r="K227" s="90"/>
      <c r="L227" s="90"/>
      <c r="M227" s="90"/>
      <c r="N227" s="90"/>
      <c r="O227" s="90"/>
      <c r="P227" s="90"/>
      <c r="Q227" s="90"/>
      <c r="R227" s="90"/>
      <c r="S227" s="90"/>
      <c r="T227" s="90"/>
      <c r="U227" s="90"/>
      <c r="V227" s="90"/>
      <c r="W227" s="90"/>
      <c r="X227" s="90"/>
      <c r="Y227" s="90"/>
      <c r="Z227" s="90"/>
      <c r="AA227" s="90"/>
      <c r="AB227" s="90"/>
      <c r="AC227" s="90"/>
      <c r="AD227" s="90"/>
      <c r="AE227" s="841">
        <f>AE220+AE223</f>
        <v>0</v>
      </c>
      <c r="AF227" s="842">
        <f>E220-AE227</f>
        <v>93206036</v>
      </c>
    </row>
    <row r="228" spans="2:43" ht="18" customHeight="1">
      <c r="E228" s="93"/>
      <c r="G228" s="90"/>
      <c r="H228" s="90"/>
      <c r="I228" s="90"/>
      <c r="J228" s="90"/>
      <c r="K228" s="90"/>
      <c r="L228" s="90"/>
      <c r="M228" s="90"/>
      <c r="N228" s="90"/>
      <c r="O228" s="90"/>
      <c r="P228" s="90"/>
      <c r="Q228" s="90"/>
      <c r="R228" s="90"/>
      <c r="S228" s="90"/>
      <c r="T228" s="90"/>
      <c r="U228" s="90"/>
      <c r="V228" s="90"/>
      <c r="W228" s="90"/>
      <c r="X228" s="90"/>
      <c r="Y228" s="90"/>
      <c r="Z228" s="90"/>
      <c r="AA228" s="90"/>
      <c r="AB228" s="90"/>
      <c r="AC228" s="90"/>
      <c r="AD228" s="90"/>
    </row>
    <row r="229" spans="2:43" ht="18" customHeight="1">
      <c r="E229" s="93"/>
      <c r="M229" s="90"/>
      <c r="N229" s="90"/>
      <c r="O229" s="90"/>
      <c r="P229" s="90"/>
      <c r="Q229" s="90"/>
      <c r="R229" s="90"/>
      <c r="S229" s="90"/>
      <c r="T229" s="90"/>
      <c r="U229" s="90"/>
      <c r="V229" s="90"/>
      <c r="W229" s="90"/>
      <c r="X229" s="90"/>
      <c r="Y229" s="90"/>
      <c r="Z229" s="90"/>
      <c r="AA229" s="90"/>
      <c r="AB229" s="90"/>
      <c r="AC229" s="90"/>
      <c r="AD229" s="90"/>
    </row>
    <row r="230" spans="2:43" ht="18" customHeight="1">
      <c r="E230" s="93"/>
      <c r="F230" s="93"/>
      <c r="G230" s="90"/>
      <c r="H230" s="90"/>
      <c r="I230" s="90"/>
      <c r="J230" s="90"/>
      <c r="K230" s="90"/>
      <c r="L230" s="90"/>
      <c r="M230" s="90"/>
      <c r="N230" s="90"/>
      <c r="O230" s="90"/>
      <c r="P230" s="90"/>
      <c r="Q230" s="90"/>
      <c r="R230" s="90"/>
      <c r="S230" s="90"/>
      <c r="T230" s="90"/>
      <c r="U230" s="90"/>
      <c r="V230" s="90"/>
      <c r="W230" s="90"/>
      <c r="X230" s="90"/>
      <c r="Y230" s="90"/>
      <c r="Z230" s="90"/>
      <c r="AA230" s="90"/>
      <c r="AB230" s="90"/>
      <c r="AC230" s="90"/>
      <c r="AD230" s="90"/>
    </row>
    <row r="232" spans="2:43" ht="18" customHeight="1">
      <c r="G232" s="101"/>
      <c r="H232" s="101"/>
      <c r="I232" s="101"/>
    </row>
    <row r="233" spans="2:43" s="102" customFormat="1" ht="18" customHeight="1">
      <c r="B233" s="942" t="s">
        <v>365</v>
      </c>
      <c r="C233" s="942"/>
      <c r="D233" s="56"/>
      <c r="E233" s="103"/>
      <c r="F233" s="63"/>
      <c r="G233" s="858"/>
      <c r="H233" s="859" t="s">
        <v>366</v>
      </c>
      <c r="I233" s="859"/>
      <c r="J233" s="103"/>
      <c r="K233" s="103"/>
      <c r="L233" s="103"/>
      <c r="M233" s="103"/>
      <c r="N233" s="103"/>
      <c r="O233" s="103"/>
      <c r="P233" s="103"/>
      <c r="Q233" s="103"/>
      <c r="R233" s="103"/>
      <c r="S233" s="103"/>
      <c r="T233" s="103"/>
      <c r="U233" s="103"/>
      <c r="V233" s="103"/>
      <c r="W233" s="103"/>
      <c r="X233" s="103"/>
      <c r="Y233" s="103"/>
      <c r="Z233" s="103"/>
      <c r="AA233" s="103"/>
      <c r="AB233" s="103"/>
      <c r="AC233" s="103"/>
      <c r="AE233" s="104"/>
      <c r="AF233" s="104"/>
      <c r="AG233" s="104"/>
      <c r="AH233" s="104"/>
      <c r="AI233" s="943"/>
      <c r="AJ233" s="943"/>
      <c r="AK233" s="943"/>
      <c r="AL233" s="943"/>
      <c r="AM233" s="943"/>
      <c r="AN233" s="943"/>
      <c r="AO233" s="104"/>
      <c r="AP233" s="104"/>
      <c r="AQ233" s="105"/>
    </row>
    <row r="234" spans="2:43" s="102" customFormat="1" ht="18" customHeight="1">
      <c r="B234" s="944" t="s">
        <v>367</v>
      </c>
      <c r="C234" s="944"/>
      <c r="D234" s="57"/>
      <c r="F234" s="63"/>
      <c r="H234" s="2" t="s">
        <v>368</v>
      </c>
      <c r="I234" s="104"/>
      <c r="J234" s="104"/>
      <c r="K234" s="104"/>
      <c r="L234" s="104"/>
      <c r="M234" s="104"/>
      <c r="N234" s="104"/>
      <c r="O234" s="104"/>
      <c r="P234" s="104"/>
      <c r="Q234" s="104"/>
      <c r="R234" s="104"/>
      <c r="S234" s="104"/>
      <c r="T234" s="104"/>
      <c r="U234" s="104"/>
      <c r="V234" s="104"/>
      <c r="W234" s="104"/>
      <c r="X234" s="104"/>
      <c r="Y234" s="104"/>
      <c r="Z234" s="104"/>
      <c r="AA234" s="104"/>
      <c r="AB234" s="104"/>
      <c r="AC234" s="104"/>
      <c r="AE234" s="104"/>
      <c r="AF234" s="104"/>
      <c r="AG234" s="104"/>
      <c r="AH234" s="104"/>
      <c r="AI234" s="945"/>
      <c r="AJ234" s="945"/>
      <c r="AK234" s="945"/>
      <c r="AL234" s="945"/>
      <c r="AM234" s="945"/>
      <c r="AN234" s="945"/>
      <c r="AO234" s="103"/>
      <c r="AP234" s="103"/>
      <c r="AQ234" s="103"/>
    </row>
  </sheetData>
  <sheetProtection algorithmName="SHA-512" hashValue="MYMfAWncKuUH0dxKl2/stiZmwr1pnCxIH70vqTpVxNWMa4FKHjrZLx7BolTqWGsTvuMrtV9t6I/ffHGbWUb28Q==" saltValue="oP2PiS0MfMSNY0cVeHYS2Q==" spinCount="100000" sheet="1" formatCells="0" formatColumns="0" formatRows="0" insertColumns="0" insertRows="0" insertHyperlinks="0" deleteColumns="0" deleteRows="0" sort="0" autoFilter="0" pivotTables="0"/>
  <mergeCells count="52">
    <mergeCell ref="C217:AE217"/>
    <mergeCell ref="E14:E15"/>
    <mergeCell ref="F14:F15"/>
    <mergeCell ref="G14:AD14"/>
    <mergeCell ref="A203:F203"/>
    <mergeCell ref="A204:F204"/>
    <mergeCell ref="A14:A15"/>
    <mergeCell ref="B14:B15"/>
    <mergeCell ref="C14:C15"/>
    <mergeCell ref="E214:F214"/>
    <mergeCell ref="E207:AD207"/>
    <mergeCell ref="E208:E209"/>
    <mergeCell ref="F208:F209"/>
    <mergeCell ref="E213:F213"/>
    <mergeCell ref="A5:B5"/>
    <mergeCell ref="A6:B6"/>
    <mergeCell ref="C6:AD6"/>
    <mergeCell ref="C5:AD5"/>
    <mergeCell ref="A1:B3"/>
    <mergeCell ref="C1:AD1"/>
    <mergeCell ref="C2:AD2"/>
    <mergeCell ref="C3:G3"/>
    <mergeCell ref="H3:AD3"/>
    <mergeCell ref="A8:B8"/>
    <mergeCell ref="C8:F8"/>
    <mergeCell ref="A9:B9"/>
    <mergeCell ref="C9:F9"/>
    <mergeCell ref="A10:B10"/>
    <mergeCell ref="C10:F10"/>
    <mergeCell ref="A11:B11"/>
    <mergeCell ref="C11:F11"/>
    <mergeCell ref="A13:AD13"/>
    <mergeCell ref="C213:D215"/>
    <mergeCell ref="D14:D15"/>
    <mergeCell ref="G208:AD208"/>
    <mergeCell ref="E211:F211"/>
    <mergeCell ref="E215:F215"/>
    <mergeCell ref="E212:F212"/>
    <mergeCell ref="E206:Q206"/>
    <mergeCell ref="S206:AD206"/>
    <mergeCell ref="B233:C233"/>
    <mergeCell ref="AI233:AN233"/>
    <mergeCell ref="B234:C234"/>
    <mergeCell ref="AI234:AN234"/>
    <mergeCell ref="C218:C219"/>
    <mergeCell ref="C220:C225"/>
    <mergeCell ref="E220:E225"/>
    <mergeCell ref="E218:E219"/>
    <mergeCell ref="D220:D225"/>
    <mergeCell ref="C226:F226"/>
    <mergeCell ref="D218:D219"/>
    <mergeCell ref="F218:AE218"/>
  </mergeCells>
  <phoneticPr fontId="47" type="noConversion"/>
  <dataValidations count="7">
    <dataValidation allowBlank="1" showInputMessage="1" showErrorMessage="1" prompt="Ingrese el valor a pagar segun la forma de pago establecida en los estudios previos" sqref="JN210:JZ210 TJ210:TV210 ADF210:ADR210 ANB210:ANN210 AWX210:AXJ210 BGT210:BHF210 BQP210:BRB210 CAL210:CAX210 CKH210:CKT210 CUD210:CUP210 DDZ210:DEL210 DNV210:DOH210 DXR210:DYD210 EHN210:EHZ210 ERJ210:ERV210 FBF210:FBR210 FLB210:FLN210 FUX210:FVJ210 GET210:GFF210 GOP210:GPB210 GYL210:GYX210 HIH210:HIT210 HSD210:HSP210 IBZ210:ICL210 ILV210:IMH210 IVR210:IWD210 JFN210:JFZ210 JPJ210:JPV210 JZF210:JZR210 KJB210:KJN210 KSX210:KTJ210 LCT210:LDF210 LMP210:LNB210 LWL210:LWX210 MGH210:MGT210 MQD210:MQP210 MZZ210:NAL210 NJV210:NKH210 NTR210:NUD210 ODN210:ODZ210 ONJ210:ONV210 OXF210:OXR210 PHB210:PHN210 PQX210:PRJ210 QAT210:QBF210 QKP210:QLB210 QUL210:QUX210 REH210:RET210 ROD210:ROP210 RXZ210:RYL210 SHV210:SIH210 SRR210:SSD210 TBN210:TBZ210 TLJ210:TLV210 TVF210:TVR210 UFB210:UFN210 UOX210:UPJ210 UYT210:UZF210 VIP210:VJB210 VSL210:VSX210 WCH210:WCT210 WMD210:WMP210 WVZ210:WWL210 JN65763:JZ65763 TJ65763:TV65763 ADF65763:ADR65763 ANB65763:ANN65763 AWX65763:AXJ65763 BGT65763:BHF65763 BQP65763:BRB65763 CAL65763:CAX65763 CKH65763:CKT65763 CUD65763:CUP65763 DDZ65763:DEL65763 DNV65763:DOH65763 DXR65763:DYD65763 EHN65763:EHZ65763 ERJ65763:ERV65763 FBF65763:FBR65763 FLB65763:FLN65763 FUX65763:FVJ65763 GET65763:GFF65763 GOP65763:GPB65763 GYL65763:GYX65763 HIH65763:HIT65763 HSD65763:HSP65763 IBZ65763:ICL65763 ILV65763:IMH65763 IVR65763:IWD65763 JFN65763:JFZ65763 JPJ65763:JPV65763 JZF65763:JZR65763 KJB65763:KJN65763 KSX65763:KTJ65763 LCT65763:LDF65763 LMP65763:LNB65763 LWL65763:LWX65763 MGH65763:MGT65763 MQD65763:MQP65763 MZZ65763:NAL65763 NJV65763:NKH65763 NTR65763:NUD65763 ODN65763:ODZ65763 ONJ65763:ONV65763 OXF65763:OXR65763 PHB65763:PHN65763 PQX65763:PRJ65763 QAT65763:QBF65763 QKP65763:QLB65763 QUL65763:QUX65763 REH65763:RET65763 ROD65763:ROP65763 RXZ65763:RYL65763 SHV65763:SIH65763 SRR65763:SSD65763 TBN65763:TBZ65763 TLJ65763:TLV65763 TVF65763:TVR65763 UFB65763:UFN65763 UOX65763:UPJ65763 UYT65763:UZF65763 VIP65763:VJB65763 VSL65763:VSX65763 WCH65763:WCT65763 WMD65763:WMP65763 WVZ65763:WWL65763 JN131299:JZ131299 TJ131299:TV131299 ADF131299:ADR131299 ANB131299:ANN131299 AWX131299:AXJ131299 BGT131299:BHF131299 BQP131299:BRB131299 CAL131299:CAX131299 CKH131299:CKT131299 CUD131299:CUP131299 DDZ131299:DEL131299 DNV131299:DOH131299 DXR131299:DYD131299 EHN131299:EHZ131299 ERJ131299:ERV131299 FBF131299:FBR131299 FLB131299:FLN131299 FUX131299:FVJ131299 GET131299:GFF131299 GOP131299:GPB131299 GYL131299:GYX131299 HIH131299:HIT131299 HSD131299:HSP131299 IBZ131299:ICL131299 ILV131299:IMH131299 IVR131299:IWD131299 JFN131299:JFZ131299 JPJ131299:JPV131299 JZF131299:JZR131299 KJB131299:KJN131299 KSX131299:KTJ131299 LCT131299:LDF131299 LMP131299:LNB131299 LWL131299:LWX131299 MGH131299:MGT131299 MQD131299:MQP131299 MZZ131299:NAL131299 NJV131299:NKH131299 NTR131299:NUD131299 ODN131299:ODZ131299 ONJ131299:ONV131299 OXF131299:OXR131299 PHB131299:PHN131299 PQX131299:PRJ131299 QAT131299:QBF131299 QKP131299:QLB131299 QUL131299:QUX131299 REH131299:RET131299 ROD131299:ROP131299 RXZ131299:RYL131299 SHV131299:SIH131299 SRR131299:SSD131299 TBN131299:TBZ131299 TLJ131299:TLV131299 TVF131299:TVR131299 UFB131299:UFN131299 UOX131299:UPJ131299 UYT131299:UZF131299 VIP131299:VJB131299 VSL131299:VSX131299 WCH131299:WCT131299 WMD131299:WMP131299 WVZ131299:WWL131299 JN196835:JZ196835 TJ196835:TV196835 ADF196835:ADR196835 ANB196835:ANN196835 AWX196835:AXJ196835 BGT196835:BHF196835 BQP196835:BRB196835 CAL196835:CAX196835 CKH196835:CKT196835 CUD196835:CUP196835 DDZ196835:DEL196835 DNV196835:DOH196835 DXR196835:DYD196835 EHN196835:EHZ196835 ERJ196835:ERV196835 FBF196835:FBR196835 FLB196835:FLN196835 FUX196835:FVJ196835 GET196835:GFF196835 GOP196835:GPB196835 GYL196835:GYX196835 HIH196835:HIT196835 HSD196835:HSP196835 IBZ196835:ICL196835 ILV196835:IMH196835 IVR196835:IWD196835 JFN196835:JFZ196835 JPJ196835:JPV196835 JZF196835:JZR196835 KJB196835:KJN196835 KSX196835:KTJ196835 LCT196835:LDF196835 LMP196835:LNB196835 LWL196835:LWX196835 MGH196835:MGT196835 MQD196835:MQP196835 MZZ196835:NAL196835 NJV196835:NKH196835 NTR196835:NUD196835 ODN196835:ODZ196835 ONJ196835:ONV196835 OXF196835:OXR196835 PHB196835:PHN196835 PQX196835:PRJ196835 QAT196835:QBF196835 QKP196835:QLB196835 QUL196835:QUX196835 REH196835:RET196835 ROD196835:ROP196835 RXZ196835:RYL196835 SHV196835:SIH196835 SRR196835:SSD196835 TBN196835:TBZ196835 TLJ196835:TLV196835 TVF196835:TVR196835 UFB196835:UFN196835 UOX196835:UPJ196835 UYT196835:UZF196835 VIP196835:VJB196835 VSL196835:VSX196835 WCH196835:WCT196835 WMD196835:WMP196835 WVZ196835:WWL196835 JN262371:JZ262371 TJ262371:TV262371 ADF262371:ADR262371 ANB262371:ANN262371 AWX262371:AXJ262371 BGT262371:BHF262371 BQP262371:BRB262371 CAL262371:CAX262371 CKH262371:CKT262371 CUD262371:CUP262371 DDZ262371:DEL262371 DNV262371:DOH262371 DXR262371:DYD262371 EHN262371:EHZ262371 ERJ262371:ERV262371 FBF262371:FBR262371 FLB262371:FLN262371 FUX262371:FVJ262371 GET262371:GFF262371 GOP262371:GPB262371 GYL262371:GYX262371 HIH262371:HIT262371 HSD262371:HSP262371 IBZ262371:ICL262371 ILV262371:IMH262371 IVR262371:IWD262371 JFN262371:JFZ262371 JPJ262371:JPV262371 JZF262371:JZR262371 KJB262371:KJN262371 KSX262371:KTJ262371 LCT262371:LDF262371 LMP262371:LNB262371 LWL262371:LWX262371 MGH262371:MGT262371 MQD262371:MQP262371 MZZ262371:NAL262371 NJV262371:NKH262371 NTR262371:NUD262371 ODN262371:ODZ262371 ONJ262371:ONV262371 OXF262371:OXR262371 PHB262371:PHN262371 PQX262371:PRJ262371 QAT262371:QBF262371 QKP262371:QLB262371 QUL262371:QUX262371 REH262371:RET262371 ROD262371:ROP262371 RXZ262371:RYL262371 SHV262371:SIH262371 SRR262371:SSD262371 TBN262371:TBZ262371 TLJ262371:TLV262371 TVF262371:TVR262371 UFB262371:UFN262371 UOX262371:UPJ262371 UYT262371:UZF262371 VIP262371:VJB262371 VSL262371:VSX262371 WCH262371:WCT262371 WMD262371:WMP262371 WVZ262371:WWL262371 JN327907:JZ327907 TJ327907:TV327907 ADF327907:ADR327907 ANB327907:ANN327907 AWX327907:AXJ327907 BGT327907:BHF327907 BQP327907:BRB327907 CAL327907:CAX327907 CKH327907:CKT327907 CUD327907:CUP327907 DDZ327907:DEL327907 DNV327907:DOH327907 DXR327907:DYD327907 EHN327907:EHZ327907 ERJ327907:ERV327907 FBF327907:FBR327907 FLB327907:FLN327907 FUX327907:FVJ327907 GET327907:GFF327907 GOP327907:GPB327907 GYL327907:GYX327907 HIH327907:HIT327907 HSD327907:HSP327907 IBZ327907:ICL327907 ILV327907:IMH327907 IVR327907:IWD327907 JFN327907:JFZ327907 JPJ327907:JPV327907 JZF327907:JZR327907 KJB327907:KJN327907 KSX327907:KTJ327907 LCT327907:LDF327907 LMP327907:LNB327907 LWL327907:LWX327907 MGH327907:MGT327907 MQD327907:MQP327907 MZZ327907:NAL327907 NJV327907:NKH327907 NTR327907:NUD327907 ODN327907:ODZ327907 ONJ327907:ONV327907 OXF327907:OXR327907 PHB327907:PHN327907 PQX327907:PRJ327907 QAT327907:QBF327907 QKP327907:QLB327907 QUL327907:QUX327907 REH327907:RET327907 ROD327907:ROP327907 RXZ327907:RYL327907 SHV327907:SIH327907 SRR327907:SSD327907 TBN327907:TBZ327907 TLJ327907:TLV327907 TVF327907:TVR327907 UFB327907:UFN327907 UOX327907:UPJ327907 UYT327907:UZF327907 VIP327907:VJB327907 VSL327907:VSX327907 WCH327907:WCT327907 WMD327907:WMP327907 WVZ327907:WWL327907 JN393443:JZ393443 TJ393443:TV393443 ADF393443:ADR393443 ANB393443:ANN393443 AWX393443:AXJ393443 BGT393443:BHF393443 BQP393443:BRB393443 CAL393443:CAX393443 CKH393443:CKT393443 CUD393443:CUP393443 DDZ393443:DEL393443 DNV393443:DOH393443 DXR393443:DYD393443 EHN393443:EHZ393443 ERJ393443:ERV393443 FBF393443:FBR393443 FLB393443:FLN393443 FUX393443:FVJ393443 GET393443:GFF393443 GOP393443:GPB393443 GYL393443:GYX393443 HIH393443:HIT393443 HSD393443:HSP393443 IBZ393443:ICL393443 ILV393443:IMH393443 IVR393443:IWD393443 JFN393443:JFZ393443 JPJ393443:JPV393443 JZF393443:JZR393443 KJB393443:KJN393443 KSX393443:KTJ393443 LCT393443:LDF393443 LMP393443:LNB393443 LWL393443:LWX393443 MGH393443:MGT393443 MQD393443:MQP393443 MZZ393443:NAL393443 NJV393443:NKH393443 NTR393443:NUD393443 ODN393443:ODZ393443 ONJ393443:ONV393443 OXF393443:OXR393443 PHB393443:PHN393443 PQX393443:PRJ393443 QAT393443:QBF393443 QKP393443:QLB393443 QUL393443:QUX393443 REH393443:RET393443 ROD393443:ROP393443 RXZ393443:RYL393443 SHV393443:SIH393443 SRR393443:SSD393443 TBN393443:TBZ393443 TLJ393443:TLV393443 TVF393443:TVR393443 UFB393443:UFN393443 UOX393443:UPJ393443 UYT393443:UZF393443 VIP393443:VJB393443 VSL393443:VSX393443 WCH393443:WCT393443 WMD393443:WMP393443 WVZ393443:WWL393443 JN458979:JZ458979 TJ458979:TV458979 ADF458979:ADR458979 ANB458979:ANN458979 AWX458979:AXJ458979 BGT458979:BHF458979 BQP458979:BRB458979 CAL458979:CAX458979 CKH458979:CKT458979 CUD458979:CUP458979 DDZ458979:DEL458979 DNV458979:DOH458979 DXR458979:DYD458979 EHN458979:EHZ458979 ERJ458979:ERV458979 FBF458979:FBR458979 FLB458979:FLN458979 FUX458979:FVJ458979 GET458979:GFF458979 GOP458979:GPB458979 GYL458979:GYX458979 HIH458979:HIT458979 HSD458979:HSP458979 IBZ458979:ICL458979 ILV458979:IMH458979 IVR458979:IWD458979 JFN458979:JFZ458979 JPJ458979:JPV458979 JZF458979:JZR458979 KJB458979:KJN458979 KSX458979:KTJ458979 LCT458979:LDF458979 LMP458979:LNB458979 LWL458979:LWX458979 MGH458979:MGT458979 MQD458979:MQP458979 MZZ458979:NAL458979 NJV458979:NKH458979 NTR458979:NUD458979 ODN458979:ODZ458979 ONJ458979:ONV458979 OXF458979:OXR458979 PHB458979:PHN458979 PQX458979:PRJ458979 QAT458979:QBF458979 QKP458979:QLB458979 QUL458979:QUX458979 REH458979:RET458979 ROD458979:ROP458979 RXZ458979:RYL458979 SHV458979:SIH458979 SRR458979:SSD458979 TBN458979:TBZ458979 TLJ458979:TLV458979 TVF458979:TVR458979 UFB458979:UFN458979 UOX458979:UPJ458979 UYT458979:UZF458979 VIP458979:VJB458979 VSL458979:VSX458979 WCH458979:WCT458979 WMD458979:WMP458979 WVZ458979:WWL458979 JN524515:JZ524515 TJ524515:TV524515 ADF524515:ADR524515 ANB524515:ANN524515 AWX524515:AXJ524515 BGT524515:BHF524515 BQP524515:BRB524515 CAL524515:CAX524515 CKH524515:CKT524515 CUD524515:CUP524515 DDZ524515:DEL524515 DNV524515:DOH524515 DXR524515:DYD524515 EHN524515:EHZ524515 ERJ524515:ERV524515 FBF524515:FBR524515 FLB524515:FLN524515 FUX524515:FVJ524515 GET524515:GFF524515 GOP524515:GPB524515 GYL524515:GYX524515 HIH524515:HIT524515 HSD524515:HSP524515 IBZ524515:ICL524515 ILV524515:IMH524515 IVR524515:IWD524515 JFN524515:JFZ524515 JPJ524515:JPV524515 JZF524515:JZR524515 KJB524515:KJN524515 KSX524515:KTJ524515 LCT524515:LDF524515 LMP524515:LNB524515 LWL524515:LWX524515 MGH524515:MGT524515 MQD524515:MQP524515 MZZ524515:NAL524515 NJV524515:NKH524515 NTR524515:NUD524515 ODN524515:ODZ524515 ONJ524515:ONV524515 OXF524515:OXR524515 PHB524515:PHN524515 PQX524515:PRJ524515 QAT524515:QBF524515 QKP524515:QLB524515 QUL524515:QUX524515 REH524515:RET524515 ROD524515:ROP524515 RXZ524515:RYL524515 SHV524515:SIH524515 SRR524515:SSD524515 TBN524515:TBZ524515 TLJ524515:TLV524515 TVF524515:TVR524515 UFB524515:UFN524515 UOX524515:UPJ524515 UYT524515:UZF524515 VIP524515:VJB524515 VSL524515:VSX524515 WCH524515:WCT524515 WMD524515:WMP524515 WVZ524515:WWL524515 JN590051:JZ590051 TJ590051:TV590051 ADF590051:ADR590051 ANB590051:ANN590051 AWX590051:AXJ590051 BGT590051:BHF590051 BQP590051:BRB590051 CAL590051:CAX590051 CKH590051:CKT590051 CUD590051:CUP590051 DDZ590051:DEL590051 DNV590051:DOH590051 DXR590051:DYD590051 EHN590051:EHZ590051 ERJ590051:ERV590051 FBF590051:FBR590051 FLB590051:FLN590051 FUX590051:FVJ590051 GET590051:GFF590051 GOP590051:GPB590051 GYL590051:GYX590051 HIH590051:HIT590051 HSD590051:HSP590051 IBZ590051:ICL590051 ILV590051:IMH590051 IVR590051:IWD590051 JFN590051:JFZ590051 JPJ590051:JPV590051 JZF590051:JZR590051 KJB590051:KJN590051 KSX590051:KTJ590051 LCT590051:LDF590051 LMP590051:LNB590051 LWL590051:LWX590051 MGH590051:MGT590051 MQD590051:MQP590051 MZZ590051:NAL590051 NJV590051:NKH590051 NTR590051:NUD590051 ODN590051:ODZ590051 ONJ590051:ONV590051 OXF590051:OXR590051 PHB590051:PHN590051 PQX590051:PRJ590051 QAT590051:QBF590051 QKP590051:QLB590051 QUL590051:QUX590051 REH590051:RET590051 ROD590051:ROP590051 RXZ590051:RYL590051 SHV590051:SIH590051 SRR590051:SSD590051 TBN590051:TBZ590051 TLJ590051:TLV590051 TVF590051:TVR590051 UFB590051:UFN590051 UOX590051:UPJ590051 UYT590051:UZF590051 VIP590051:VJB590051 VSL590051:VSX590051 WCH590051:WCT590051 WMD590051:WMP590051 WVZ590051:WWL590051 JN655587:JZ655587 TJ655587:TV655587 ADF655587:ADR655587 ANB655587:ANN655587 AWX655587:AXJ655587 BGT655587:BHF655587 BQP655587:BRB655587 CAL655587:CAX655587 CKH655587:CKT655587 CUD655587:CUP655587 DDZ655587:DEL655587 DNV655587:DOH655587 DXR655587:DYD655587 EHN655587:EHZ655587 ERJ655587:ERV655587 FBF655587:FBR655587 FLB655587:FLN655587 FUX655587:FVJ655587 GET655587:GFF655587 GOP655587:GPB655587 GYL655587:GYX655587 HIH655587:HIT655587 HSD655587:HSP655587 IBZ655587:ICL655587 ILV655587:IMH655587 IVR655587:IWD655587 JFN655587:JFZ655587 JPJ655587:JPV655587 JZF655587:JZR655587 KJB655587:KJN655587 KSX655587:KTJ655587 LCT655587:LDF655587 LMP655587:LNB655587 LWL655587:LWX655587 MGH655587:MGT655587 MQD655587:MQP655587 MZZ655587:NAL655587 NJV655587:NKH655587 NTR655587:NUD655587 ODN655587:ODZ655587 ONJ655587:ONV655587 OXF655587:OXR655587 PHB655587:PHN655587 PQX655587:PRJ655587 QAT655587:QBF655587 QKP655587:QLB655587 QUL655587:QUX655587 REH655587:RET655587 ROD655587:ROP655587 RXZ655587:RYL655587 SHV655587:SIH655587 SRR655587:SSD655587 TBN655587:TBZ655587 TLJ655587:TLV655587 TVF655587:TVR655587 UFB655587:UFN655587 UOX655587:UPJ655587 UYT655587:UZF655587 VIP655587:VJB655587 VSL655587:VSX655587 WCH655587:WCT655587 WMD655587:WMP655587 WVZ655587:WWL655587 JN721123:JZ721123 TJ721123:TV721123 ADF721123:ADR721123 ANB721123:ANN721123 AWX721123:AXJ721123 BGT721123:BHF721123 BQP721123:BRB721123 CAL721123:CAX721123 CKH721123:CKT721123 CUD721123:CUP721123 DDZ721123:DEL721123 DNV721123:DOH721123 DXR721123:DYD721123 EHN721123:EHZ721123 ERJ721123:ERV721123 FBF721123:FBR721123 FLB721123:FLN721123 FUX721123:FVJ721123 GET721123:GFF721123 GOP721123:GPB721123 GYL721123:GYX721123 HIH721123:HIT721123 HSD721123:HSP721123 IBZ721123:ICL721123 ILV721123:IMH721123 IVR721123:IWD721123 JFN721123:JFZ721123 JPJ721123:JPV721123 JZF721123:JZR721123 KJB721123:KJN721123 KSX721123:KTJ721123 LCT721123:LDF721123 LMP721123:LNB721123 LWL721123:LWX721123 MGH721123:MGT721123 MQD721123:MQP721123 MZZ721123:NAL721123 NJV721123:NKH721123 NTR721123:NUD721123 ODN721123:ODZ721123 ONJ721123:ONV721123 OXF721123:OXR721123 PHB721123:PHN721123 PQX721123:PRJ721123 QAT721123:QBF721123 QKP721123:QLB721123 QUL721123:QUX721123 REH721123:RET721123 ROD721123:ROP721123 RXZ721123:RYL721123 SHV721123:SIH721123 SRR721123:SSD721123 TBN721123:TBZ721123 TLJ721123:TLV721123 TVF721123:TVR721123 UFB721123:UFN721123 UOX721123:UPJ721123 UYT721123:UZF721123 VIP721123:VJB721123 VSL721123:VSX721123 WCH721123:WCT721123 WMD721123:WMP721123 WVZ721123:WWL721123 JN786659:JZ786659 TJ786659:TV786659 ADF786659:ADR786659 ANB786659:ANN786659 AWX786659:AXJ786659 BGT786659:BHF786659 BQP786659:BRB786659 CAL786659:CAX786659 CKH786659:CKT786659 CUD786659:CUP786659 DDZ786659:DEL786659 DNV786659:DOH786659 DXR786659:DYD786659 EHN786659:EHZ786659 ERJ786659:ERV786659 FBF786659:FBR786659 FLB786659:FLN786659 FUX786659:FVJ786659 GET786659:GFF786659 GOP786659:GPB786659 GYL786659:GYX786659 HIH786659:HIT786659 HSD786659:HSP786659 IBZ786659:ICL786659 ILV786659:IMH786659 IVR786659:IWD786659 JFN786659:JFZ786659 JPJ786659:JPV786659 JZF786659:JZR786659 KJB786659:KJN786659 KSX786659:KTJ786659 LCT786659:LDF786659 LMP786659:LNB786659 LWL786659:LWX786659 MGH786659:MGT786659 MQD786659:MQP786659 MZZ786659:NAL786659 NJV786659:NKH786659 NTR786659:NUD786659 ODN786659:ODZ786659 ONJ786659:ONV786659 OXF786659:OXR786659 PHB786659:PHN786659 PQX786659:PRJ786659 QAT786659:QBF786659 QKP786659:QLB786659 QUL786659:QUX786659 REH786659:RET786659 ROD786659:ROP786659 RXZ786659:RYL786659 SHV786659:SIH786659 SRR786659:SSD786659 TBN786659:TBZ786659 TLJ786659:TLV786659 TVF786659:TVR786659 UFB786659:UFN786659 UOX786659:UPJ786659 UYT786659:UZF786659 VIP786659:VJB786659 VSL786659:VSX786659 WCH786659:WCT786659 WMD786659:WMP786659 WVZ786659:WWL786659 JN852195:JZ852195 TJ852195:TV852195 ADF852195:ADR852195 ANB852195:ANN852195 AWX852195:AXJ852195 BGT852195:BHF852195 BQP852195:BRB852195 CAL852195:CAX852195 CKH852195:CKT852195 CUD852195:CUP852195 DDZ852195:DEL852195 DNV852195:DOH852195 DXR852195:DYD852195 EHN852195:EHZ852195 ERJ852195:ERV852195 FBF852195:FBR852195 FLB852195:FLN852195 FUX852195:FVJ852195 GET852195:GFF852195 GOP852195:GPB852195 GYL852195:GYX852195 HIH852195:HIT852195 HSD852195:HSP852195 IBZ852195:ICL852195 ILV852195:IMH852195 IVR852195:IWD852195 JFN852195:JFZ852195 JPJ852195:JPV852195 JZF852195:JZR852195 KJB852195:KJN852195 KSX852195:KTJ852195 LCT852195:LDF852195 LMP852195:LNB852195 LWL852195:LWX852195 MGH852195:MGT852195 MQD852195:MQP852195 MZZ852195:NAL852195 NJV852195:NKH852195 NTR852195:NUD852195 ODN852195:ODZ852195 ONJ852195:ONV852195 OXF852195:OXR852195 PHB852195:PHN852195 PQX852195:PRJ852195 QAT852195:QBF852195 QKP852195:QLB852195 QUL852195:QUX852195 REH852195:RET852195 ROD852195:ROP852195 RXZ852195:RYL852195 SHV852195:SIH852195 SRR852195:SSD852195 TBN852195:TBZ852195 TLJ852195:TLV852195 TVF852195:TVR852195 UFB852195:UFN852195 UOX852195:UPJ852195 UYT852195:UZF852195 VIP852195:VJB852195 VSL852195:VSX852195 WCH852195:WCT852195 WMD852195:WMP852195 WVZ852195:WWL852195 JN917731:JZ917731 TJ917731:TV917731 ADF917731:ADR917731 ANB917731:ANN917731 AWX917731:AXJ917731 BGT917731:BHF917731 BQP917731:BRB917731 CAL917731:CAX917731 CKH917731:CKT917731 CUD917731:CUP917731 DDZ917731:DEL917731 DNV917731:DOH917731 DXR917731:DYD917731 EHN917731:EHZ917731 ERJ917731:ERV917731 FBF917731:FBR917731 FLB917731:FLN917731 FUX917731:FVJ917731 GET917731:GFF917731 GOP917731:GPB917731 GYL917731:GYX917731 HIH917731:HIT917731 HSD917731:HSP917731 IBZ917731:ICL917731 ILV917731:IMH917731 IVR917731:IWD917731 JFN917731:JFZ917731 JPJ917731:JPV917731 JZF917731:JZR917731 KJB917731:KJN917731 KSX917731:KTJ917731 LCT917731:LDF917731 LMP917731:LNB917731 LWL917731:LWX917731 MGH917731:MGT917731 MQD917731:MQP917731 MZZ917731:NAL917731 NJV917731:NKH917731 NTR917731:NUD917731 ODN917731:ODZ917731 ONJ917731:ONV917731 OXF917731:OXR917731 PHB917731:PHN917731 PQX917731:PRJ917731 QAT917731:QBF917731 QKP917731:QLB917731 QUL917731:QUX917731 REH917731:RET917731 ROD917731:ROP917731 RXZ917731:RYL917731 SHV917731:SIH917731 SRR917731:SSD917731 TBN917731:TBZ917731 TLJ917731:TLV917731 TVF917731:TVR917731 UFB917731:UFN917731 UOX917731:UPJ917731 UYT917731:UZF917731 VIP917731:VJB917731 VSL917731:VSX917731 WCH917731:WCT917731 WMD917731:WMP917731 WVZ917731:WWL917731 JN983267:JZ983267 TJ983267:TV983267 ADF983267:ADR983267 ANB983267:ANN983267 AWX983267:AXJ983267 BGT983267:BHF983267 BQP983267:BRB983267 CAL983267:CAX983267 CKH983267:CKT983267 CUD983267:CUP983267 DDZ983267:DEL983267 DNV983267:DOH983267 DXR983267:DYD983267 EHN983267:EHZ983267 ERJ983267:ERV983267 FBF983267:FBR983267 FLB983267:FLN983267 FUX983267:FVJ983267 GET983267:GFF983267 GOP983267:GPB983267 GYL983267:GYX983267 HIH983267:HIT983267 HSD983267:HSP983267 IBZ983267:ICL983267 ILV983267:IMH983267 IVR983267:IWD983267 JFN983267:JFZ983267 JPJ983267:JPV983267 JZF983267:JZR983267 KJB983267:KJN983267 KSX983267:KTJ983267 LCT983267:LDF983267 LMP983267:LNB983267 LWL983267:LWX983267 MGH983267:MGT983267 MQD983267:MQP983267 MZZ983267:NAL983267 NJV983267:NKH983267 NTR983267:NUD983267 ODN983267:ODZ983267 ONJ983267:ONV983267 OXF983267:OXR983267 PHB983267:PHN983267 PQX983267:PRJ983267 QAT983267:QBF983267 QKP983267:QLB983267 QUL983267:QUX983267 REH983267:RET983267 ROD983267:ROP983267 RXZ983267:RYL983267 SHV983267:SIH983267 SRR983267:SSD983267 TBN983267:TBZ983267 TLJ983267:TLV983267 TVF983267:TVR983267 UFB983267:UFN983267 UOX983267:UPJ983267 UYT983267:UZF983267 VIP983267:VJB983267 VSL983267:VSX983267 WCH983267:WCT983267 WMD983267:WMP983267 WVZ983267:WWL983267 G65763:AD65763 G983267:AD983267 G917731:AD917731 G852195:AD852195 G786659:AD786659 G721123:AD721123 G655587:AD655587 G590051:AD590051 G524515:AD524515 G458979:AD458979 G393443:AD393443 G327907:AD327907 G262371:AD262371 G196835:AD196835 G131299:AD131299 G210:AD210" xr:uid="{00000000-0002-0000-0100-000000000000}"/>
    <dataValidation allowBlank="1" showInputMessage="1" showErrorMessage="1" prompt="Diligencie si es mensual, bimestral, trimestral o semestral." sqref="G65751:I65751 JN65751:JP65751 TJ65751:TL65751 ADF65751:ADH65751 ANB65751:AND65751 AWX65751:AWZ65751 BGT65751:BGV65751 BQP65751:BQR65751 CAL65751:CAN65751 CKH65751:CKJ65751 CUD65751:CUF65751 DDZ65751:DEB65751 DNV65751:DNX65751 DXR65751:DXT65751 EHN65751:EHP65751 ERJ65751:ERL65751 FBF65751:FBH65751 FLB65751:FLD65751 FUX65751:FUZ65751 GET65751:GEV65751 GOP65751:GOR65751 GYL65751:GYN65751 HIH65751:HIJ65751 HSD65751:HSF65751 IBZ65751:ICB65751 ILV65751:ILX65751 IVR65751:IVT65751 JFN65751:JFP65751 JPJ65751:JPL65751 JZF65751:JZH65751 KJB65751:KJD65751 KSX65751:KSZ65751 LCT65751:LCV65751 LMP65751:LMR65751 LWL65751:LWN65751 MGH65751:MGJ65751 MQD65751:MQF65751 MZZ65751:NAB65751 NJV65751:NJX65751 NTR65751:NTT65751 ODN65751:ODP65751 ONJ65751:ONL65751 OXF65751:OXH65751 PHB65751:PHD65751 PQX65751:PQZ65751 QAT65751:QAV65751 QKP65751:QKR65751 QUL65751:QUN65751 REH65751:REJ65751 ROD65751:ROF65751 RXZ65751:RYB65751 SHV65751:SHX65751 SRR65751:SRT65751 TBN65751:TBP65751 TLJ65751:TLL65751 TVF65751:TVH65751 UFB65751:UFD65751 UOX65751:UOZ65751 UYT65751:UYV65751 VIP65751:VIR65751 VSL65751:VSN65751 WCH65751:WCJ65751 WMD65751:WMF65751 WVZ65751:WWB65751 G131287:I131287 JN131287:JP131287 TJ131287:TL131287 ADF131287:ADH131287 ANB131287:AND131287 AWX131287:AWZ131287 BGT131287:BGV131287 BQP131287:BQR131287 CAL131287:CAN131287 CKH131287:CKJ131287 CUD131287:CUF131287 DDZ131287:DEB131287 DNV131287:DNX131287 DXR131287:DXT131287 EHN131287:EHP131287 ERJ131287:ERL131287 FBF131287:FBH131287 FLB131287:FLD131287 FUX131287:FUZ131287 GET131287:GEV131287 GOP131287:GOR131287 GYL131287:GYN131287 HIH131287:HIJ131287 HSD131287:HSF131287 IBZ131287:ICB131287 ILV131287:ILX131287 IVR131287:IVT131287 JFN131287:JFP131287 JPJ131287:JPL131287 JZF131287:JZH131287 KJB131287:KJD131287 KSX131287:KSZ131287 LCT131287:LCV131287 LMP131287:LMR131287 LWL131287:LWN131287 MGH131287:MGJ131287 MQD131287:MQF131287 MZZ131287:NAB131287 NJV131287:NJX131287 NTR131287:NTT131287 ODN131287:ODP131287 ONJ131287:ONL131287 OXF131287:OXH131287 PHB131287:PHD131287 PQX131287:PQZ131287 QAT131287:QAV131287 QKP131287:QKR131287 QUL131287:QUN131287 REH131287:REJ131287 ROD131287:ROF131287 RXZ131287:RYB131287 SHV131287:SHX131287 SRR131287:SRT131287 TBN131287:TBP131287 TLJ131287:TLL131287 TVF131287:TVH131287 UFB131287:UFD131287 UOX131287:UOZ131287 UYT131287:UYV131287 VIP131287:VIR131287 VSL131287:VSN131287 WCH131287:WCJ131287 WMD131287:WMF131287 WVZ131287:WWB131287 G196823:I196823 JN196823:JP196823 TJ196823:TL196823 ADF196823:ADH196823 ANB196823:AND196823 AWX196823:AWZ196823 BGT196823:BGV196823 BQP196823:BQR196823 CAL196823:CAN196823 CKH196823:CKJ196823 CUD196823:CUF196823 DDZ196823:DEB196823 DNV196823:DNX196823 DXR196823:DXT196823 EHN196823:EHP196823 ERJ196823:ERL196823 FBF196823:FBH196823 FLB196823:FLD196823 FUX196823:FUZ196823 GET196823:GEV196823 GOP196823:GOR196823 GYL196823:GYN196823 HIH196823:HIJ196823 HSD196823:HSF196823 IBZ196823:ICB196823 ILV196823:ILX196823 IVR196823:IVT196823 JFN196823:JFP196823 JPJ196823:JPL196823 JZF196823:JZH196823 KJB196823:KJD196823 KSX196823:KSZ196823 LCT196823:LCV196823 LMP196823:LMR196823 LWL196823:LWN196823 MGH196823:MGJ196823 MQD196823:MQF196823 MZZ196823:NAB196823 NJV196823:NJX196823 NTR196823:NTT196823 ODN196823:ODP196823 ONJ196823:ONL196823 OXF196823:OXH196823 PHB196823:PHD196823 PQX196823:PQZ196823 QAT196823:QAV196823 QKP196823:QKR196823 QUL196823:QUN196823 REH196823:REJ196823 ROD196823:ROF196823 RXZ196823:RYB196823 SHV196823:SHX196823 SRR196823:SRT196823 TBN196823:TBP196823 TLJ196823:TLL196823 TVF196823:TVH196823 UFB196823:UFD196823 UOX196823:UOZ196823 UYT196823:UYV196823 VIP196823:VIR196823 VSL196823:VSN196823 WCH196823:WCJ196823 WMD196823:WMF196823 WVZ196823:WWB196823 G262359:I262359 JN262359:JP262359 TJ262359:TL262359 ADF262359:ADH262359 ANB262359:AND262359 AWX262359:AWZ262359 BGT262359:BGV262359 BQP262359:BQR262359 CAL262359:CAN262359 CKH262359:CKJ262359 CUD262359:CUF262359 DDZ262359:DEB262359 DNV262359:DNX262359 DXR262359:DXT262359 EHN262359:EHP262359 ERJ262359:ERL262359 FBF262359:FBH262359 FLB262359:FLD262359 FUX262359:FUZ262359 GET262359:GEV262359 GOP262359:GOR262359 GYL262359:GYN262359 HIH262359:HIJ262359 HSD262359:HSF262359 IBZ262359:ICB262359 ILV262359:ILX262359 IVR262359:IVT262359 JFN262359:JFP262359 JPJ262359:JPL262359 JZF262359:JZH262359 KJB262359:KJD262359 KSX262359:KSZ262359 LCT262359:LCV262359 LMP262359:LMR262359 LWL262359:LWN262359 MGH262359:MGJ262359 MQD262359:MQF262359 MZZ262359:NAB262359 NJV262359:NJX262359 NTR262359:NTT262359 ODN262359:ODP262359 ONJ262359:ONL262359 OXF262359:OXH262359 PHB262359:PHD262359 PQX262359:PQZ262359 QAT262359:QAV262359 QKP262359:QKR262359 QUL262359:QUN262359 REH262359:REJ262359 ROD262359:ROF262359 RXZ262359:RYB262359 SHV262359:SHX262359 SRR262359:SRT262359 TBN262359:TBP262359 TLJ262359:TLL262359 TVF262359:TVH262359 UFB262359:UFD262359 UOX262359:UOZ262359 UYT262359:UYV262359 VIP262359:VIR262359 VSL262359:VSN262359 WCH262359:WCJ262359 WMD262359:WMF262359 WVZ262359:WWB262359 G327895:I327895 JN327895:JP327895 TJ327895:TL327895 ADF327895:ADH327895 ANB327895:AND327895 AWX327895:AWZ327895 BGT327895:BGV327895 BQP327895:BQR327895 CAL327895:CAN327895 CKH327895:CKJ327895 CUD327895:CUF327895 DDZ327895:DEB327895 DNV327895:DNX327895 DXR327895:DXT327895 EHN327895:EHP327895 ERJ327895:ERL327895 FBF327895:FBH327895 FLB327895:FLD327895 FUX327895:FUZ327895 GET327895:GEV327895 GOP327895:GOR327895 GYL327895:GYN327895 HIH327895:HIJ327895 HSD327895:HSF327895 IBZ327895:ICB327895 ILV327895:ILX327895 IVR327895:IVT327895 JFN327895:JFP327895 JPJ327895:JPL327895 JZF327895:JZH327895 KJB327895:KJD327895 KSX327895:KSZ327895 LCT327895:LCV327895 LMP327895:LMR327895 LWL327895:LWN327895 MGH327895:MGJ327895 MQD327895:MQF327895 MZZ327895:NAB327895 NJV327895:NJX327895 NTR327895:NTT327895 ODN327895:ODP327895 ONJ327895:ONL327895 OXF327895:OXH327895 PHB327895:PHD327895 PQX327895:PQZ327895 QAT327895:QAV327895 QKP327895:QKR327895 QUL327895:QUN327895 REH327895:REJ327895 ROD327895:ROF327895 RXZ327895:RYB327895 SHV327895:SHX327895 SRR327895:SRT327895 TBN327895:TBP327895 TLJ327895:TLL327895 TVF327895:TVH327895 UFB327895:UFD327895 UOX327895:UOZ327895 UYT327895:UYV327895 VIP327895:VIR327895 VSL327895:VSN327895 WCH327895:WCJ327895 WMD327895:WMF327895 WVZ327895:WWB327895 G393431:I393431 JN393431:JP393431 TJ393431:TL393431 ADF393431:ADH393431 ANB393431:AND393431 AWX393431:AWZ393431 BGT393431:BGV393431 BQP393431:BQR393431 CAL393431:CAN393431 CKH393431:CKJ393431 CUD393431:CUF393431 DDZ393431:DEB393431 DNV393431:DNX393431 DXR393431:DXT393431 EHN393431:EHP393431 ERJ393431:ERL393431 FBF393431:FBH393431 FLB393431:FLD393431 FUX393431:FUZ393431 GET393431:GEV393431 GOP393431:GOR393431 GYL393431:GYN393431 HIH393431:HIJ393431 HSD393431:HSF393431 IBZ393431:ICB393431 ILV393431:ILX393431 IVR393431:IVT393431 JFN393431:JFP393431 JPJ393431:JPL393431 JZF393431:JZH393431 KJB393431:KJD393431 KSX393431:KSZ393431 LCT393431:LCV393431 LMP393431:LMR393431 LWL393431:LWN393431 MGH393431:MGJ393431 MQD393431:MQF393431 MZZ393431:NAB393431 NJV393431:NJX393431 NTR393431:NTT393431 ODN393431:ODP393431 ONJ393431:ONL393431 OXF393431:OXH393431 PHB393431:PHD393431 PQX393431:PQZ393431 QAT393431:QAV393431 QKP393431:QKR393431 QUL393431:QUN393431 REH393431:REJ393431 ROD393431:ROF393431 RXZ393431:RYB393431 SHV393431:SHX393431 SRR393431:SRT393431 TBN393431:TBP393431 TLJ393431:TLL393431 TVF393431:TVH393431 UFB393431:UFD393431 UOX393431:UOZ393431 UYT393431:UYV393431 VIP393431:VIR393431 VSL393431:VSN393431 WCH393431:WCJ393431 WMD393431:WMF393431 WVZ393431:WWB393431 G458967:I458967 JN458967:JP458967 TJ458967:TL458967 ADF458967:ADH458967 ANB458967:AND458967 AWX458967:AWZ458967 BGT458967:BGV458967 BQP458967:BQR458967 CAL458967:CAN458967 CKH458967:CKJ458967 CUD458967:CUF458967 DDZ458967:DEB458967 DNV458967:DNX458967 DXR458967:DXT458967 EHN458967:EHP458967 ERJ458967:ERL458967 FBF458967:FBH458967 FLB458967:FLD458967 FUX458967:FUZ458967 GET458967:GEV458967 GOP458967:GOR458967 GYL458967:GYN458967 HIH458967:HIJ458967 HSD458967:HSF458967 IBZ458967:ICB458967 ILV458967:ILX458967 IVR458967:IVT458967 JFN458967:JFP458967 JPJ458967:JPL458967 JZF458967:JZH458967 KJB458967:KJD458967 KSX458967:KSZ458967 LCT458967:LCV458967 LMP458967:LMR458967 LWL458967:LWN458967 MGH458967:MGJ458967 MQD458967:MQF458967 MZZ458967:NAB458967 NJV458967:NJX458967 NTR458967:NTT458967 ODN458967:ODP458967 ONJ458967:ONL458967 OXF458967:OXH458967 PHB458967:PHD458967 PQX458967:PQZ458967 QAT458967:QAV458967 QKP458967:QKR458967 QUL458967:QUN458967 REH458967:REJ458967 ROD458967:ROF458967 RXZ458967:RYB458967 SHV458967:SHX458967 SRR458967:SRT458967 TBN458967:TBP458967 TLJ458967:TLL458967 TVF458967:TVH458967 UFB458967:UFD458967 UOX458967:UOZ458967 UYT458967:UYV458967 VIP458967:VIR458967 VSL458967:VSN458967 WCH458967:WCJ458967 WMD458967:WMF458967 WVZ458967:WWB458967 G524503:I524503 JN524503:JP524503 TJ524503:TL524503 ADF524503:ADH524503 ANB524503:AND524503 AWX524503:AWZ524503 BGT524503:BGV524503 BQP524503:BQR524503 CAL524503:CAN524503 CKH524503:CKJ524503 CUD524503:CUF524503 DDZ524503:DEB524503 DNV524503:DNX524503 DXR524503:DXT524503 EHN524503:EHP524503 ERJ524503:ERL524503 FBF524503:FBH524503 FLB524503:FLD524503 FUX524503:FUZ524503 GET524503:GEV524503 GOP524503:GOR524503 GYL524503:GYN524503 HIH524503:HIJ524503 HSD524503:HSF524503 IBZ524503:ICB524503 ILV524503:ILX524503 IVR524503:IVT524503 JFN524503:JFP524503 JPJ524503:JPL524503 JZF524503:JZH524503 KJB524503:KJD524503 KSX524503:KSZ524503 LCT524503:LCV524503 LMP524503:LMR524503 LWL524503:LWN524503 MGH524503:MGJ524503 MQD524503:MQF524503 MZZ524503:NAB524503 NJV524503:NJX524503 NTR524503:NTT524503 ODN524503:ODP524503 ONJ524503:ONL524503 OXF524503:OXH524503 PHB524503:PHD524503 PQX524503:PQZ524503 QAT524503:QAV524503 QKP524503:QKR524503 QUL524503:QUN524503 REH524503:REJ524503 ROD524503:ROF524503 RXZ524503:RYB524503 SHV524503:SHX524503 SRR524503:SRT524503 TBN524503:TBP524503 TLJ524503:TLL524503 TVF524503:TVH524503 UFB524503:UFD524503 UOX524503:UOZ524503 UYT524503:UYV524503 VIP524503:VIR524503 VSL524503:VSN524503 WCH524503:WCJ524503 WMD524503:WMF524503 WVZ524503:WWB524503 G590039:I590039 JN590039:JP590039 TJ590039:TL590039 ADF590039:ADH590039 ANB590039:AND590039 AWX590039:AWZ590039 BGT590039:BGV590039 BQP590039:BQR590039 CAL590039:CAN590039 CKH590039:CKJ590039 CUD590039:CUF590039 DDZ590039:DEB590039 DNV590039:DNX590039 DXR590039:DXT590039 EHN590039:EHP590039 ERJ590039:ERL590039 FBF590039:FBH590039 FLB590039:FLD590039 FUX590039:FUZ590039 GET590039:GEV590039 GOP590039:GOR590039 GYL590039:GYN590039 HIH590039:HIJ590039 HSD590039:HSF590039 IBZ590039:ICB590039 ILV590039:ILX590039 IVR590039:IVT590039 JFN590039:JFP590039 JPJ590039:JPL590039 JZF590039:JZH590039 KJB590039:KJD590039 KSX590039:KSZ590039 LCT590039:LCV590039 LMP590039:LMR590039 LWL590039:LWN590039 MGH590039:MGJ590039 MQD590039:MQF590039 MZZ590039:NAB590039 NJV590039:NJX590039 NTR590039:NTT590039 ODN590039:ODP590039 ONJ590039:ONL590039 OXF590039:OXH590039 PHB590039:PHD590039 PQX590039:PQZ590039 QAT590039:QAV590039 QKP590039:QKR590039 QUL590039:QUN590039 REH590039:REJ590039 ROD590039:ROF590039 RXZ590039:RYB590039 SHV590039:SHX590039 SRR590039:SRT590039 TBN590039:TBP590039 TLJ590039:TLL590039 TVF590039:TVH590039 UFB590039:UFD590039 UOX590039:UOZ590039 UYT590039:UYV590039 VIP590039:VIR590039 VSL590039:VSN590039 WCH590039:WCJ590039 WMD590039:WMF590039 WVZ590039:WWB590039 G655575:I655575 JN655575:JP655575 TJ655575:TL655575 ADF655575:ADH655575 ANB655575:AND655575 AWX655575:AWZ655575 BGT655575:BGV655575 BQP655575:BQR655575 CAL655575:CAN655575 CKH655575:CKJ655575 CUD655575:CUF655575 DDZ655575:DEB655575 DNV655575:DNX655575 DXR655575:DXT655575 EHN655575:EHP655575 ERJ655575:ERL655575 FBF655575:FBH655575 FLB655575:FLD655575 FUX655575:FUZ655575 GET655575:GEV655575 GOP655575:GOR655575 GYL655575:GYN655575 HIH655575:HIJ655575 HSD655575:HSF655575 IBZ655575:ICB655575 ILV655575:ILX655575 IVR655575:IVT655575 JFN655575:JFP655575 JPJ655575:JPL655575 JZF655575:JZH655575 KJB655575:KJD655575 KSX655575:KSZ655575 LCT655575:LCV655575 LMP655575:LMR655575 LWL655575:LWN655575 MGH655575:MGJ655575 MQD655575:MQF655575 MZZ655575:NAB655575 NJV655575:NJX655575 NTR655575:NTT655575 ODN655575:ODP655575 ONJ655575:ONL655575 OXF655575:OXH655575 PHB655575:PHD655575 PQX655575:PQZ655575 QAT655575:QAV655575 QKP655575:QKR655575 QUL655575:QUN655575 REH655575:REJ655575 ROD655575:ROF655575 RXZ655575:RYB655575 SHV655575:SHX655575 SRR655575:SRT655575 TBN655575:TBP655575 TLJ655575:TLL655575 TVF655575:TVH655575 UFB655575:UFD655575 UOX655575:UOZ655575 UYT655575:UYV655575 VIP655575:VIR655575 VSL655575:VSN655575 WCH655575:WCJ655575 WMD655575:WMF655575 WVZ655575:WWB655575 G721111:I721111 JN721111:JP721111 TJ721111:TL721111 ADF721111:ADH721111 ANB721111:AND721111 AWX721111:AWZ721111 BGT721111:BGV721111 BQP721111:BQR721111 CAL721111:CAN721111 CKH721111:CKJ721111 CUD721111:CUF721111 DDZ721111:DEB721111 DNV721111:DNX721111 DXR721111:DXT721111 EHN721111:EHP721111 ERJ721111:ERL721111 FBF721111:FBH721111 FLB721111:FLD721111 FUX721111:FUZ721111 GET721111:GEV721111 GOP721111:GOR721111 GYL721111:GYN721111 HIH721111:HIJ721111 HSD721111:HSF721111 IBZ721111:ICB721111 ILV721111:ILX721111 IVR721111:IVT721111 JFN721111:JFP721111 JPJ721111:JPL721111 JZF721111:JZH721111 KJB721111:KJD721111 KSX721111:KSZ721111 LCT721111:LCV721111 LMP721111:LMR721111 LWL721111:LWN721111 MGH721111:MGJ721111 MQD721111:MQF721111 MZZ721111:NAB721111 NJV721111:NJX721111 NTR721111:NTT721111 ODN721111:ODP721111 ONJ721111:ONL721111 OXF721111:OXH721111 PHB721111:PHD721111 PQX721111:PQZ721111 QAT721111:QAV721111 QKP721111:QKR721111 QUL721111:QUN721111 REH721111:REJ721111 ROD721111:ROF721111 RXZ721111:RYB721111 SHV721111:SHX721111 SRR721111:SRT721111 TBN721111:TBP721111 TLJ721111:TLL721111 TVF721111:TVH721111 UFB721111:UFD721111 UOX721111:UOZ721111 UYT721111:UYV721111 VIP721111:VIR721111 VSL721111:VSN721111 WCH721111:WCJ721111 WMD721111:WMF721111 WVZ721111:WWB721111 G786647:I786647 JN786647:JP786647 TJ786647:TL786647 ADF786647:ADH786647 ANB786647:AND786647 AWX786647:AWZ786647 BGT786647:BGV786647 BQP786647:BQR786647 CAL786647:CAN786647 CKH786647:CKJ786647 CUD786647:CUF786647 DDZ786647:DEB786647 DNV786647:DNX786647 DXR786647:DXT786647 EHN786647:EHP786647 ERJ786647:ERL786647 FBF786647:FBH786647 FLB786647:FLD786647 FUX786647:FUZ786647 GET786647:GEV786647 GOP786647:GOR786647 GYL786647:GYN786647 HIH786647:HIJ786647 HSD786647:HSF786647 IBZ786647:ICB786647 ILV786647:ILX786647 IVR786647:IVT786647 JFN786647:JFP786647 JPJ786647:JPL786647 JZF786647:JZH786647 KJB786647:KJD786647 KSX786647:KSZ786647 LCT786647:LCV786647 LMP786647:LMR786647 LWL786647:LWN786647 MGH786647:MGJ786647 MQD786647:MQF786647 MZZ786647:NAB786647 NJV786647:NJX786647 NTR786647:NTT786647 ODN786647:ODP786647 ONJ786647:ONL786647 OXF786647:OXH786647 PHB786647:PHD786647 PQX786647:PQZ786647 QAT786647:QAV786647 QKP786647:QKR786647 QUL786647:QUN786647 REH786647:REJ786647 ROD786647:ROF786647 RXZ786647:RYB786647 SHV786647:SHX786647 SRR786647:SRT786647 TBN786647:TBP786647 TLJ786647:TLL786647 TVF786647:TVH786647 UFB786647:UFD786647 UOX786647:UOZ786647 UYT786647:UYV786647 VIP786647:VIR786647 VSL786647:VSN786647 WCH786647:WCJ786647 WMD786647:WMF786647 WVZ786647:WWB786647 G852183:I852183 JN852183:JP852183 TJ852183:TL852183 ADF852183:ADH852183 ANB852183:AND852183 AWX852183:AWZ852183 BGT852183:BGV852183 BQP852183:BQR852183 CAL852183:CAN852183 CKH852183:CKJ852183 CUD852183:CUF852183 DDZ852183:DEB852183 DNV852183:DNX852183 DXR852183:DXT852183 EHN852183:EHP852183 ERJ852183:ERL852183 FBF852183:FBH852183 FLB852183:FLD852183 FUX852183:FUZ852183 GET852183:GEV852183 GOP852183:GOR852183 GYL852183:GYN852183 HIH852183:HIJ852183 HSD852183:HSF852183 IBZ852183:ICB852183 ILV852183:ILX852183 IVR852183:IVT852183 JFN852183:JFP852183 JPJ852183:JPL852183 JZF852183:JZH852183 KJB852183:KJD852183 KSX852183:KSZ852183 LCT852183:LCV852183 LMP852183:LMR852183 LWL852183:LWN852183 MGH852183:MGJ852183 MQD852183:MQF852183 MZZ852183:NAB852183 NJV852183:NJX852183 NTR852183:NTT852183 ODN852183:ODP852183 ONJ852183:ONL852183 OXF852183:OXH852183 PHB852183:PHD852183 PQX852183:PQZ852183 QAT852183:QAV852183 QKP852183:QKR852183 QUL852183:QUN852183 REH852183:REJ852183 ROD852183:ROF852183 RXZ852183:RYB852183 SHV852183:SHX852183 SRR852183:SRT852183 TBN852183:TBP852183 TLJ852183:TLL852183 TVF852183:TVH852183 UFB852183:UFD852183 UOX852183:UOZ852183 UYT852183:UYV852183 VIP852183:VIR852183 VSL852183:VSN852183 WCH852183:WCJ852183 WMD852183:WMF852183 WVZ852183:WWB852183 G917719:I917719 JN917719:JP917719 TJ917719:TL917719 ADF917719:ADH917719 ANB917719:AND917719 AWX917719:AWZ917719 BGT917719:BGV917719 BQP917719:BQR917719 CAL917719:CAN917719 CKH917719:CKJ917719 CUD917719:CUF917719 DDZ917719:DEB917719 DNV917719:DNX917719 DXR917719:DXT917719 EHN917719:EHP917719 ERJ917719:ERL917719 FBF917719:FBH917719 FLB917719:FLD917719 FUX917719:FUZ917719 GET917719:GEV917719 GOP917719:GOR917719 GYL917719:GYN917719 HIH917719:HIJ917719 HSD917719:HSF917719 IBZ917719:ICB917719 ILV917719:ILX917719 IVR917719:IVT917719 JFN917719:JFP917719 JPJ917719:JPL917719 JZF917719:JZH917719 KJB917719:KJD917719 KSX917719:KSZ917719 LCT917719:LCV917719 LMP917719:LMR917719 LWL917719:LWN917719 MGH917719:MGJ917719 MQD917719:MQF917719 MZZ917719:NAB917719 NJV917719:NJX917719 NTR917719:NTT917719 ODN917719:ODP917719 ONJ917719:ONL917719 OXF917719:OXH917719 PHB917719:PHD917719 PQX917719:PQZ917719 QAT917719:QAV917719 QKP917719:QKR917719 QUL917719:QUN917719 REH917719:REJ917719 ROD917719:ROF917719 RXZ917719:RYB917719 SHV917719:SHX917719 SRR917719:SRT917719 TBN917719:TBP917719 TLJ917719:TLL917719 TVF917719:TVH917719 UFB917719:UFD917719 UOX917719:UOZ917719 UYT917719:UYV917719 VIP917719:VIR917719 VSL917719:VSN917719 WCH917719:WCJ917719 WMD917719:WMF917719 WVZ917719:WWB917719 G983255:I983255 JN983255:JP983255 TJ983255:TL983255 ADF983255:ADH983255 ANB983255:AND983255 AWX983255:AWZ983255 BGT983255:BGV983255 BQP983255:BQR983255 CAL983255:CAN983255 CKH983255:CKJ983255 CUD983255:CUF983255 DDZ983255:DEB983255 DNV983255:DNX983255 DXR983255:DXT983255 EHN983255:EHP983255 ERJ983255:ERL983255 FBF983255:FBH983255 FLB983255:FLD983255 FUX983255:FUZ983255 GET983255:GEV983255 GOP983255:GOR983255 GYL983255:GYN983255 HIH983255:HIJ983255 HSD983255:HSF983255 IBZ983255:ICB983255 ILV983255:ILX983255 IVR983255:IVT983255 JFN983255:JFP983255 JPJ983255:JPL983255 JZF983255:JZH983255 KJB983255:KJD983255 KSX983255:KSZ983255 LCT983255:LCV983255 LMP983255:LMR983255 LWL983255:LWN983255 MGH983255:MGJ983255 MQD983255:MQF983255 MZZ983255:NAB983255 NJV983255:NJX983255 NTR983255:NTT983255 ODN983255:ODP983255 ONJ983255:ONL983255 OXF983255:OXH983255 PHB983255:PHD983255 PQX983255:PQZ983255 QAT983255:QAV983255 QKP983255:QKR983255 QUL983255:QUN983255 REH983255:REJ983255 ROD983255:ROF983255 RXZ983255:RYB983255 SHV983255:SHX983255 SRR983255:SRT983255 TBN983255:TBP983255 TLJ983255:TLL983255 TVF983255:TVH983255 UFB983255:UFD983255 UOX983255:UOZ983255 UYT983255:UYV983255 VIP983255:VIR983255 VSL983255:VSN983255 WCH983255:WCJ983255 WMD983255:WMF983255 WVZ983255:WWB983255 C11:F11 JK11:JM11 TG11:TI11 ADC11:ADE11 AMY11:ANA11 AWU11:AWW11 BGQ11:BGS11 BQM11:BQO11 CAI11:CAK11 CKE11:CKG11 CUA11:CUC11 DDW11:DDY11 DNS11:DNU11 DXO11:DXQ11 EHK11:EHM11 ERG11:ERI11 FBC11:FBE11 FKY11:FLA11 FUU11:FUW11 GEQ11:GES11 GOM11:GOO11 GYI11:GYK11 HIE11:HIG11 HSA11:HSC11 IBW11:IBY11 ILS11:ILU11 IVO11:IVQ11 JFK11:JFM11 JPG11:JPI11 JZC11:JZE11 KIY11:KJA11 KSU11:KSW11 LCQ11:LCS11 LMM11:LMO11 LWI11:LWK11 MGE11:MGG11 MQA11:MQC11 MZW11:MZY11 NJS11:NJU11 NTO11:NTQ11 ODK11:ODM11 ONG11:ONI11 OXC11:OXE11 PGY11:PHA11 PQU11:PQW11 QAQ11:QAS11 QKM11:QKO11 QUI11:QUK11 REE11:REG11 ROA11:ROC11 RXW11:RXY11 SHS11:SHU11 SRO11:SRQ11 TBK11:TBM11 TLG11:TLI11 TVC11:TVE11 UEY11:UFA11 UOU11:UOW11 UYQ11:UYS11 VIM11:VIO11 VSI11:VSK11 WCE11:WCG11 WMA11:WMC11 WVW11:WVY11 C65750:F65750 JK65750:JM65750 TG65750:TI65750 ADC65750:ADE65750 AMY65750:ANA65750 AWU65750:AWW65750 BGQ65750:BGS65750 BQM65750:BQO65750 CAI65750:CAK65750 CKE65750:CKG65750 CUA65750:CUC65750 DDW65750:DDY65750 DNS65750:DNU65750 DXO65750:DXQ65750 EHK65750:EHM65750 ERG65750:ERI65750 FBC65750:FBE65750 FKY65750:FLA65750 FUU65750:FUW65750 GEQ65750:GES65750 GOM65750:GOO65750 GYI65750:GYK65750 HIE65750:HIG65750 HSA65750:HSC65750 IBW65750:IBY65750 ILS65750:ILU65750 IVO65750:IVQ65750 JFK65750:JFM65750 JPG65750:JPI65750 JZC65750:JZE65750 KIY65750:KJA65750 KSU65750:KSW65750 LCQ65750:LCS65750 LMM65750:LMO65750 LWI65750:LWK65750 MGE65750:MGG65750 MQA65750:MQC65750 MZW65750:MZY65750 NJS65750:NJU65750 NTO65750:NTQ65750 ODK65750:ODM65750 ONG65750:ONI65750 OXC65750:OXE65750 PGY65750:PHA65750 PQU65750:PQW65750 QAQ65750:QAS65750 QKM65750:QKO65750 QUI65750:QUK65750 REE65750:REG65750 ROA65750:ROC65750 RXW65750:RXY65750 SHS65750:SHU65750 SRO65750:SRQ65750 TBK65750:TBM65750 TLG65750:TLI65750 TVC65750:TVE65750 UEY65750:UFA65750 UOU65750:UOW65750 UYQ65750:UYS65750 VIM65750:VIO65750 VSI65750:VSK65750 WCE65750:WCG65750 WMA65750:WMC65750 WVW65750:WVY65750 C131286:F131286 JK131286:JM131286 TG131286:TI131286 ADC131286:ADE131286 AMY131286:ANA131286 AWU131286:AWW131286 BGQ131286:BGS131286 BQM131286:BQO131286 CAI131286:CAK131286 CKE131286:CKG131286 CUA131286:CUC131286 DDW131286:DDY131286 DNS131286:DNU131286 DXO131286:DXQ131286 EHK131286:EHM131286 ERG131286:ERI131286 FBC131286:FBE131286 FKY131286:FLA131286 FUU131286:FUW131286 GEQ131286:GES131286 GOM131286:GOO131286 GYI131286:GYK131286 HIE131286:HIG131286 HSA131286:HSC131286 IBW131286:IBY131286 ILS131286:ILU131286 IVO131286:IVQ131286 JFK131286:JFM131286 JPG131286:JPI131286 JZC131286:JZE131286 KIY131286:KJA131286 KSU131286:KSW131286 LCQ131286:LCS131286 LMM131286:LMO131286 LWI131286:LWK131286 MGE131286:MGG131286 MQA131286:MQC131286 MZW131286:MZY131286 NJS131286:NJU131286 NTO131286:NTQ131286 ODK131286:ODM131286 ONG131286:ONI131286 OXC131286:OXE131286 PGY131286:PHA131286 PQU131286:PQW131286 QAQ131286:QAS131286 QKM131286:QKO131286 QUI131286:QUK131286 REE131286:REG131286 ROA131286:ROC131286 RXW131286:RXY131286 SHS131286:SHU131286 SRO131286:SRQ131286 TBK131286:TBM131286 TLG131286:TLI131286 TVC131286:TVE131286 UEY131286:UFA131286 UOU131286:UOW131286 UYQ131286:UYS131286 VIM131286:VIO131286 VSI131286:VSK131286 WCE131286:WCG131286 WMA131286:WMC131286 WVW131286:WVY131286 C196822:F196822 JK196822:JM196822 TG196822:TI196822 ADC196822:ADE196822 AMY196822:ANA196822 AWU196822:AWW196822 BGQ196822:BGS196822 BQM196822:BQO196822 CAI196822:CAK196822 CKE196822:CKG196822 CUA196822:CUC196822 DDW196822:DDY196822 DNS196822:DNU196822 DXO196822:DXQ196822 EHK196822:EHM196822 ERG196822:ERI196822 FBC196822:FBE196822 FKY196822:FLA196822 FUU196822:FUW196822 GEQ196822:GES196822 GOM196822:GOO196822 GYI196822:GYK196822 HIE196822:HIG196822 HSA196822:HSC196822 IBW196822:IBY196822 ILS196822:ILU196822 IVO196822:IVQ196822 JFK196822:JFM196822 JPG196822:JPI196822 JZC196822:JZE196822 KIY196822:KJA196822 KSU196822:KSW196822 LCQ196822:LCS196822 LMM196822:LMO196822 LWI196822:LWK196822 MGE196822:MGG196822 MQA196822:MQC196822 MZW196822:MZY196822 NJS196822:NJU196822 NTO196822:NTQ196822 ODK196822:ODM196822 ONG196822:ONI196822 OXC196822:OXE196822 PGY196822:PHA196822 PQU196822:PQW196822 QAQ196822:QAS196822 QKM196822:QKO196822 QUI196822:QUK196822 REE196822:REG196822 ROA196822:ROC196822 RXW196822:RXY196822 SHS196822:SHU196822 SRO196822:SRQ196822 TBK196822:TBM196822 TLG196822:TLI196822 TVC196822:TVE196822 UEY196822:UFA196822 UOU196822:UOW196822 UYQ196822:UYS196822 VIM196822:VIO196822 VSI196822:VSK196822 WCE196822:WCG196822 WMA196822:WMC196822 WVW196822:WVY196822 C262358:F262358 JK262358:JM262358 TG262358:TI262358 ADC262358:ADE262358 AMY262358:ANA262358 AWU262358:AWW262358 BGQ262358:BGS262358 BQM262358:BQO262358 CAI262358:CAK262358 CKE262358:CKG262358 CUA262358:CUC262358 DDW262358:DDY262358 DNS262358:DNU262358 DXO262358:DXQ262358 EHK262358:EHM262358 ERG262358:ERI262358 FBC262358:FBE262358 FKY262358:FLA262358 FUU262358:FUW262358 GEQ262358:GES262358 GOM262358:GOO262358 GYI262358:GYK262358 HIE262358:HIG262358 HSA262358:HSC262358 IBW262358:IBY262358 ILS262358:ILU262358 IVO262358:IVQ262358 JFK262358:JFM262358 JPG262358:JPI262358 JZC262358:JZE262358 KIY262358:KJA262358 KSU262358:KSW262358 LCQ262358:LCS262358 LMM262358:LMO262358 LWI262358:LWK262358 MGE262358:MGG262358 MQA262358:MQC262358 MZW262358:MZY262358 NJS262358:NJU262358 NTO262358:NTQ262358 ODK262358:ODM262358 ONG262358:ONI262358 OXC262358:OXE262358 PGY262358:PHA262358 PQU262358:PQW262358 QAQ262358:QAS262358 QKM262358:QKO262358 QUI262358:QUK262358 REE262358:REG262358 ROA262358:ROC262358 RXW262358:RXY262358 SHS262358:SHU262358 SRO262358:SRQ262358 TBK262358:TBM262358 TLG262358:TLI262358 TVC262358:TVE262358 UEY262358:UFA262358 UOU262358:UOW262358 UYQ262358:UYS262358 VIM262358:VIO262358 VSI262358:VSK262358 WCE262358:WCG262358 WMA262358:WMC262358 WVW262358:WVY262358 C327894:F327894 JK327894:JM327894 TG327894:TI327894 ADC327894:ADE327894 AMY327894:ANA327894 AWU327894:AWW327894 BGQ327894:BGS327894 BQM327894:BQO327894 CAI327894:CAK327894 CKE327894:CKG327894 CUA327894:CUC327894 DDW327894:DDY327894 DNS327894:DNU327894 DXO327894:DXQ327894 EHK327894:EHM327894 ERG327894:ERI327894 FBC327894:FBE327894 FKY327894:FLA327894 FUU327894:FUW327894 GEQ327894:GES327894 GOM327894:GOO327894 GYI327894:GYK327894 HIE327894:HIG327894 HSA327894:HSC327894 IBW327894:IBY327894 ILS327894:ILU327894 IVO327894:IVQ327894 JFK327894:JFM327894 JPG327894:JPI327894 JZC327894:JZE327894 KIY327894:KJA327894 KSU327894:KSW327894 LCQ327894:LCS327894 LMM327894:LMO327894 LWI327894:LWK327894 MGE327894:MGG327894 MQA327894:MQC327894 MZW327894:MZY327894 NJS327894:NJU327894 NTO327894:NTQ327894 ODK327894:ODM327894 ONG327894:ONI327894 OXC327894:OXE327894 PGY327894:PHA327894 PQU327894:PQW327894 QAQ327894:QAS327894 QKM327894:QKO327894 QUI327894:QUK327894 REE327894:REG327894 ROA327894:ROC327894 RXW327894:RXY327894 SHS327894:SHU327894 SRO327894:SRQ327894 TBK327894:TBM327894 TLG327894:TLI327894 TVC327894:TVE327894 UEY327894:UFA327894 UOU327894:UOW327894 UYQ327894:UYS327894 VIM327894:VIO327894 VSI327894:VSK327894 WCE327894:WCG327894 WMA327894:WMC327894 WVW327894:WVY327894 C393430:F393430 JK393430:JM393430 TG393430:TI393430 ADC393430:ADE393430 AMY393430:ANA393430 AWU393430:AWW393430 BGQ393430:BGS393430 BQM393430:BQO393430 CAI393430:CAK393430 CKE393430:CKG393430 CUA393430:CUC393430 DDW393430:DDY393430 DNS393430:DNU393430 DXO393430:DXQ393430 EHK393430:EHM393430 ERG393430:ERI393430 FBC393430:FBE393430 FKY393430:FLA393430 FUU393430:FUW393430 GEQ393430:GES393430 GOM393430:GOO393430 GYI393430:GYK393430 HIE393430:HIG393430 HSA393430:HSC393430 IBW393430:IBY393430 ILS393430:ILU393430 IVO393430:IVQ393430 JFK393430:JFM393430 JPG393430:JPI393430 JZC393430:JZE393430 KIY393430:KJA393430 KSU393430:KSW393430 LCQ393430:LCS393430 LMM393430:LMO393430 LWI393430:LWK393430 MGE393430:MGG393430 MQA393430:MQC393430 MZW393430:MZY393430 NJS393430:NJU393430 NTO393430:NTQ393430 ODK393430:ODM393430 ONG393430:ONI393430 OXC393430:OXE393430 PGY393430:PHA393430 PQU393430:PQW393430 QAQ393430:QAS393430 QKM393430:QKO393430 QUI393430:QUK393430 REE393430:REG393430 ROA393430:ROC393430 RXW393430:RXY393430 SHS393430:SHU393430 SRO393430:SRQ393430 TBK393430:TBM393430 TLG393430:TLI393430 TVC393430:TVE393430 UEY393430:UFA393430 UOU393430:UOW393430 UYQ393430:UYS393430 VIM393430:VIO393430 VSI393430:VSK393430 WCE393430:WCG393430 WMA393430:WMC393430 WVW393430:WVY393430 C458966:F458966 JK458966:JM458966 TG458966:TI458966 ADC458966:ADE458966 AMY458966:ANA458966 AWU458966:AWW458966 BGQ458966:BGS458966 BQM458966:BQO458966 CAI458966:CAK458966 CKE458966:CKG458966 CUA458966:CUC458966 DDW458966:DDY458966 DNS458966:DNU458966 DXO458966:DXQ458966 EHK458966:EHM458966 ERG458966:ERI458966 FBC458966:FBE458966 FKY458966:FLA458966 FUU458966:FUW458966 GEQ458966:GES458966 GOM458966:GOO458966 GYI458966:GYK458966 HIE458966:HIG458966 HSA458966:HSC458966 IBW458966:IBY458966 ILS458966:ILU458966 IVO458966:IVQ458966 JFK458966:JFM458966 JPG458966:JPI458966 JZC458966:JZE458966 KIY458966:KJA458966 KSU458966:KSW458966 LCQ458966:LCS458966 LMM458966:LMO458966 LWI458966:LWK458966 MGE458966:MGG458966 MQA458966:MQC458966 MZW458966:MZY458966 NJS458966:NJU458966 NTO458966:NTQ458966 ODK458966:ODM458966 ONG458966:ONI458966 OXC458966:OXE458966 PGY458966:PHA458966 PQU458966:PQW458966 QAQ458966:QAS458966 QKM458966:QKO458966 QUI458966:QUK458966 REE458966:REG458966 ROA458966:ROC458966 RXW458966:RXY458966 SHS458966:SHU458966 SRO458966:SRQ458966 TBK458966:TBM458966 TLG458966:TLI458966 TVC458966:TVE458966 UEY458966:UFA458966 UOU458966:UOW458966 UYQ458966:UYS458966 VIM458966:VIO458966 VSI458966:VSK458966 WCE458966:WCG458966 WMA458966:WMC458966 WVW458966:WVY458966 C524502:F524502 JK524502:JM524502 TG524502:TI524502 ADC524502:ADE524502 AMY524502:ANA524502 AWU524502:AWW524502 BGQ524502:BGS524502 BQM524502:BQO524502 CAI524502:CAK524502 CKE524502:CKG524502 CUA524502:CUC524502 DDW524502:DDY524502 DNS524502:DNU524502 DXO524502:DXQ524502 EHK524502:EHM524502 ERG524502:ERI524502 FBC524502:FBE524502 FKY524502:FLA524502 FUU524502:FUW524502 GEQ524502:GES524502 GOM524502:GOO524502 GYI524502:GYK524502 HIE524502:HIG524502 HSA524502:HSC524502 IBW524502:IBY524502 ILS524502:ILU524502 IVO524502:IVQ524502 JFK524502:JFM524502 JPG524502:JPI524502 JZC524502:JZE524502 KIY524502:KJA524502 KSU524502:KSW524502 LCQ524502:LCS524502 LMM524502:LMO524502 LWI524502:LWK524502 MGE524502:MGG524502 MQA524502:MQC524502 MZW524502:MZY524502 NJS524502:NJU524502 NTO524502:NTQ524502 ODK524502:ODM524502 ONG524502:ONI524502 OXC524502:OXE524502 PGY524502:PHA524502 PQU524502:PQW524502 QAQ524502:QAS524502 QKM524502:QKO524502 QUI524502:QUK524502 REE524502:REG524502 ROA524502:ROC524502 RXW524502:RXY524502 SHS524502:SHU524502 SRO524502:SRQ524502 TBK524502:TBM524502 TLG524502:TLI524502 TVC524502:TVE524502 UEY524502:UFA524502 UOU524502:UOW524502 UYQ524502:UYS524502 VIM524502:VIO524502 VSI524502:VSK524502 WCE524502:WCG524502 WMA524502:WMC524502 WVW524502:WVY524502 C590038:F590038 JK590038:JM590038 TG590038:TI590038 ADC590038:ADE590038 AMY590038:ANA590038 AWU590038:AWW590038 BGQ590038:BGS590038 BQM590038:BQO590038 CAI590038:CAK590038 CKE590038:CKG590038 CUA590038:CUC590038 DDW590038:DDY590038 DNS590038:DNU590038 DXO590038:DXQ590038 EHK590038:EHM590038 ERG590038:ERI590038 FBC590038:FBE590038 FKY590038:FLA590038 FUU590038:FUW590038 GEQ590038:GES590038 GOM590038:GOO590038 GYI590038:GYK590038 HIE590038:HIG590038 HSA590038:HSC590038 IBW590038:IBY590038 ILS590038:ILU590038 IVO590038:IVQ590038 JFK590038:JFM590038 JPG590038:JPI590038 JZC590038:JZE590038 KIY590038:KJA590038 KSU590038:KSW590038 LCQ590038:LCS590038 LMM590038:LMO590038 LWI590038:LWK590038 MGE590038:MGG590038 MQA590038:MQC590038 MZW590038:MZY590038 NJS590038:NJU590038 NTO590038:NTQ590038 ODK590038:ODM590038 ONG590038:ONI590038 OXC590038:OXE590038 PGY590038:PHA590038 PQU590038:PQW590038 QAQ590038:QAS590038 QKM590038:QKO590038 QUI590038:QUK590038 REE590038:REG590038 ROA590038:ROC590038 RXW590038:RXY590038 SHS590038:SHU590038 SRO590038:SRQ590038 TBK590038:TBM590038 TLG590038:TLI590038 TVC590038:TVE590038 UEY590038:UFA590038 UOU590038:UOW590038 UYQ590038:UYS590038 VIM590038:VIO590038 VSI590038:VSK590038 WCE590038:WCG590038 WMA590038:WMC590038 WVW590038:WVY590038 C655574:F655574 JK655574:JM655574 TG655574:TI655574 ADC655574:ADE655574 AMY655574:ANA655574 AWU655574:AWW655574 BGQ655574:BGS655574 BQM655574:BQO655574 CAI655574:CAK655574 CKE655574:CKG655574 CUA655574:CUC655574 DDW655574:DDY655574 DNS655574:DNU655574 DXO655574:DXQ655574 EHK655574:EHM655574 ERG655574:ERI655574 FBC655574:FBE655574 FKY655574:FLA655574 FUU655574:FUW655574 GEQ655574:GES655574 GOM655574:GOO655574 GYI655574:GYK655574 HIE655574:HIG655574 HSA655574:HSC655574 IBW655574:IBY655574 ILS655574:ILU655574 IVO655574:IVQ655574 JFK655574:JFM655574 JPG655574:JPI655574 JZC655574:JZE655574 KIY655574:KJA655574 KSU655574:KSW655574 LCQ655574:LCS655574 LMM655574:LMO655574 LWI655574:LWK655574 MGE655574:MGG655574 MQA655574:MQC655574 MZW655574:MZY655574 NJS655574:NJU655574 NTO655574:NTQ655574 ODK655574:ODM655574 ONG655574:ONI655574 OXC655574:OXE655574 PGY655574:PHA655574 PQU655574:PQW655574 QAQ655574:QAS655574 QKM655574:QKO655574 QUI655574:QUK655574 REE655574:REG655574 ROA655574:ROC655574 RXW655574:RXY655574 SHS655574:SHU655574 SRO655574:SRQ655574 TBK655574:TBM655574 TLG655574:TLI655574 TVC655574:TVE655574 UEY655574:UFA655574 UOU655574:UOW655574 UYQ655574:UYS655574 VIM655574:VIO655574 VSI655574:VSK655574 WCE655574:WCG655574 WMA655574:WMC655574 WVW655574:WVY655574 C721110:F721110 JK721110:JM721110 TG721110:TI721110 ADC721110:ADE721110 AMY721110:ANA721110 AWU721110:AWW721110 BGQ721110:BGS721110 BQM721110:BQO721110 CAI721110:CAK721110 CKE721110:CKG721110 CUA721110:CUC721110 DDW721110:DDY721110 DNS721110:DNU721110 DXO721110:DXQ721110 EHK721110:EHM721110 ERG721110:ERI721110 FBC721110:FBE721110 FKY721110:FLA721110 FUU721110:FUW721110 GEQ721110:GES721110 GOM721110:GOO721110 GYI721110:GYK721110 HIE721110:HIG721110 HSA721110:HSC721110 IBW721110:IBY721110 ILS721110:ILU721110 IVO721110:IVQ721110 JFK721110:JFM721110 JPG721110:JPI721110 JZC721110:JZE721110 KIY721110:KJA721110 KSU721110:KSW721110 LCQ721110:LCS721110 LMM721110:LMO721110 LWI721110:LWK721110 MGE721110:MGG721110 MQA721110:MQC721110 MZW721110:MZY721110 NJS721110:NJU721110 NTO721110:NTQ721110 ODK721110:ODM721110 ONG721110:ONI721110 OXC721110:OXE721110 PGY721110:PHA721110 PQU721110:PQW721110 QAQ721110:QAS721110 QKM721110:QKO721110 QUI721110:QUK721110 REE721110:REG721110 ROA721110:ROC721110 RXW721110:RXY721110 SHS721110:SHU721110 SRO721110:SRQ721110 TBK721110:TBM721110 TLG721110:TLI721110 TVC721110:TVE721110 UEY721110:UFA721110 UOU721110:UOW721110 UYQ721110:UYS721110 VIM721110:VIO721110 VSI721110:VSK721110 WCE721110:WCG721110 WMA721110:WMC721110 WVW721110:WVY721110 C786646:F786646 JK786646:JM786646 TG786646:TI786646 ADC786646:ADE786646 AMY786646:ANA786646 AWU786646:AWW786646 BGQ786646:BGS786646 BQM786646:BQO786646 CAI786646:CAK786646 CKE786646:CKG786646 CUA786646:CUC786646 DDW786646:DDY786646 DNS786646:DNU786646 DXO786646:DXQ786646 EHK786646:EHM786646 ERG786646:ERI786646 FBC786646:FBE786646 FKY786646:FLA786646 FUU786646:FUW786646 GEQ786646:GES786646 GOM786646:GOO786646 GYI786646:GYK786646 HIE786646:HIG786646 HSA786646:HSC786646 IBW786646:IBY786646 ILS786646:ILU786646 IVO786646:IVQ786646 JFK786646:JFM786646 JPG786646:JPI786646 JZC786646:JZE786646 KIY786646:KJA786646 KSU786646:KSW786646 LCQ786646:LCS786646 LMM786646:LMO786646 LWI786646:LWK786646 MGE786646:MGG786646 MQA786646:MQC786646 MZW786646:MZY786646 NJS786646:NJU786646 NTO786646:NTQ786646 ODK786646:ODM786646 ONG786646:ONI786646 OXC786646:OXE786646 PGY786646:PHA786646 PQU786646:PQW786646 QAQ786646:QAS786646 QKM786646:QKO786646 QUI786646:QUK786646 REE786646:REG786646 ROA786646:ROC786646 RXW786646:RXY786646 SHS786646:SHU786646 SRO786646:SRQ786646 TBK786646:TBM786646 TLG786646:TLI786646 TVC786646:TVE786646 UEY786646:UFA786646 UOU786646:UOW786646 UYQ786646:UYS786646 VIM786646:VIO786646 VSI786646:VSK786646 WCE786646:WCG786646 WMA786646:WMC786646 WVW786646:WVY786646 C852182:F852182 JK852182:JM852182 TG852182:TI852182 ADC852182:ADE852182 AMY852182:ANA852182 AWU852182:AWW852182 BGQ852182:BGS852182 BQM852182:BQO852182 CAI852182:CAK852182 CKE852182:CKG852182 CUA852182:CUC852182 DDW852182:DDY852182 DNS852182:DNU852182 DXO852182:DXQ852182 EHK852182:EHM852182 ERG852182:ERI852182 FBC852182:FBE852182 FKY852182:FLA852182 FUU852182:FUW852182 GEQ852182:GES852182 GOM852182:GOO852182 GYI852182:GYK852182 HIE852182:HIG852182 HSA852182:HSC852182 IBW852182:IBY852182 ILS852182:ILU852182 IVO852182:IVQ852182 JFK852182:JFM852182 JPG852182:JPI852182 JZC852182:JZE852182 KIY852182:KJA852182 KSU852182:KSW852182 LCQ852182:LCS852182 LMM852182:LMO852182 LWI852182:LWK852182 MGE852182:MGG852182 MQA852182:MQC852182 MZW852182:MZY852182 NJS852182:NJU852182 NTO852182:NTQ852182 ODK852182:ODM852182 ONG852182:ONI852182 OXC852182:OXE852182 PGY852182:PHA852182 PQU852182:PQW852182 QAQ852182:QAS852182 QKM852182:QKO852182 QUI852182:QUK852182 REE852182:REG852182 ROA852182:ROC852182 RXW852182:RXY852182 SHS852182:SHU852182 SRO852182:SRQ852182 TBK852182:TBM852182 TLG852182:TLI852182 TVC852182:TVE852182 UEY852182:UFA852182 UOU852182:UOW852182 UYQ852182:UYS852182 VIM852182:VIO852182 VSI852182:VSK852182 WCE852182:WCG852182 WMA852182:WMC852182 WVW852182:WVY852182 C917718:F917718 JK917718:JM917718 TG917718:TI917718 ADC917718:ADE917718 AMY917718:ANA917718 AWU917718:AWW917718 BGQ917718:BGS917718 BQM917718:BQO917718 CAI917718:CAK917718 CKE917718:CKG917718 CUA917718:CUC917718 DDW917718:DDY917718 DNS917718:DNU917718 DXO917718:DXQ917718 EHK917718:EHM917718 ERG917718:ERI917718 FBC917718:FBE917718 FKY917718:FLA917718 FUU917718:FUW917718 GEQ917718:GES917718 GOM917718:GOO917718 GYI917718:GYK917718 HIE917718:HIG917718 HSA917718:HSC917718 IBW917718:IBY917718 ILS917718:ILU917718 IVO917718:IVQ917718 JFK917718:JFM917718 JPG917718:JPI917718 JZC917718:JZE917718 KIY917718:KJA917718 KSU917718:KSW917718 LCQ917718:LCS917718 LMM917718:LMO917718 LWI917718:LWK917718 MGE917718:MGG917718 MQA917718:MQC917718 MZW917718:MZY917718 NJS917718:NJU917718 NTO917718:NTQ917718 ODK917718:ODM917718 ONG917718:ONI917718 OXC917718:OXE917718 PGY917718:PHA917718 PQU917718:PQW917718 QAQ917718:QAS917718 QKM917718:QKO917718 QUI917718:QUK917718 REE917718:REG917718 ROA917718:ROC917718 RXW917718:RXY917718 SHS917718:SHU917718 SRO917718:SRQ917718 TBK917718:TBM917718 TLG917718:TLI917718 TVC917718:TVE917718 UEY917718:UFA917718 UOU917718:UOW917718 UYQ917718:UYS917718 VIM917718:VIO917718 VSI917718:VSK917718 WCE917718:WCG917718 WMA917718:WMC917718 WVW917718:WVY917718 C983254:F983254 JK983254:JM983254 TG983254:TI983254 ADC983254:ADE983254 AMY983254:ANA983254 AWU983254:AWW983254 BGQ983254:BGS983254 BQM983254:BQO983254 CAI983254:CAK983254 CKE983254:CKG983254 CUA983254:CUC983254 DDW983254:DDY983254 DNS983254:DNU983254 DXO983254:DXQ983254 EHK983254:EHM983254 ERG983254:ERI983254 FBC983254:FBE983254 FKY983254:FLA983254 FUU983254:FUW983254 GEQ983254:GES983254 GOM983254:GOO983254 GYI983254:GYK983254 HIE983254:HIG983254 HSA983254:HSC983254 IBW983254:IBY983254 ILS983254:ILU983254 IVO983254:IVQ983254 JFK983254:JFM983254 JPG983254:JPI983254 JZC983254:JZE983254 KIY983254:KJA983254 KSU983254:KSW983254 LCQ983254:LCS983254 LMM983254:LMO983254 LWI983254:LWK983254 MGE983254:MGG983254 MQA983254:MQC983254 MZW983254:MZY983254 NJS983254:NJU983254 NTO983254:NTQ983254 ODK983254:ODM983254 ONG983254:ONI983254 OXC983254:OXE983254 PGY983254:PHA983254 PQU983254:PQW983254 QAQ983254:QAS983254 QKM983254:QKO983254 QUI983254:QUK983254 REE983254:REG983254 ROA983254:ROC983254 RXW983254:RXY983254 SHS983254:SHU983254 SRO983254:SRQ983254 TBK983254:TBM983254 TLG983254:TLI983254 TVC983254:TVE983254 UEY983254:UFA983254 UOU983254:UOW983254 UYQ983254:UYS983254 VIM983254:VIO983254 VSI983254:VSK983254 WCE983254:WCG983254 WMA983254:WMC983254 WVW983254:WVY983254 WVZ12:WWB12 WMD12:WMF12 WCH12:WCJ12 VSL12:VSN12 VIP12:VIR12 UYT12:UYV12 UOX12:UOZ12 UFB12:UFD12 TVF12:TVH12 TLJ12:TLL12 TBN12:TBP12 SRR12:SRT12 SHV12:SHX12 RXZ12:RYB12 ROD12:ROF12 REH12:REJ12 QUL12:QUN12 QKP12:QKR12 QAT12:QAV12 PQX12:PQZ12 PHB12:PHD12 OXF12:OXH12 ONJ12:ONL12 ODN12:ODP12 NTR12:NTT12 NJV12:NJX12 MZZ12:NAB12 MQD12:MQF12 MGH12:MGJ12 LWL12:LWN12 LMP12:LMR12 LCT12:LCV12 KSX12:KSZ12 KJB12:KJD12 JZF12:JZH12 JPJ12:JPL12 JFN12:JFP12 IVR12:IVT12 ILV12:ILX12 IBZ12:ICB12 HSD12:HSF12 HIH12:HIJ12 GYL12:GYN12 GOP12:GOR12 GET12:GEV12 FUX12:FUZ12 FLB12:FLD12 FBF12:FBH12 ERJ12:ERL12 EHN12:EHP12 DXR12:DXT12 DNV12:DNX12 DDZ12:DEB12 CUD12:CUF12 CKH12:CKJ12 CAL12:CAN12 BQP12:BQR12 BGT12:BGV12 AWX12:AWZ12 ANB12:AND12 ADF12:ADH12 TJ12:TL12 JN12:JP12 G12:I12" xr:uid="{00000000-0002-0000-0100-000001000000}"/>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JK8 TG8 ADC8 AMY8 AWU8 BGQ8 BQM8 CAI8 CKE8 CUA8 DDW8 DNS8 DXO8 EHK8 ERG8 FBC8 FKY8 FUU8 GEQ8 GOM8 GYI8 HIE8 HSA8 IBW8 ILS8 IVO8 JFK8 JPG8 JZC8 KIY8 KSU8 LCQ8 LMM8 LWI8 MGE8 MQA8 MZW8 NJS8 NTO8 ODK8 ONG8 OXC8 PGY8 PQU8 QAQ8 QKM8 QUI8 REE8 ROA8 RXW8 SHS8 SRO8 TBK8 TLG8 TVC8 UEY8 UOU8 UYQ8 VIM8 VSI8 WCE8 WMA8 WVW8 C65744:D65744 JK65744 TG65744 ADC65744 AMY65744 AWU65744 BGQ65744 BQM65744 CAI65744 CKE65744 CUA65744 DDW65744 DNS65744 DXO65744 EHK65744 ERG65744 FBC65744 FKY65744 FUU65744 GEQ65744 GOM65744 GYI65744 HIE65744 HSA65744 IBW65744 ILS65744 IVO65744 JFK65744 JPG65744 JZC65744 KIY65744 KSU65744 LCQ65744 LMM65744 LWI65744 MGE65744 MQA65744 MZW65744 NJS65744 NTO65744 ODK65744 ONG65744 OXC65744 PGY65744 PQU65744 QAQ65744 QKM65744 QUI65744 REE65744 ROA65744 RXW65744 SHS65744 SRO65744 TBK65744 TLG65744 TVC65744 UEY65744 UOU65744 UYQ65744 VIM65744 VSI65744 WCE65744 WMA65744 WVW65744 C131280:D131280 JK131280 TG131280 ADC131280 AMY131280 AWU131280 BGQ131280 BQM131280 CAI131280 CKE131280 CUA131280 DDW131280 DNS131280 DXO131280 EHK131280 ERG131280 FBC131280 FKY131280 FUU131280 GEQ131280 GOM131280 GYI131280 HIE131280 HSA131280 IBW131280 ILS131280 IVO131280 JFK131280 JPG131280 JZC131280 KIY131280 KSU131280 LCQ131280 LMM131280 LWI131280 MGE131280 MQA131280 MZW131280 NJS131280 NTO131280 ODK131280 ONG131280 OXC131280 PGY131280 PQU131280 QAQ131280 QKM131280 QUI131280 REE131280 ROA131280 RXW131280 SHS131280 SRO131280 TBK131280 TLG131280 TVC131280 UEY131280 UOU131280 UYQ131280 VIM131280 VSI131280 WCE131280 WMA131280 WVW131280 C196816:D196816 JK196816 TG196816 ADC196816 AMY196816 AWU196816 BGQ196816 BQM196816 CAI196816 CKE196816 CUA196816 DDW196816 DNS196816 DXO196816 EHK196816 ERG196816 FBC196816 FKY196816 FUU196816 GEQ196816 GOM196816 GYI196816 HIE196816 HSA196816 IBW196816 ILS196816 IVO196816 JFK196816 JPG196816 JZC196816 KIY196816 KSU196816 LCQ196816 LMM196816 LWI196816 MGE196816 MQA196816 MZW196816 NJS196816 NTO196816 ODK196816 ONG196816 OXC196816 PGY196816 PQU196816 QAQ196816 QKM196816 QUI196816 REE196816 ROA196816 RXW196816 SHS196816 SRO196816 TBK196816 TLG196816 TVC196816 UEY196816 UOU196816 UYQ196816 VIM196816 VSI196816 WCE196816 WMA196816 WVW196816 C262352:D262352 JK262352 TG262352 ADC262352 AMY262352 AWU262352 BGQ262352 BQM262352 CAI262352 CKE262352 CUA262352 DDW262352 DNS262352 DXO262352 EHK262352 ERG262352 FBC262352 FKY262352 FUU262352 GEQ262352 GOM262352 GYI262352 HIE262352 HSA262352 IBW262352 ILS262352 IVO262352 JFK262352 JPG262352 JZC262352 KIY262352 KSU262352 LCQ262352 LMM262352 LWI262352 MGE262352 MQA262352 MZW262352 NJS262352 NTO262352 ODK262352 ONG262352 OXC262352 PGY262352 PQU262352 QAQ262352 QKM262352 QUI262352 REE262352 ROA262352 RXW262352 SHS262352 SRO262352 TBK262352 TLG262352 TVC262352 UEY262352 UOU262352 UYQ262352 VIM262352 VSI262352 WCE262352 WMA262352 WVW262352 C327888:D327888 JK327888 TG327888 ADC327888 AMY327888 AWU327888 BGQ327888 BQM327888 CAI327888 CKE327888 CUA327888 DDW327888 DNS327888 DXO327888 EHK327888 ERG327888 FBC327888 FKY327888 FUU327888 GEQ327888 GOM327888 GYI327888 HIE327888 HSA327888 IBW327888 ILS327888 IVO327888 JFK327888 JPG327888 JZC327888 KIY327888 KSU327888 LCQ327888 LMM327888 LWI327888 MGE327888 MQA327888 MZW327888 NJS327888 NTO327888 ODK327888 ONG327888 OXC327888 PGY327888 PQU327888 QAQ327888 QKM327888 QUI327888 REE327888 ROA327888 RXW327888 SHS327888 SRO327888 TBK327888 TLG327888 TVC327888 UEY327888 UOU327888 UYQ327888 VIM327888 VSI327888 WCE327888 WMA327888 WVW327888 C393424:D393424 JK393424 TG393424 ADC393424 AMY393424 AWU393424 BGQ393424 BQM393424 CAI393424 CKE393424 CUA393424 DDW393424 DNS393424 DXO393424 EHK393424 ERG393424 FBC393424 FKY393424 FUU393424 GEQ393424 GOM393424 GYI393424 HIE393424 HSA393424 IBW393424 ILS393424 IVO393424 JFK393424 JPG393424 JZC393424 KIY393424 KSU393424 LCQ393424 LMM393424 LWI393424 MGE393424 MQA393424 MZW393424 NJS393424 NTO393424 ODK393424 ONG393424 OXC393424 PGY393424 PQU393424 QAQ393424 QKM393424 QUI393424 REE393424 ROA393424 RXW393424 SHS393424 SRO393424 TBK393424 TLG393424 TVC393424 UEY393424 UOU393424 UYQ393424 VIM393424 VSI393424 WCE393424 WMA393424 WVW393424 C458960:D458960 JK458960 TG458960 ADC458960 AMY458960 AWU458960 BGQ458960 BQM458960 CAI458960 CKE458960 CUA458960 DDW458960 DNS458960 DXO458960 EHK458960 ERG458960 FBC458960 FKY458960 FUU458960 GEQ458960 GOM458960 GYI458960 HIE458960 HSA458960 IBW458960 ILS458960 IVO458960 JFK458960 JPG458960 JZC458960 KIY458960 KSU458960 LCQ458960 LMM458960 LWI458960 MGE458960 MQA458960 MZW458960 NJS458960 NTO458960 ODK458960 ONG458960 OXC458960 PGY458960 PQU458960 QAQ458960 QKM458960 QUI458960 REE458960 ROA458960 RXW458960 SHS458960 SRO458960 TBK458960 TLG458960 TVC458960 UEY458960 UOU458960 UYQ458960 VIM458960 VSI458960 WCE458960 WMA458960 WVW458960 C524496:D524496 JK524496 TG524496 ADC524496 AMY524496 AWU524496 BGQ524496 BQM524496 CAI524496 CKE524496 CUA524496 DDW524496 DNS524496 DXO524496 EHK524496 ERG524496 FBC524496 FKY524496 FUU524496 GEQ524496 GOM524496 GYI524496 HIE524496 HSA524496 IBW524496 ILS524496 IVO524496 JFK524496 JPG524496 JZC524496 KIY524496 KSU524496 LCQ524496 LMM524496 LWI524496 MGE524496 MQA524496 MZW524496 NJS524496 NTO524496 ODK524496 ONG524496 OXC524496 PGY524496 PQU524496 QAQ524496 QKM524496 QUI524496 REE524496 ROA524496 RXW524496 SHS524496 SRO524496 TBK524496 TLG524496 TVC524496 UEY524496 UOU524496 UYQ524496 VIM524496 VSI524496 WCE524496 WMA524496 WVW524496 C590032:D590032 JK590032 TG590032 ADC590032 AMY590032 AWU590032 BGQ590032 BQM590032 CAI590032 CKE590032 CUA590032 DDW590032 DNS590032 DXO590032 EHK590032 ERG590032 FBC590032 FKY590032 FUU590032 GEQ590032 GOM590032 GYI590032 HIE590032 HSA590032 IBW590032 ILS590032 IVO590032 JFK590032 JPG590032 JZC590032 KIY590032 KSU590032 LCQ590032 LMM590032 LWI590032 MGE590032 MQA590032 MZW590032 NJS590032 NTO590032 ODK590032 ONG590032 OXC590032 PGY590032 PQU590032 QAQ590032 QKM590032 QUI590032 REE590032 ROA590032 RXW590032 SHS590032 SRO590032 TBK590032 TLG590032 TVC590032 UEY590032 UOU590032 UYQ590032 VIM590032 VSI590032 WCE590032 WMA590032 WVW590032 C655568:D655568 JK655568 TG655568 ADC655568 AMY655568 AWU655568 BGQ655568 BQM655568 CAI655568 CKE655568 CUA655568 DDW655568 DNS655568 DXO655568 EHK655568 ERG655568 FBC655568 FKY655568 FUU655568 GEQ655568 GOM655568 GYI655568 HIE655568 HSA655568 IBW655568 ILS655568 IVO655568 JFK655568 JPG655568 JZC655568 KIY655568 KSU655568 LCQ655568 LMM655568 LWI655568 MGE655568 MQA655568 MZW655568 NJS655568 NTO655568 ODK655568 ONG655568 OXC655568 PGY655568 PQU655568 QAQ655568 QKM655568 QUI655568 REE655568 ROA655568 RXW655568 SHS655568 SRO655568 TBK655568 TLG655568 TVC655568 UEY655568 UOU655568 UYQ655568 VIM655568 VSI655568 WCE655568 WMA655568 WVW655568 C721104:D721104 JK721104 TG721104 ADC721104 AMY721104 AWU721104 BGQ721104 BQM721104 CAI721104 CKE721104 CUA721104 DDW721104 DNS721104 DXO721104 EHK721104 ERG721104 FBC721104 FKY721104 FUU721104 GEQ721104 GOM721104 GYI721104 HIE721104 HSA721104 IBW721104 ILS721104 IVO721104 JFK721104 JPG721104 JZC721104 KIY721104 KSU721104 LCQ721104 LMM721104 LWI721104 MGE721104 MQA721104 MZW721104 NJS721104 NTO721104 ODK721104 ONG721104 OXC721104 PGY721104 PQU721104 QAQ721104 QKM721104 QUI721104 REE721104 ROA721104 RXW721104 SHS721104 SRO721104 TBK721104 TLG721104 TVC721104 UEY721104 UOU721104 UYQ721104 VIM721104 VSI721104 WCE721104 WMA721104 WVW721104 C786640:D786640 JK786640 TG786640 ADC786640 AMY786640 AWU786640 BGQ786640 BQM786640 CAI786640 CKE786640 CUA786640 DDW786640 DNS786640 DXO786640 EHK786640 ERG786640 FBC786640 FKY786640 FUU786640 GEQ786640 GOM786640 GYI786640 HIE786640 HSA786640 IBW786640 ILS786640 IVO786640 JFK786640 JPG786640 JZC786640 KIY786640 KSU786640 LCQ786640 LMM786640 LWI786640 MGE786640 MQA786640 MZW786640 NJS786640 NTO786640 ODK786640 ONG786640 OXC786640 PGY786640 PQU786640 QAQ786640 QKM786640 QUI786640 REE786640 ROA786640 RXW786640 SHS786640 SRO786640 TBK786640 TLG786640 TVC786640 UEY786640 UOU786640 UYQ786640 VIM786640 VSI786640 WCE786640 WMA786640 WVW786640 C852176:D852176 JK852176 TG852176 ADC852176 AMY852176 AWU852176 BGQ852176 BQM852176 CAI852176 CKE852176 CUA852176 DDW852176 DNS852176 DXO852176 EHK852176 ERG852176 FBC852176 FKY852176 FUU852176 GEQ852176 GOM852176 GYI852176 HIE852176 HSA852176 IBW852176 ILS852176 IVO852176 JFK852176 JPG852176 JZC852176 KIY852176 KSU852176 LCQ852176 LMM852176 LWI852176 MGE852176 MQA852176 MZW852176 NJS852176 NTO852176 ODK852176 ONG852176 OXC852176 PGY852176 PQU852176 QAQ852176 QKM852176 QUI852176 REE852176 ROA852176 RXW852176 SHS852176 SRO852176 TBK852176 TLG852176 TVC852176 UEY852176 UOU852176 UYQ852176 VIM852176 VSI852176 WCE852176 WMA852176 WVW852176 C917712:D917712 JK917712 TG917712 ADC917712 AMY917712 AWU917712 BGQ917712 BQM917712 CAI917712 CKE917712 CUA917712 DDW917712 DNS917712 DXO917712 EHK917712 ERG917712 FBC917712 FKY917712 FUU917712 GEQ917712 GOM917712 GYI917712 HIE917712 HSA917712 IBW917712 ILS917712 IVO917712 JFK917712 JPG917712 JZC917712 KIY917712 KSU917712 LCQ917712 LMM917712 LWI917712 MGE917712 MQA917712 MZW917712 NJS917712 NTO917712 ODK917712 ONG917712 OXC917712 PGY917712 PQU917712 QAQ917712 QKM917712 QUI917712 REE917712 ROA917712 RXW917712 SHS917712 SRO917712 TBK917712 TLG917712 TVC917712 UEY917712 UOU917712 UYQ917712 VIM917712 VSI917712 WCE917712 WMA917712 WVW917712 C983248:D983248 JK983248 TG983248 ADC983248 AMY983248 AWU983248 BGQ983248 BQM983248 CAI983248 CKE983248 CUA983248 DDW983248 DNS983248 DXO983248 EHK983248 ERG983248 FBC983248 FKY983248 FUU983248 GEQ983248 GOM983248 GYI983248 HIE983248 HSA983248 IBW983248 ILS983248 IVO983248 JFK983248 JPG983248 JZC983248 KIY983248 KSU983248 LCQ983248 LMM983248 LWI983248 MGE983248 MQA983248 MZW983248 NJS983248 NTO983248 ODK983248 ONG983248 OXC983248 PGY983248 PQU983248 QAQ983248 QKM983248 QUI983248 REE983248 ROA983248 RXW983248 SHS983248 SRO983248 TBK983248 TLG983248 TVC983248 UEY983248 UOU983248 UYQ983248 VIM983248 VSI983248 WCE983248 WMA983248 WVW983248" xr:uid="{00000000-0002-0000-0100-000002000000}"/>
    <dataValidation allowBlank="1" showInputMessage="1" showErrorMessage="1" prompt="Diligencie con el nombre del supervisor y/o interventor delegado." sqref="C9:D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C65746:D65747 JK65746:JK65747 TG65746:TG65747 ADC65746:ADC65747 AMY65746:AMY65747 AWU65746:AWU65747 BGQ65746:BGQ65747 BQM65746:BQM65747 CAI65746:CAI65747 CKE65746:CKE65747 CUA65746:CUA65747 DDW65746:DDW65747 DNS65746:DNS65747 DXO65746:DXO65747 EHK65746:EHK65747 ERG65746:ERG65747 FBC65746:FBC65747 FKY65746:FKY65747 FUU65746:FUU65747 GEQ65746:GEQ65747 GOM65746:GOM65747 GYI65746:GYI65747 HIE65746:HIE65747 HSA65746:HSA65747 IBW65746:IBW65747 ILS65746:ILS65747 IVO65746:IVO65747 JFK65746:JFK65747 JPG65746:JPG65747 JZC65746:JZC65747 KIY65746:KIY65747 KSU65746:KSU65747 LCQ65746:LCQ65747 LMM65746:LMM65747 LWI65746:LWI65747 MGE65746:MGE65747 MQA65746:MQA65747 MZW65746:MZW65747 NJS65746:NJS65747 NTO65746:NTO65747 ODK65746:ODK65747 ONG65746:ONG65747 OXC65746:OXC65747 PGY65746:PGY65747 PQU65746:PQU65747 QAQ65746:QAQ65747 QKM65746:QKM65747 QUI65746:QUI65747 REE65746:REE65747 ROA65746:ROA65747 RXW65746:RXW65747 SHS65746:SHS65747 SRO65746:SRO65747 TBK65746:TBK65747 TLG65746:TLG65747 TVC65746:TVC65747 UEY65746:UEY65747 UOU65746:UOU65747 UYQ65746:UYQ65747 VIM65746:VIM65747 VSI65746:VSI65747 WCE65746:WCE65747 WMA65746:WMA65747 WVW65746:WVW65747 C131282:D131283 JK131282:JK131283 TG131282:TG131283 ADC131282:ADC131283 AMY131282:AMY131283 AWU131282:AWU131283 BGQ131282:BGQ131283 BQM131282:BQM131283 CAI131282:CAI131283 CKE131282:CKE131283 CUA131282:CUA131283 DDW131282:DDW131283 DNS131282:DNS131283 DXO131282:DXO131283 EHK131282:EHK131283 ERG131282:ERG131283 FBC131282:FBC131283 FKY131282:FKY131283 FUU131282:FUU131283 GEQ131282:GEQ131283 GOM131282:GOM131283 GYI131282:GYI131283 HIE131282:HIE131283 HSA131282:HSA131283 IBW131282:IBW131283 ILS131282:ILS131283 IVO131282:IVO131283 JFK131282:JFK131283 JPG131282:JPG131283 JZC131282:JZC131283 KIY131282:KIY131283 KSU131282:KSU131283 LCQ131282:LCQ131283 LMM131282:LMM131283 LWI131282:LWI131283 MGE131282:MGE131283 MQA131282:MQA131283 MZW131282:MZW131283 NJS131282:NJS131283 NTO131282:NTO131283 ODK131282:ODK131283 ONG131282:ONG131283 OXC131282:OXC131283 PGY131282:PGY131283 PQU131282:PQU131283 QAQ131282:QAQ131283 QKM131282:QKM131283 QUI131282:QUI131283 REE131282:REE131283 ROA131282:ROA131283 RXW131282:RXW131283 SHS131282:SHS131283 SRO131282:SRO131283 TBK131282:TBK131283 TLG131282:TLG131283 TVC131282:TVC131283 UEY131282:UEY131283 UOU131282:UOU131283 UYQ131282:UYQ131283 VIM131282:VIM131283 VSI131282:VSI131283 WCE131282:WCE131283 WMA131282:WMA131283 WVW131282:WVW131283 C196818:D196819 JK196818:JK196819 TG196818:TG196819 ADC196818:ADC196819 AMY196818:AMY196819 AWU196818:AWU196819 BGQ196818:BGQ196819 BQM196818:BQM196819 CAI196818:CAI196819 CKE196818:CKE196819 CUA196818:CUA196819 DDW196818:DDW196819 DNS196818:DNS196819 DXO196818:DXO196819 EHK196818:EHK196819 ERG196818:ERG196819 FBC196818:FBC196819 FKY196818:FKY196819 FUU196818:FUU196819 GEQ196818:GEQ196819 GOM196818:GOM196819 GYI196818:GYI196819 HIE196818:HIE196819 HSA196818:HSA196819 IBW196818:IBW196819 ILS196818:ILS196819 IVO196818:IVO196819 JFK196818:JFK196819 JPG196818:JPG196819 JZC196818:JZC196819 KIY196818:KIY196819 KSU196818:KSU196819 LCQ196818:LCQ196819 LMM196818:LMM196819 LWI196818:LWI196819 MGE196818:MGE196819 MQA196818:MQA196819 MZW196818:MZW196819 NJS196818:NJS196819 NTO196818:NTO196819 ODK196818:ODK196819 ONG196818:ONG196819 OXC196818:OXC196819 PGY196818:PGY196819 PQU196818:PQU196819 QAQ196818:QAQ196819 QKM196818:QKM196819 QUI196818:QUI196819 REE196818:REE196819 ROA196818:ROA196819 RXW196818:RXW196819 SHS196818:SHS196819 SRO196818:SRO196819 TBK196818:TBK196819 TLG196818:TLG196819 TVC196818:TVC196819 UEY196818:UEY196819 UOU196818:UOU196819 UYQ196818:UYQ196819 VIM196818:VIM196819 VSI196818:VSI196819 WCE196818:WCE196819 WMA196818:WMA196819 WVW196818:WVW196819 C262354:D262355 JK262354:JK262355 TG262354:TG262355 ADC262354:ADC262355 AMY262354:AMY262355 AWU262354:AWU262355 BGQ262354:BGQ262355 BQM262354:BQM262355 CAI262354:CAI262355 CKE262354:CKE262355 CUA262354:CUA262355 DDW262354:DDW262355 DNS262354:DNS262355 DXO262354:DXO262355 EHK262354:EHK262355 ERG262354:ERG262355 FBC262354:FBC262355 FKY262354:FKY262355 FUU262354:FUU262355 GEQ262354:GEQ262355 GOM262354:GOM262355 GYI262354:GYI262355 HIE262354:HIE262355 HSA262354:HSA262355 IBW262354:IBW262355 ILS262354:ILS262355 IVO262354:IVO262355 JFK262354:JFK262355 JPG262354:JPG262355 JZC262354:JZC262355 KIY262354:KIY262355 KSU262354:KSU262355 LCQ262354:LCQ262355 LMM262354:LMM262355 LWI262354:LWI262355 MGE262354:MGE262355 MQA262354:MQA262355 MZW262354:MZW262355 NJS262354:NJS262355 NTO262354:NTO262355 ODK262354:ODK262355 ONG262354:ONG262355 OXC262354:OXC262355 PGY262354:PGY262355 PQU262354:PQU262355 QAQ262354:QAQ262355 QKM262354:QKM262355 QUI262354:QUI262355 REE262354:REE262355 ROA262354:ROA262355 RXW262354:RXW262355 SHS262354:SHS262355 SRO262354:SRO262355 TBK262354:TBK262355 TLG262354:TLG262355 TVC262354:TVC262355 UEY262354:UEY262355 UOU262354:UOU262355 UYQ262354:UYQ262355 VIM262354:VIM262355 VSI262354:VSI262355 WCE262354:WCE262355 WMA262354:WMA262355 WVW262354:WVW262355 C327890:D327891 JK327890:JK327891 TG327890:TG327891 ADC327890:ADC327891 AMY327890:AMY327891 AWU327890:AWU327891 BGQ327890:BGQ327891 BQM327890:BQM327891 CAI327890:CAI327891 CKE327890:CKE327891 CUA327890:CUA327891 DDW327890:DDW327891 DNS327890:DNS327891 DXO327890:DXO327891 EHK327890:EHK327891 ERG327890:ERG327891 FBC327890:FBC327891 FKY327890:FKY327891 FUU327890:FUU327891 GEQ327890:GEQ327891 GOM327890:GOM327891 GYI327890:GYI327891 HIE327890:HIE327891 HSA327890:HSA327891 IBW327890:IBW327891 ILS327890:ILS327891 IVO327890:IVO327891 JFK327890:JFK327891 JPG327890:JPG327891 JZC327890:JZC327891 KIY327890:KIY327891 KSU327890:KSU327891 LCQ327890:LCQ327891 LMM327890:LMM327891 LWI327890:LWI327891 MGE327890:MGE327891 MQA327890:MQA327891 MZW327890:MZW327891 NJS327890:NJS327891 NTO327890:NTO327891 ODK327890:ODK327891 ONG327890:ONG327891 OXC327890:OXC327891 PGY327890:PGY327891 PQU327890:PQU327891 QAQ327890:QAQ327891 QKM327890:QKM327891 QUI327890:QUI327891 REE327890:REE327891 ROA327890:ROA327891 RXW327890:RXW327891 SHS327890:SHS327891 SRO327890:SRO327891 TBK327890:TBK327891 TLG327890:TLG327891 TVC327890:TVC327891 UEY327890:UEY327891 UOU327890:UOU327891 UYQ327890:UYQ327891 VIM327890:VIM327891 VSI327890:VSI327891 WCE327890:WCE327891 WMA327890:WMA327891 WVW327890:WVW327891 C393426:D393427 JK393426:JK393427 TG393426:TG393427 ADC393426:ADC393427 AMY393426:AMY393427 AWU393426:AWU393427 BGQ393426:BGQ393427 BQM393426:BQM393427 CAI393426:CAI393427 CKE393426:CKE393427 CUA393426:CUA393427 DDW393426:DDW393427 DNS393426:DNS393427 DXO393426:DXO393427 EHK393426:EHK393427 ERG393426:ERG393427 FBC393426:FBC393427 FKY393426:FKY393427 FUU393426:FUU393427 GEQ393426:GEQ393427 GOM393426:GOM393427 GYI393426:GYI393427 HIE393426:HIE393427 HSA393426:HSA393427 IBW393426:IBW393427 ILS393426:ILS393427 IVO393426:IVO393427 JFK393426:JFK393427 JPG393426:JPG393427 JZC393426:JZC393427 KIY393426:KIY393427 KSU393426:KSU393427 LCQ393426:LCQ393427 LMM393426:LMM393427 LWI393426:LWI393427 MGE393426:MGE393427 MQA393426:MQA393427 MZW393426:MZW393427 NJS393426:NJS393427 NTO393426:NTO393427 ODK393426:ODK393427 ONG393426:ONG393427 OXC393426:OXC393427 PGY393426:PGY393427 PQU393426:PQU393427 QAQ393426:QAQ393427 QKM393426:QKM393427 QUI393426:QUI393427 REE393426:REE393427 ROA393426:ROA393427 RXW393426:RXW393427 SHS393426:SHS393427 SRO393426:SRO393427 TBK393426:TBK393427 TLG393426:TLG393427 TVC393426:TVC393427 UEY393426:UEY393427 UOU393426:UOU393427 UYQ393426:UYQ393427 VIM393426:VIM393427 VSI393426:VSI393427 WCE393426:WCE393427 WMA393426:WMA393427 WVW393426:WVW393427 C458962:D458963 JK458962:JK458963 TG458962:TG458963 ADC458962:ADC458963 AMY458962:AMY458963 AWU458962:AWU458963 BGQ458962:BGQ458963 BQM458962:BQM458963 CAI458962:CAI458963 CKE458962:CKE458963 CUA458962:CUA458963 DDW458962:DDW458963 DNS458962:DNS458963 DXO458962:DXO458963 EHK458962:EHK458963 ERG458962:ERG458963 FBC458962:FBC458963 FKY458962:FKY458963 FUU458962:FUU458963 GEQ458962:GEQ458963 GOM458962:GOM458963 GYI458962:GYI458963 HIE458962:HIE458963 HSA458962:HSA458963 IBW458962:IBW458963 ILS458962:ILS458963 IVO458962:IVO458963 JFK458962:JFK458963 JPG458962:JPG458963 JZC458962:JZC458963 KIY458962:KIY458963 KSU458962:KSU458963 LCQ458962:LCQ458963 LMM458962:LMM458963 LWI458962:LWI458963 MGE458962:MGE458963 MQA458962:MQA458963 MZW458962:MZW458963 NJS458962:NJS458963 NTO458962:NTO458963 ODK458962:ODK458963 ONG458962:ONG458963 OXC458962:OXC458963 PGY458962:PGY458963 PQU458962:PQU458963 QAQ458962:QAQ458963 QKM458962:QKM458963 QUI458962:QUI458963 REE458962:REE458963 ROA458962:ROA458963 RXW458962:RXW458963 SHS458962:SHS458963 SRO458962:SRO458963 TBK458962:TBK458963 TLG458962:TLG458963 TVC458962:TVC458963 UEY458962:UEY458963 UOU458962:UOU458963 UYQ458962:UYQ458963 VIM458962:VIM458963 VSI458962:VSI458963 WCE458962:WCE458963 WMA458962:WMA458963 WVW458962:WVW458963 C524498:D524499 JK524498:JK524499 TG524498:TG524499 ADC524498:ADC524499 AMY524498:AMY524499 AWU524498:AWU524499 BGQ524498:BGQ524499 BQM524498:BQM524499 CAI524498:CAI524499 CKE524498:CKE524499 CUA524498:CUA524499 DDW524498:DDW524499 DNS524498:DNS524499 DXO524498:DXO524499 EHK524498:EHK524499 ERG524498:ERG524499 FBC524498:FBC524499 FKY524498:FKY524499 FUU524498:FUU524499 GEQ524498:GEQ524499 GOM524498:GOM524499 GYI524498:GYI524499 HIE524498:HIE524499 HSA524498:HSA524499 IBW524498:IBW524499 ILS524498:ILS524499 IVO524498:IVO524499 JFK524498:JFK524499 JPG524498:JPG524499 JZC524498:JZC524499 KIY524498:KIY524499 KSU524498:KSU524499 LCQ524498:LCQ524499 LMM524498:LMM524499 LWI524498:LWI524499 MGE524498:MGE524499 MQA524498:MQA524499 MZW524498:MZW524499 NJS524498:NJS524499 NTO524498:NTO524499 ODK524498:ODK524499 ONG524498:ONG524499 OXC524498:OXC524499 PGY524498:PGY524499 PQU524498:PQU524499 QAQ524498:QAQ524499 QKM524498:QKM524499 QUI524498:QUI524499 REE524498:REE524499 ROA524498:ROA524499 RXW524498:RXW524499 SHS524498:SHS524499 SRO524498:SRO524499 TBK524498:TBK524499 TLG524498:TLG524499 TVC524498:TVC524499 UEY524498:UEY524499 UOU524498:UOU524499 UYQ524498:UYQ524499 VIM524498:VIM524499 VSI524498:VSI524499 WCE524498:WCE524499 WMA524498:WMA524499 WVW524498:WVW524499 C590034:D590035 JK590034:JK590035 TG590034:TG590035 ADC590034:ADC590035 AMY590034:AMY590035 AWU590034:AWU590035 BGQ590034:BGQ590035 BQM590034:BQM590035 CAI590034:CAI590035 CKE590034:CKE590035 CUA590034:CUA590035 DDW590034:DDW590035 DNS590034:DNS590035 DXO590034:DXO590035 EHK590034:EHK590035 ERG590034:ERG590035 FBC590034:FBC590035 FKY590034:FKY590035 FUU590034:FUU590035 GEQ590034:GEQ590035 GOM590034:GOM590035 GYI590034:GYI590035 HIE590034:HIE590035 HSA590034:HSA590035 IBW590034:IBW590035 ILS590034:ILS590035 IVO590034:IVO590035 JFK590034:JFK590035 JPG590034:JPG590035 JZC590034:JZC590035 KIY590034:KIY590035 KSU590034:KSU590035 LCQ590034:LCQ590035 LMM590034:LMM590035 LWI590034:LWI590035 MGE590034:MGE590035 MQA590034:MQA590035 MZW590034:MZW590035 NJS590034:NJS590035 NTO590034:NTO590035 ODK590034:ODK590035 ONG590034:ONG590035 OXC590034:OXC590035 PGY590034:PGY590035 PQU590034:PQU590035 QAQ590034:QAQ590035 QKM590034:QKM590035 QUI590034:QUI590035 REE590034:REE590035 ROA590034:ROA590035 RXW590034:RXW590035 SHS590034:SHS590035 SRO590034:SRO590035 TBK590034:TBK590035 TLG590034:TLG590035 TVC590034:TVC590035 UEY590034:UEY590035 UOU590034:UOU590035 UYQ590034:UYQ590035 VIM590034:VIM590035 VSI590034:VSI590035 WCE590034:WCE590035 WMA590034:WMA590035 WVW590034:WVW590035 C655570:D655571 JK655570:JK655571 TG655570:TG655571 ADC655570:ADC655571 AMY655570:AMY655571 AWU655570:AWU655571 BGQ655570:BGQ655571 BQM655570:BQM655571 CAI655570:CAI655571 CKE655570:CKE655571 CUA655570:CUA655571 DDW655570:DDW655571 DNS655570:DNS655571 DXO655570:DXO655571 EHK655570:EHK655571 ERG655570:ERG655571 FBC655570:FBC655571 FKY655570:FKY655571 FUU655570:FUU655571 GEQ655570:GEQ655571 GOM655570:GOM655571 GYI655570:GYI655571 HIE655570:HIE655571 HSA655570:HSA655571 IBW655570:IBW655571 ILS655570:ILS655571 IVO655570:IVO655571 JFK655570:JFK655571 JPG655570:JPG655571 JZC655570:JZC655571 KIY655570:KIY655571 KSU655570:KSU655571 LCQ655570:LCQ655571 LMM655570:LMM655571 LWI655570:LWI655571 MGE655570:MGE655571 MQA655570:MQA655571 MZW655570:MZW655571 NJS655570:NJS655571 NTO655570:NTO655571 ODK655570:ODK655571 ONG655570:ONG655571 OXC655570:OXC655571 PGY655570:PGY655571 PQU655570:PQU655571 QAQ655570:QAQ655571 QKM655570:QKM655571 QUI655570:QUI655571 REE655570:REE655571 ROA655570:ROA655571 RXW655570:RXW655571 SHS655570:SHS655571 SRO655570:SRO655571 TBK655570:TBK655571 TLG655570:TLG655571 TVC655570:TVC655571 UEY655570:UEY655571 UOU655570:UOU655571 UYQ655570:UYQ655571 VIM655570:VIM655571 VSI655570:VSI655571 WCE655570:WCE655571 WMA655570:WMA655571 WVW655570:WVW655571 C721106:D721107 JK721106:JK721107 TG721106:TG721107 ADC721106:ADC721107 AMY721106:AMY721107 AWU721106:AWU721107 BGQ721106:BGQ721107 BQM721106:BQM721107 CAI721106:CAI721107 CKE721106:CKE721107 CUA721106:CUA721107 DDW721106:DDW721107 DNS721106:DNS721107 DXO721106:DXO721107 EHK721106:EHK721107 ERG721106:ERG721107 FBC721106:FBC721107 FKY721106:FKY721107 FUU721106:FUU721107 GEQ721106:GEQ721107 GOM721106:GOM721107 GYI721106:GYI721107 HIE721106:HIE721107 HSA721106:HSA721107 IBW721106:IBW721107 ILS721106:ILS721107 IVO721106:IVO721107 JFK721106:JFK721107 JPG721106:JPG721107 JZC721106:JZC721107 KIY721106:KIY721107 KSU721106:KSU721107 LCQ721106:LCQ721107 LMM721106:LMM721107 LWI721106:LWI721107 MGE721106:MGE721107 MQA721106:MQA721107 MZW721106:MZW721107 NJS721106:NJS721107 NTO721106:NTO721107 ODK721106:ODK721107 ONG721106:ONG721107 OXC721106:OXC721107 PGY721106:PGY721107 PQU721106:PQU721107 QAQ721106:QAQ721107 QKM721106:QKM721107 QUI721106:QUI721107 REE721106:REE721107 ROA721106:ROA721107 RXW721106:RXW721107 SHS721106:SHS721107 SRO721106:SRO721107 TBK721106:TBK721107 TLG721106:TLG721107 TVC721106:TVC721107 UEY721106:UEY721107 UOU721106:UOU721107 UYQ721106:UYQ721107 VIM721106:VIM721107 VSI721106:VSI721107 WCE721106:WCE721107 WMA721106:WMA721107 WVW721106:WVW721107 C786642:D786643 JK786642:JK786643 TG786642:TG786643 ADC786642:ADC786643 AMY786642:AMY786643 AWU786642:AWU786643 BGQ786642:BGQ786643 BQM786642:BQM786643 CAI786642:CAI786643 CKE786642:CKE786643 CUA786642:CUA786643 DDW786642:DDW786643 DNS786642:DNS786643 DXO786642:DXO786643 EHK786642:EHK786643 ERG786642:ERG786643 FBC786642:FBC786643 FKY786642:FKY786643 FUU786642:FUU786643 GEQ786642:GEQ786643 GOM786642:GOM786643 GYI786642:GYI786643 HIE786642:HIE786643 HSA786642:HSA786643 IBW786642:IBW786643 ILS786642:ILS786643 IVO786642:IVO786643 JFK786642:JFK786643 JPG786642:JPG786643 JZC786642:JZC786643 KIY786642:KIY786643 KSU786642:KSU786643 LCQ786642:LCQ786643 LMM786642:LMM786643 LWI786642:LWI786643 MGE786642:MGE786643 MQA786642:MQA786643 MZW786642:MZW786643 NJS786642:NJS786643 NTO786642:NTO786643 ODK786642:ODK786643 ONG786642:ONG786643 OXC786642:OXC786643 PGY786642:PGY786643 PQU786642:PQU786643 QAQ786642:QAQ786643 QKM786642:QKM786643 QUI786642:QUI786643 REE786642:REE786643 ROA786642:ROA786643 RXW786642:RXW786643 SHS786642:SHS786643 SRO786642:SRO786643 TBK786642:TBK786643 TLG786642:TLG786643 TVC786642:TVC786643 UEY786642:UEY786643 UOU786642:UOU786643 UYQ786642:UYQ786643 VIM786642:VIM786643 VSI786642:VSI786643 WCE786642:WCE786643 WMA786642:WMA786643 WVW786642:WVW786643 C852178:D852179 JK852178:JK852179 TG852178:TG852179 ADC852178:ADC852179 AMY852178:AMY852179 AWU852178:AWU852179 BGQ852178:BGQ852179 BQM852178:BQM852179 CAI852178:CAI852179 CKE852178:CKE852179 CUA852178:CUA852179 DDW852178:DDW852179 DNS852178:DNS852179 DXO852178:DXO852179 EHK852178:EHK852179 ERG852178:ERG852179 FBC852178:FBC852179 FKY852178:FKY852179 FUU852178:FUU852179 GEQ852178:GEQ852179 GOM852178:GOM852179 GYI852178:GYI852179 HIE852178:HIE852179 HSA852178:HSA852179 IBW852178:IBW852179 ILS852178:ILS852179 IVO852178:IVO852179 JFK852178:JFK852179 JPG852178:JPG852179 JZC852178:JZC852179 KIY852178:KIY852179 KSU852178:KSU852179 LCQ852178:LCQ852179 LMM852178:LMM852179 LWI852178:LWI852179 MGE852178:MGE852179 MQA852178:MQA852179 MZW852178:MZW852179 NJS852178:NJS852179 NTO852178:NTO852179 ODK852178:ODK852179 ONG852178:ONG852179 OXC852178:OXC852179 PGY852178:PGY852179 PQU852178:PQU852179 QAQ852178:QAQ852179 QKM852178:QKM852179 QUI852178:QUI852179 REE852178:REE852179 ROA852178:ROA852179 RXW852178:RXW852179 SHS852178:SHS852179 SRO852178:SRO852179 TBK852178:TBK852179 TLG852178:TLG852179 TVC852178:TVC852179 UEY852178:UEY852179 UOU852178:UOU852179 UYQ852178:UYQ852179 VIM852178:VIM852179 VSI852178:VSI852179 WCE852178:WCE852179 WMA852178:WMA852179 WVW852178:WVW852179 C917714:D917715 JK917714:JK917715 TG917714:TG917715 ADC917714:ADC917715 AMY917714:AMY917715 AWU917714:AWU917715 BGQ917714:BGQ917715 BQM917714:BQM917715 CAI917714:CAI917715 CKE917714:CKE917715 CUA917714:CUA917715 DDW917714:DDW917715 DNS917714:DNS917715 DXO917714:DXO917715 EHK917714:EHK917715 ERG917714:ERG917715 FBC917714:FBC917715 FKY917714:FKY917715 FUU917714:FUU917715 GEQ917714:GEQ917715 GOM917714:GOM917715 GYI917714:GYI917715 HIE917714:HIE917715 HSA917714:HSA917715 IBW917714:IBW917715 ILS917714:ILS917715 IVO917714:IVO917715 JFK917714:JFK917715 JPG917714:JPG917715 JZC917714:JZC917715 KIY917714:KIY917715 KSU917714:KSU917715 LCQ917714:LCQ917715 LMM917714:LMM917715 LWI917714:LWI917715 MGE917714:MGE917715 MQA917714:MQA917715 MZW917714:MZW917715 NJS917714:NJS917715 NTO917714:NTO917715 ODK917714:ODK917715 ONG917714:ONG917715 OXC917714:OXC917715 PGY917714:PGY917715 PQU917714:PQU917715 QAQ917714:QAQ917715 QKM917714:QKM917715 QUI917714:QUI917715 REE917714:REE917715 ROA917714:ROA917715 RXW917714:RXW917715 SHS917714:SHS917715 SRO917714:SRO917715 TBK917714:TBK917715 TLG917714:TLG917715 TVC917714:TVC917715 UEY917714:UEY917715 UOU917714:UOU917715 UYQ917714:UYQ917715 VIM917714:VIM917715 VSI917714:VSI917715 WCE917714:WCE917715 WMA917714:WMA917715 WVW917714:WVW917715 C983250:D983251 JK983250:JK983251 TG983250:TG983251 ADC983250:ADC983251 AMY983250:AMY983251 AWU983250:AWU983251 BGQ983250:BGQ983251 BQM983250:BQM983251 CAI983250:CAI983251 CKE983250:CKE983251 CUA983250:CUA983251 DDW983250:DDW983251 DNS983250:DNS983251 DXO983250:DXO983251 EHK983250:EHK983251 ERG983250:ERG983251 FBC983250:FBC983251 FKY983250:FKY983251 FUU983250:FUU983251 GEQ983250:GEQ983251 GOM983250:GOM983251 GYI983250:GYI983251 HIE983250:HIE983251 HSA983250:HSA983251 IBW983250:IBW983251 ILS983250:ILS983251 IVO983250:IVO983251 JFK983250:JFK983251 JPG983250:JPG983251 JZC983250:JZC983251 KIY983250:KIY983251 KSU983250:KSU983251 LCQ983250:LCQ983251 LMM983250:LMM983251 LWI983250:LWI983251 MGE983250:MGE983251 MQA983250:MQA983251 MZW983250:MZW983251 NJS983250:NJS983251 NTO983250:NTO983251 ODK983250:ODK983251 ONG983250:ONG983251 OXC983250:OXC983251 PGY983250:PGY983251 PQU983250:PQU983251 QAQ983250:QAQ983251 QKM983250:QKM983251 QUI983250:QUI983251 REE983250:REE983251 ROA983250:ROA983251 RXW983250:RXW983251 SHS983250:SHS983251 SRO983250:SRO983251 TBK983250:TBK983251 TLG983250:TLG983251 TVC983250:TVC983251 UEY983250:UEY983251 UOU983250:UOU983251 UYQ983250:UYQ983251 VIM983250:VIM983251 VSI983250:VSI983251 WCE983250:WCE983251 WMA983250:WMA983251 WVW983250:WVW983251" xr:uid="{00000000-0002-0000-0100-000003000000}"/>
    <dataValidation allowBlank="1" showInputMessage="1" showErrorMessage="1" prompt="Alcance: Definir las principales actividades que se requieren para alcanzar el producto definidos en los estudios previos" sqref="WVV983260 JJ17:JJ202 TF17:TF202 ADB17:ADB202 AMX17:AMX202 AWT17:AWT202 BGP17:BGP202 BQL17:BQL202 CAH17:CAH202 CKD17:CKD202 CTZ17:CTZ202 DDV17:DDV202 DNR17:DNR202 DXN17:DXN202 EHJ17:EHJ202 ERF17:ERF202 FBB17:FBB202 FKX17:FKX202 FUT17:FUT202 GEP17:GEP202 GOL17:GOL202 GYH17:GYH202 HID17:HID202 HRZ17:HRZ202 IBV17:IBV202 ILR17:ILR202 IVN17:IVN202 JFJ17:JFJ202 JPF17:JPF202 JZB17:JZB202 KIX17:KIX202 KST17:KST202 LCP17:LCP202 LML17:LML202 LWH17:LWH202 MGD17:MGD202 MPZ17:MPZ202 MZV17:MZV202 NJR17:NJR202 NTN17:NTN202 ODJ17:ODJ202 ONF17:ONF202 OXB17:OXB202 PGX17:PGX202 PQT17:PQT202 QAP17:QAP202 QKL17:QKL202 QUH17:QUH202 RED17:RED202 RNZ17:RNZ202 RXV17:RXV202 SHR17:SHR202 SRN17:SRN202 TBJ17:TBJ202 TLF17:TLF202 TVB17:TVB202 UEX17:UEX202 UOT17:UOT202 UYP17:UYP202 VIL17:VIL202 VSH17:VSH202 WCD17:WCD202 WLZ17:WLZ202 WVV17:WVV202 B65756 JJ65756 TF65756 ADB65756 AMX65756 AWT65756 BGP65756 BQL65756 CAH65756 CKD65756 CTZ65756 DDV65756 DNR65756 DXN65756 EHJ65756 ERF65756 FBB65756 FKX65756 FUT65756 GEP65756 GOL65756 GYH65756 HID65756 HRZ65756 IBV65756 ILR65756 IVN65756 JFJ65756 JPF65756 JZB65756 KIX65756 KST65756 LCP65756 LML65756 LWH65756 MGD65756 MPZ65756 MZV65756 NJR65756 NTN65756 ODJ65756 ONF65756 OXB65756 PGX65756 PQT65756 QAP65756 QKL65756 QUH65756 RED65756 RNZ65756 RXV65756 SHR65756 SRN65756 TBJ65756 TLF65756 TVB65756 UEX65756 UOT65756 UYP65756 VIL65756 VSH65756 WCD65756 WLZ65756 WVV65756 B131292 JJ131292 TF131292 ADB131292 AMX131292 AWT131292 BGP131292 BQL131292 CAH131292 CKD131292 CTZ131292 DDV131292 DNR131292 DXN131292 EHJ131292 ERF131292 FBB131292 FKX131292 FUT131292 GEP131292 GOL131292 GYH131292 HID131292 HRZ131292 IBV131292 ILR131292 IVN131292 JFJ131292 JPF131292 JZB131292 KIX131292 KST131292 LCP131292 LML131292 LWH131292 MGD131292 MPZ131292 MZV131292 NJR131292 NTN131292 ODJ131292 ONF131292 OXB131292 PGX131292 PQT131292 QAP131292 QKL131292 QUH131292 RED131292 RNZ131292 RXV131292 SHR131292 SRN131292 TBJ131292 TLF131292 TVB131292 UEX131292 UOT131292 UYP131292 VIL131292 VSH131292 WCD131292 WLZ131292 WVV131292 B196828 JJ196828 TF196828 ADB196828 AMX196828 AWT196828 BGP196828 BQL196828 CAH196828 CKD196828 CTZ196828 DDV196828 DNR196828 DXN196828 EHJ196828 ERF196828 FBB196828 FKX196828 FUT196828 GEP196828 GOL196828 GYH196828 HID196828 HRZ196828 IBV196828 ILR196828 IVN196828 JFJ196828 JPF196828 JZB196828 KIX196828 KST196828 LCP196828 LML196828 LWH196828 MGD196828 MPZ196828 MZV196828 NJR196828 NTN196828 ODJ196828 ONF196828 OXB196828 PGX196828 PQT196828 QAP196828 QKL196828 QUH196828 RED196828 RNZ196828 RXV196828 SHR196828 SRN196828 TBJ196828 TLF196828 TVB196828 UEX196828 UOT196828 UYP196828 VIL196828 VSH196828 WCD196828 WLZ196828 WVV196828 B262364 JJ262364 TF262364 ADB262364 AMX262364 AWT262364 BGP262364 BQL262364 CAH262364 CKD262364 CTZ262364 DDV262364 DNR262364 DXN262364 EHJ262364 ERF262364 FBB262364 FKX262364 FUT262364 GEP262364 GOL262364 GYH262364 HID262364 HRZ262364 IBV262364 ILR262364 IVN262364 JFJ262364 JPF262364 JZB262364 KIX262364 KST262364 LCP262364 LML262364 LWH262364 MGD262364 MPZ262364 MZV262364 NJR262364 NTN262364 ODJ262364 ONF262364 OXB262364 PGX262364 PQT262364 QAP262364 QKL262364 QUH262364 RED262364 RNZ262364 RXV262364 SHR262364 SRN262364 TBJ262364 TLF262364 TVB262364 UEX262364 UOT262364 UYP262364 VIL262364 VSH262364 WCD262364 WLZ262364 WVV262364 B327900 JJ327900 TF327900 ADB327900 AMX327900 AWT327900 BGP327900 BQL327900 CAH327900 CKD327900 CTZ327900 DDV327900 DNR327900 DXN327900 EHJ327900 ERF327900 FBB327900 FKX327900 FUT327900 GEP327900 GOL327900 GYH327900 HID327900 HRZ327900 IBV327900 ILR327900 IVN327900 JFJ327900 JPF327900 JZB327900 KIX327900 KST327900 LCP327900 LML327900 LWH327900 MGD327900 MPZ327900 MZV327900 NJR327900 NTN327900 ODJ327900 ONF327900 OXB327900 PGX327900 PQT327900 QAP327900 QKL327900 QUH327900 RED327900 RNZ327900 RXV327900 SHR327900 SRN327900 TBJ327900 TLF327900 TVB327900 UEX327900 UOT327900 UYP327900 VIL327900 VSH327900 WCD327900 WLZ327900 WVV327900 B393436 JJ393436 TF393436 ADB393436 AMX393436 AWT393436 BGP393436 BQL393436 CAH393436 CKD393436 CTZ393436 DDV393436 DNR393436 DXN393436 EHJ393436 ERF393436 FBB393436 FKX393436 FUT393436 GEP393436 GOL393436 GYH393436 HID393436 HRZ393436 IBV393436 ILR393436 IVN393436 JFJ393436 JPF393436 JZB393436 KIX393436 KST393436 LCP393436 LML393436 LWH393436 MGD393436 MPZ393436 MZV393436 NJR393436 NTN393436 ODJ393436 ONF393436 OXB393436 PGX393436 PQT393436 QAP393436 QKL393436 QUH393436 RED393436 RNZ393436 RXV393436 SHR393436 SRN393436 TBJ393436 TLF393436 TVB393436 UEX393436 UOT393436 UYP393436 VIL393436 VSH393436 WCD393436 WLZ393436 WVV393436 B458972 JJ458972 TF458972 ADB458972 AMX458972 AWT458972 BGP458972 BQL458972 CAH458972 CKD458972 CTZ458972 DDV458972 DNR458972 DXN458972 EHJ458972 ERF458972 FBB458972 FKX458972 FUT458972 GEP458972 GOL458972 GYH458972 HID458972 HRZ458972 IBV458972 ILR458972 IVN458972 JFJ458972 JPF458972 JZB458972 KIX458972 KST458972 LCP458972 LML458972 LWH458972 MGD458972 MPZ458972 MZV458972 NJR458972 NTN458972 ODJ458972 ONF458972 OXB458972 PGX458972 PQT458972 QAP458972 QKL458972 QUH458972 RED458972 RNZ458972 RXV458972 SHR458972 SRN458972 TBJ458972 TLF458972 TVB458972 UEX458972 UOT458972 UYP458972 VIL458972 VSH458972 WCD458972 WLZ458972 WVV458972 B524508 JJ524508 TF524508 ADB524508 AMX524508 AWT524508 BGP524508 BQL524508 CAH524508 CKD524508 CTZ524508 DDV524508 DNR524508 DXN524508 EHJ524508 ERF524508 FBB524508 FKX524508 FUT524508 GEP524508 GOL524508 GYH524508 HID524508 HRZ524508 IBV524508 ILR524508 IVN524508 JFJ524508 JPF524508 JZB524508 KIX524508 KST524508 LCP524508 LML524508 LWH524508 MGD524508 MPZ524508 MZV524508 NJR524508 NTN524508 ODJ524508 ONF524508 OXB524508 PGX524508 PQT524508 QAP524508 QKL524508 QUH524508 RED524508 RNZ524508 RXV524508 SHR524508 SRN524508 TBJ524508 TLF524508 TVB524508 UEX524508 UOT524508 UYP524508 VIL524508 VSH524508 WCD524508 WLZ524508 WVV524508 B590044 JJ590044 TF590044 ADB590044 AMX590044 AWT590044 BGP590044 BQL590044 CAH590044 CKD590044 CTZ590044 DDV590044 DNR590044 DXN590044 EHJ590044 ERF590044 FBB590044 FKX590044 FUT590044 GEP590044 GOL590044 GYH590044 HID590044 HRZ590044 IBV590044 ILR590044 IVN590044 JFJ590044 JPF590044 JZB590044 KIX590044 KST590044 LCP590044 LML590044 LWH590044 MGD590044 MPZ590044 MZV590044 NJR590044 NTN590044 ODJ590044 ONF590044 OXB590044 PGX590044 PQT590044 QAP590044 QKL590044 QUH590044 RED590044 RNZ590044 RXV590044 SHR590044 SRN590044 TBJ590044 TLF590044 TVB590044 UEX590044 UOT590044 UYP590044 VIL590044 VSH590044 WCD590044 WLZ590044 WVV590044 B655580 JJ655580 TF655580 ADB655580 AMX655580 AWT655580 BGP655580 BQL655580 CAH655580 CKD655580 CTZ655580 DDV655580 DNR655580 DXN655580 EHJ655580 ERF655580 FBB655580 FKX655580 FUT655580 GEP655580 GOL655580 GYH655580 HID655580 HRZ655580 IBV655580 ILR655580 IVN655580 JFJ655580 JPF655580 JZB655580 KIX655580 KST655580 LCP655580 LML655580 LWH655580 MGD655580 MPZ655580 MZV655580 NJR655580 NTN655580 ODJ655580 ONF655580 OXB655580 PGX655580 PQT655580 QAP655580 QKL655580 QUH655580 RED655580 RNZ655580 RXV655580 SHR655580 SRN655580 TBJ655580 TLF655580 TVB655580 UEX655580 UOT655580 UYP655580 VIL655580 VSH655580 WCD655580 WLZ655580 WVV655580 B721116 JJ721116 TF721116 ADB721116 AMX721116 AWT721116 BGP721116 BQL721116 CAH721116 CKD721116 CTZ721116 DDV721116 DNR721116 DXN721116 EHJ721116 ERF721116 FBB721116 FKX721116 FUT721116 GEP721116 GOL721116 GYH721116 HID721116 HRZ721116 IBV721116 ILR721116 IVN721116 JFJ721116 JPF721116 JZB721116 KIX721116 KST721116 LCP721116 LML721116 LWH721116 MGD721116 MPZ721116 MZV721116 NJR721116 NTN721116 ODJ721116 ONF721116 OXB721116 PGX721116 PQT721116 QAP721116 QKL721116 QUH721116 RED721116 RNZ721116 RXV721116 SHR721116 SRN721116 TBJ721116 TLF721116 TVB721116 UEX721116 UOT721116 UYP721116 VIL721116 VSH721116 WCD721116 WLZ721116 WVV721116 B786652 JJ786652 TF786652 ADB786652 AMX786652 AWT786652 BGP786652 BQL786652 CAH786652 CKD786652 CTZ786652 DDV786652 DNR786652 DXN786652 EHJ786652 ERF786652 FBB786652 FKX786652 FUT786652 GEP786652 GOL786652 GYH786652 HID786652 HRZ786652 IBV786652 ILR786652 IVN786652 JFJ786652 JPF786652 JZB786652 KIX786652 KST786652 LCP786652 LML786652 LWH786652 MGD786652 MPZ786652 MZV786652 NJR786652 NTN786652 ODJ786652 ONF786652 OXB786652 PGX786652 PQT786652 QAP786652 QKL786652 QUH786652 RED786652 RNZ786652 RXV786652 SHR786652 SRN786652 TBJ786652 TLF786652 TVB786652 UEX786652 UOT786652 UYP786652 VIL786652 VSH786652 WCD786652 WLZ786652 WVV786652 B852188 JJ852188 TF852188 ADB852188 AMX852188 AWT852188 BGP852188 BQL852188 CAH852188 CKD852188 CTZ852188 DDV852188 DNR852188 DXN852188 EHJ852188 ERF852188 FBB852188 FKX852188 FUT852188 GEP852188 GOL852188 GYH852188 HID852188 HRZ852188 IBV852188 ILR852188 IVN852188 JFJ852188 JPF852188 JZB852188 KIX852188 KST852188 LCP852188 LML852188 LWH852188 MGD852188 MPZ852188 MZV852188 NJR852188 NTN852188 ODJ852188 ONF852188 OXB852188 PGX852188 PQT852188 QAP852188 QKL852188 QUH852188 RED852188 RNZ852188 RXV852188 SHR852188 SRN852188 TBJ852188 TLF852188 TVB852188 UEX852188 UOT852188 UYP852188 VIL852188 VSH852188 WCD852188 WLZ852188 WVV852188 B917724 JJ917724 TF917724 ADB917724 AMX917724 AWT917724 BGP917724 BQL917724 CAH917724 CKD917724 CTZ917724 DDV917724 DNR917724 DXN917724 EHJ917724 ERF917724 FBB917724 FKX917724 FUT917724 GEP917724 GOL917724 GYH917724 HID917724 HRZ917724 IBV917724 ILR917724 IVN917724 JFJ917724 JPF917724 JZB917724 KIX917724 KST917724 LCP917724 LML917724 LWH917724 MGD917724 MPZ917724 MZV917724 NJR917724 NTN917724 ODJ917724 ONF917724 OXB917724 PGX917724 PQT917724 QAP917724 QKL917724 QUH917724 RED917724 RNZ917724 RXV917724 SHR917724 SRN917724 TBJ917724 TLF917724 TVB917724 UEX917724 UOT917724 UYP917724 VIL917724 VSH917724 WCD917724 WLZ917724 WVV917724 B983260 JJ983260 TF983260 ADB983260 AMX983260 AWT983260 BGP983260 BQL983260 CAH983260 CKD983260 CTZ983260 DDV983260 DNR983260 DXN983260 EHJ983260 ERF983260 FBB983260 FKX983260 FUT983260 GEP983260 GOL983260 GYH983260 HID983260 HRZ983260 IBV983260 ILR983260 IVN983260 JFJ983260 JPF983260 JZB983260 KIX983260 KST983260 LCP983260 LML983260 LWH983260 MGD983260 MPZ983260 MZV983260 NJR983260 NTN983260 ODJ983260 ONF983260 OXB983260 PGX983260 PQT983260 QAP983260 QKL983260 QUH983260 RED983260 RNZ983260 RXV983260 SHR983260 SRN983260 TBJ983260 TLF983260 TVB983260 UEX983260 UOT983260 UYP983260 VIL983260 VSH983260 WCD983260 WLZ983260 B17 B19:B202" xr:uid="{00000000-0002-0000-0100-000004000000}"/>
    <dataValidation allowBlank="1" showInputMessage="1" showErrorMessage="1" prompt="Emplear una unidad de medida concreta y medible, no utilizar GLOBAL" sqref="WVX983259:WVX983260 E65755:E65756 JL65755:JL65756 TH65755:TH65756 ADD65755:ADD65756 AMZ65755:AMZ65756 AWV65755:AWV65756 BGR65755:BGR65756 BQN65755:BQN65756 CAJ65755:CAJ65756 CKF65755:CKF65756 CUB65755:CUB65756 DDX65755:DDX65756 DNT65755:DNT65756 DXP65755:DXP65756 EHL65755:EHL65756 ERH65755:ERH65756 FBD65755:FBD65756 FKZ65755:FKZ65756 FUV65755:FUV65756 GER65755:GER65756 GON65755:GON65756 GYJ65755:GYJ65756 HIF65755:HIF65756 HSB65755:HSB65756 IBX65755:IBX65756 ILT65755:ILT65756 IVP65755:IVP65756 JFL65755:JFL65756 JPH65755:JPH65756 JZD65755:JZD65756 KIZ65755:KIZ65756 KSV65755:KSV65756 LCR65755:LCR65756 LMN65755:LMN65756 LWJ65755:LWJ65756 MGF65755:MGF65756 MQB65755:MQB65756 MZX65755:MZX65756 NJT65755:NJT65756 NTP65755:NTP65756 ODL65755:ODL65756 ONH65755:ONH65756 OXD65755:OXD65756 PGZ65755:PGZ65756 PQV65755:PQV65756 QAR65755:QAR65756 QKN65755:QKN65756 QUJ65755:QUJ65756 REF65755:REF65756 ROB65755:ROB65756 RXX65755:RXX65756 SHT65755:SHT65756 SRP65755:SRP65756 TBL65755:TBL65756 TLH65755:TLH65756 TVD65755:TVD65756 UEZ65755:UEZ65756 UOV65755:UOV65756 UYR65755:UYR65756 VIN65755:VIN65756 VSJ65755:VSJ65756 WCF65755:WCF65756 WMB65755:WMB65756 WVX65755:WVX65756 E131291:E131292 JL131291:JL131292 TH131291:TH131292 ADD131291:ADD131292 AMZ131291:AMZ131292 AWV131291:AWV131292 BGR131291:BGR131292 BQN131291:BQN131292 CAJ131291:CAJ131292 CKF131291:CKF131292 CUB131291:CUB131292 DDX131291:DDX131292 DNT131291:DNT131292 DXP131291:DXP131292 EHL131291:EHL131292 ERH131291:ERH131292 FBD131291:FBD131292 FKZ131291:FKZ131292 FUV131291:FUV131292 GER131291:GER131292 GON131291:GON131292 GYJ131291:GYJ131292 HIF131291:HIF131292 HSB131291:HSB131292 IBX131291:IBX131292 ILT131291:ILT131292 IVP131291:IVP131292 JFL131291:JFL131292 JPH131291:JPH131292 JZD131291:JZD131292 KIZ131291:KIZ131292 KSV131291:KSV131292 LCR131291:LCR131292 LMN131291:LMN131292 LWJ131291:LWJ131292 MGF131291:MGF131292 MQB131291:MQB131292 MZX131291:MZX131292 NJT131291:NJT131292 NTP131291:NTP131292 ODL131291:ODL131292 ONH131291:ONH131292 OXD131291:OXD131292 PGZ131291:PGZ131292 PQV131291:PQV131292 QAR131291:QAR131292 QKN131291:QKN131292 QUJ131291:QUJ131292 REF131291:REF131292 ROB131291:ROB131292 RXX131291:RXX131292 SHT131291:SHT131292 SRP131291:SRP131292 TBL131291:TBL131292 TLH131291:TLH131292 TVD131291:TVD131292 UEZ131291:UEZ131292 UOV131291:UOV131292 UYR131291:UYR131292 VIN131291:VIN131292 VSJ131291:VSJ131292 WCF131291:WCF131292 WMB131291:WMB131292 WVX131291:WVX131292 E196827:E196828 JL196827:JL196828 TH196827:TH196828 ADD196827:ADD196828 AMZ196827:AMZ196828 AWV196827:AWV196828 BGR196827:BGR196828 BQN196827:BQN196828 CAJ196827:CAJ196828 CKF196827:CKF196828 CUB196827:CUB196828 DDX196827:DDX196828 DNT196827:DNT196828 DXP196827:DXP196828 EHL196827:EHL196828 ERH196827:ERH196828 FBD196827:FBD196828 FKZ196827:FKZ196828 FUV196827:FUV196828 GER196827:GER196828 GON196827:GON196828 GYJ196827:GYJ196828 HIF196827:HIF196828 HSB196827:HSB196828 IBX196827:IBX196828 ILT196827:ILT196828 IVP196827:IVP196828 JFL196827:JFL196828 JPH196827:JPH196828 JZD196827:JZD196828 KIZ196827:KIZ196828 KSV196827:KSV196828 LCR196827:LCR196828 LMN196827:LMN196828 LWJ196827:LWJ196828 MGF196827:MGF196828 MQB196827:MQB196828 MZX196827:MZX196828 NJT196827:NJT196828 NTP196827:NTP196828 ODL196827:ODL196828 ONH196827:ONH196828 OXD196827:OXD196828 PGZ196827:PGZ196828 PQV196827:PQV196828 QAR196827:QAR196828 QKN196827:QKN196828 QUJ196827:QUJ196828 REF196827:REF196828 ROB196827:ROB196828 RXX196827:RXX196828 SHT196827:SHT196828 SRP196827:SRP196828 TBL196827:TBL196828 TLH196827:TLH196828 TVD196827:TVD196828 UEZ196827:UEZ196828 UOV196827:UOV196828 UYR196827:UYR196828 VIN196827:VIN196828 VSJ196827:VSJ196828 WCF196827:WCF196828 WMB196827:WMB196828 WVX196827:WVX196828 E262363:E262364 JL262363:JL262364 TH262363:TH262364 ADD262363:ADD262364 AMZ262363:AMZ262364 AWV262363:AWV262364 BGR262363:BGR262364 BQN262363:BQN262364 CAJ262363:CAJ262364 CKF262363:CKF262364 CUB262363:CUB262364 DDX262363:DDX262364 DNT262363:DNT262364 DXP262363:DXP262364 EHL262363:EHL262364 ERH262363:ERH262364 FBD262363:FBD262364 FKZ262363:FKZ262364 FUV262363:FUV262364 GER262363:GER262364 GON262363:GON262364 GYJ262363:GYJ262364 HIF262363:HIF262364 HSB262363:HSB262364 IBX262363:IBX262364 ILT262363:ILT262364 IVP262363:IVP262364 JFL262363:JFL262364 JPH262363:JPH262364 JZD262363:JZD262364 KIZ262363:KIZ262364 KSV262363:KSV262364 LCR262363:LCR262364 LMN262363:LMN262364 LWJ262363:LWJ262364 MGF262363:MGF262364 MQB262363:MQB262364 MZX262363:MZX262364 NJT262363:NJT262364 NTP262363:NTP262364 ODL262363:ODL262364 ONH262363:ONH262364 OXD262363:OXD262364 PGZ262363:PGZ262364 PQV262363:PQV262364 QAR262363:QAR262364 QKN262363:QKN262364 QUJ262363:QUJ262364 REF262363:REF262364 ROB262363:ROB262364 RXX262363:RXX262364 SHT262363:SHT262364 SRP262363:SRP262364 TBL262363:TBL262364 TLH262363:TLH262364 TVD262363:TVD262364 UEZ262363:UEZ262364 UOV262363:UOV262364 UYR262363:UYR262364 VIN262363:VIN262364 VSJ262363:VSJ262364 WCF262363:WCF262364 WMB262363:WMB262364 WVX262363:WVX262364 E327899:E327900 JL327899:JL327900 TH327899:TH327900 ADD327899:ADD327900 AMZ327899:AMZ327900 AWV327899:AWV327900 BGR327899:BGR327900 BQN327899:BQN327900 CAJ327899:CAJ327900 CKF327899:CKF327900 CUB327899:CUB327900 DDX327899:DDX327900 DNT327899:DNT327900 DXP327899:DXP327900 EHL327899:EHL327900 ERH327899:ERH327900 FBD327899:FBD327900 FKZ327899:FKZ327900 FUV327899:FUV327900 GER327899:GER327900 GON327899:GON327900 GYJ327899:GYJ327900 HIF327899:HIF327900 HSB327899:HSB327900 IBX327899:IBX327900 ILT327899:ILT327900 IVP327899:IVP327900 JFL327899:JFL327900 JPH327899:JPH327900 JZD327899:JZD327900 KIZ327899:KIZ327900 KSV327899:KSV327900 LCR327899:LCR327900 LMN327899:LMN327900 LWJ327899:LWJ327900 MGF327899:MGF327900 MQB327899:MQB327900 MZX327899:MZX327900 NJT327899:NJT327900 NTP327899:NTP327900 ODL327899:ODL327900 ONH327899:ONH327900 OXD327899:OXD327900 PGZ327899:PGZ327900 PQV327899:PQV327900 QAR327899:QAR327900 QKN327899:QKN327900 QUJ327899:QUJ327900 REF327899:REF327900 ROB327899:ROB327900 RXX327899:RXX327900 SHT327899:SHT327900 SRP327899:SRP327900 TBL327899:TBL327900 TLH327899:TLH327900 TVD327899:TVD327900 UEZ327899:UEZ327900 UOV327899:UOV327900 UYR327899:UYR327900 VIN327899:VIN327900 VSJ327899:VSJ327900 WCF327899:WCF327900 WMB327899:WMB327900 WVX327899:WVX327900 E393435:E393436 JL393435:JL393436 TH393435:TH393436 ADD393435:ADD393436 AMZ393435:AMZ393436 AWV393435:AWV393436 BGR393435:BGR393436 BQN393435:BQN393436 CAJ393435:CAJ393436 CKF393435:CKF393436 CUB393435:CUB393436 DDX393435:DDX393436 DNT393435:DNT393436 DXP393435:DXP393436 EHL393435:EHL393436 ERH393435:ERH393436 FBD393435:FBD393436 FKZ393435:FKZ393436 FUV393435:FUV393436 GER393435:GER393436 GON393435:GON393436 GYJ393435:GYJ393436 HIF393435:HIF393436 HSB393435:HSB393436 IBX393435:IBX393436 ILT393435:ILT393436 IVP393435:IVP393436 JFL393435:JFL393436 JPH393435:JPH393436 JZD393435:JZD393436 KIZ393435:KIZ393436 KSV393435:KSV393436 LCR393435:LCR393436 LMN393435:LMN393436 LWJ393435:LWJ393436 MGF393435:MGF393436 MQB393435:MQB393436 MZX393435:MZX393436 NJT393435:NJT393436 NTP393435:NTP393436 ODL393435:ODL393436 ONH393435:ONH393436 OXD393435:OXD393436 PGZ393435:PGZ393436 PQV393435:PQV393436 QAR393435:QAR393436 QKN393435:QKN393436 QUJ393435:QUJ393436 REF393435:REF393436 ROB393435:ROB393436 RXX393435:RXX393436 SHT393435:SHT393436 SRP393435:SRP393436 TBL393435:TBL393436 TLH393435:TLH393436 TVD393435:TVD393436 UEZ393435:UEZ393436 UOV393435:UOV393436 UYR393435:UYR393436 VIN393435:VIN393436 VSJ393435:VSJ393436 WCF393435:WCF393436 WMB393435:WMB393436 WVX393435:WVX393436 E458971:E458972 JL458971:JL458972 TH458971:TH458972 ADD458971:ADD458972 AMZ458971:AMZ458972 AWV458971:AWV458972 BGR458971:BGR458972 BQN458971:BQN458972 CAJ458971:CAJ458972 CKF458971:CKF458972 CUB458971:CUB458972 DDX458971:DDX458972 DNT458971:DNT458972 DXP458971:DXP458972 EHL458971:EHL458972 ERH458971:ERH458972 FBD458971:FBD458972 FKZ458971:FKZ458972 FUV458971:FUV458972 GER458971:GER458972 GON458971:GON458972 GYJ458971:GYJ458972 HIF458971:HIF458972 HSB458971:HSB458972 IBX458971:IBX458972 ILT458971:ILT458972 IVP458971:IVP458972 JFL458971:JFL458972 JPH458971:JPH458972 JZD458971:JZD458972 KIZ458971:KIZ458972 KSV458971:KSV458972 LCR458971:LCR458972 LMN458971:LMN458972 LWJ458971:LWJ458972 MGF458971:MGF458972 MQB458971:MQB458972 MZX458971:MZX458972 NJT458971:NJT458972 NTP458971:NTP458972 ODL458971:ODL458972 ONH458971:ONH458972 OXD458971:OXD458972 PGZ458971:PGZ458972 PQV458971:PQV458972 QAR458971:QAR458972 QKN458971:QKN458972 QUJ458971:QUJ458972 REF458971:REF458972 ROB458971:ROB458972 RXX458971:RXX458972 SHT458971:SHT458972 SRP458971:SRP458972 TBL458971:TBL458972 TLH458971:TLH458972 TVD458971:TVD458972 UEZ458971:UEZ458972 UOV458971:UOV458972 UYR458971:UYR458972 VIN458971:VIN458972 VSJ458971:VSJ458972 WCF458971:WCF458972 WMB458971:WMB458972 WVX458971:WVX458972 E524507:E524508 JL524507:JL524508 TH524507:TH524508 ADD524507:ADD524508 AMZ524507:AMZ524508 AWV524507:AWV524508 BGR524507:BGR524508 BQN524507:BQN524508 CAJ524507:CAJ524508 CKF524507:CKF524508 CUB524507:CUB524508 DDX524507:DDX524508 DNT524507:DNT524508 DXP524507:DXP524508 EHL524507:EHL524508 ERH524507:ERH524508 FBD524507:FBD524508 FKZ524507:FKZ524508 FUV524507:FUV524508 GER524507:GER524508 GON524507:GON524508 GYJ524507:GYJ524508 HIF524507:HIF524508 HSB524507:HSB524508 IBX524507:IBX524508 ILT524507:ILT524508 IVP524507:IVP524508 JFL524507:JFL524508 JPH524507:JPH524508 JZD524507:JZD524508 KIZ524507:KIZ524508 KSV524507:KSV524508 LCR524507:LCR524508 LMN524507:LMN524508 LWJ524507:LWJ524508 MGF524507:MGF524508 MQB524507:MQB524508 MZX524507:MZX524508 NJT524507:NJT524508 NTP524507:NTP524508 ODL524507:ODL524508 ONH524507:ONH524508 OXD524507:OXD524508 PGZ524507:PGZ524508 PQV524507:PQV524508 QAR524507:QAR524508 QKN524507:QKN524508 QUJ524507:QUJ524508 REF524507:REF524508 ROB524507:ROB524508 RXX524507:RXX524508 SHT524507:SHT524508 SRP524507:SRP524508 TBL524507:TBL524508 TLH524507:TLH524508 TVD524507:TVD524508 UEZ524507:UEZ524508 UOV524507:UOV524508 UYR524507:UYR524508 VIN524507:VIN524508 VSJ524507:VSJ524508 WCF524507:WCF524508 WMB524507:WMB524508 WVX524507:WVX524508 E590043:E590044 JL590043:JL590044 TH590043:TH590044 ADD590043:ADD590044 AMZ590043:AMZ590044 AWV590043:AWV590044 BGR590043:BGR590044 BQN590043:BQN590044 CAJ590043:CAJ590044 CKF590043:CKF590044 CUB590043:CUB590044 DDX590043:DDX590044 DNT590043:DNT590044 DXP590043:DXP590044 EHL590043:EHL590044 ERH590043:ERH590044 FBD590043:FBD590044 FKZ590043:FKZ590044 FUV590043:FUV590044 GER590043:GER590044 GON590043:GON590044 GYJ590043:GYJ590044 HIF590043:HIF590044 HSB590043:HSB590044 IBX590043:IBX590044 ILT590043:ILT590044 IVP590043:IVP590044 JFL590043:JFL590044 JPH590043:JPH590044 JZD590043:JZD590044 KIZ590043:KIZ590044 KSV590043:KSV590044 LCR590043:LCR590044 LMN590043:LMN590044 LWJ590043:LWJ590044 MGF590043:MGF590044 MQB590043:MQB590044 MZX590043:MZX590044 NJT590043:NJT590044 NTP590043:NTP590044 ODL590043:ODL590044 ONH590043:ONH590044 OXD590043:OXD590044 PGZ590043:PGZ590044 PQV590043:PQV590044 QAR590043:QAR590044 QKN590043:QKN590044 QUJ590043:QUJ590044 REF590043:REF590044 ROB590043:ROB590044 RXX590043:RXX590044 SHT590043:SHT590044 SRP590043:SRP590044 TBL590043:TBL590044 TLH590043:TLH590044 TVD590043:TVD590044 UEZ590043:UEZ590044 UOV590043:UOV590044 UYR590043:UYR590044 VIN590043:VIN590044 VSJ590043:VSJ590044 WCF590043:WCF590044 WMB590043:WMB590044 WVX590043:WVX590044 E655579:E655580 JL655579:JL655580 TH655579:TH655580 ADD655579:ADD655580 AMZ655579:AMZ655580 AWV655579:AWV655580 BGR655579:BGR655580 BQN655579:BQN655580 CAJ655579:CAJ655580 CKF655579:CKF655580 CUB655579:CUB655580 DDX655579:DDX655580 DNT655579:DNT655580 DXP655579:DXP655580 EHL655579:EHL655580 ERH655579:ERH655580 FBD655579:FBD655580 FKZ655579:FKZ655580 FUV655579:FUV655580 GER655579:GER655580 GON655579:GON655580 GYJ655579:GYJ655580 HIF655579:HIF655580 HSB655579:HSB655580 IBX655579:IBX655580 ILT655579:ILT655580 IVP655579:IVP655580 JFL655579:JFL655580 JPH655579:JPH655580 JZD655579:JZD655580 KIZ655579:KIZ655580 KSV655579:KSV655580 LCR655579:LCR655580 LMN655579:LMN655580 LWJ655579:LWJ655580 MGF655579:MGF655580 MQB655579:MQB655580 MZX655579:MZX655580 NJT655579:NJT655580 NTP655579:NTP655580 ODL655579:ODL655580 ONH655579:ONH655580 OXD655579:OXD655580 PGZ655579:PGZ655580 PQV655579:PQV655580 QAR655579:QAR655580 QKN655579:QKN655580 QUJ655579:QUJ655580 REF655579:REF655580 ROB655579:ROB655580 RXX655579:RXX655580 SHT655579:SHT655580 SRP655579:SRP655580 TBL655579:TBL655580 TLH655579:TLH655580 TVD655579:TVD655580 UEZ655579:UEZ655580 UOV655579:UOV655580 UYR655579:UYR655580 VIN655579:VIN655580 VSJ655579:VSJ655580 WCF655579:WCF655580 WMB655579:WMB655580 WVX655579:WVX655580 E721115:E721116 JL721115:JL721116 TH721115:TH721116 ADD721115:ADD721116 AMZ721115:AMZ721116 AWV721115:AWV721116 BGR721115:BGR721116 BQN721115:BQN721116 CAJ721115:CAJ721116 CKF721115:CKF721116 CUB721115:CUB721116 DDX721115:DDX721116 DNT721115:DNT721116 DXP721115:DXP721116 EHL721115:EHL721116 ERH721115:ERH721116 FBD721115:FBD721116 FKZ721115:FKZ721116 FUV721115:FUV721116 GER721115:GER721116 GON721115:GON721116 GYJ721115:GYJ721116 HIF721115:HIF721116 HSB721115:HSB721116 IBX721115:IBX721116 ILT721115:ILT721116 IVP721115:IVP721116 JFL721115:JFL721116 JPH721115:JPH721116 JZD721115:JZD721116 KIZ721115:KIZ721116 KSV721115:KSV721116 LCR721115:LCR721116 LMN721115:LMN721116 LWJ721115:LWJ721116 MGF721115:MGF721116 MQB721115:MQB721116 MZX721115:MZX721116 NJT721115:NJT721116 NTP721115:NTP721116 ODL721115:ODL721116 ONH721115:ONH721116 OXD721115:OXD721116 PGZ721115:PGZ721116 PQV721115:PQV721116 QAR721115:QAR721116 QKN721115:QKN721116 QUJ721115:QUJ721116 REF721115:REF721116 ROB721115:ROB721116 RXX721115:RXX721116 SHT721115:SHT721116 SRP721115:SRP721116 TBL721115:TBL721116 TLH721115:TLH721116 TVD721115:TVD721116 UEZ721115:UEZ721116 UOV721115:UOV721116 UYR721115:UYR721116 VIN721115:VIN721116 VSJ721115:VSJ721116 WCF721115:WCF721116 WMB721115:WMB721116 WVX721115:WVX721116 E786651:E786652 JL786651:JL786652 TH786651:TH786652 ADD786651:ADD786652 AMZ786651:AMZ786652 AWV786651:AWV786652 BGR786651:BGR786652 BQN786651:BQN786652 CAJ786651:CAJ786652 CKF786651:CKF786652 CUB786651:CUB786652 DDX786651:DDX786652 DNT786651:DNT786652 DXP786651:DXP786652 EHL786651:EHL786652 ERH786651:ERH786652 FBD786651:FBD786652 FKZ786651:FKZ786652 FUV786651:FUV786652 GER786651:GER786652 GON786651:GON786652 GYJ786651:GYJ786652 HIF786651:HIF786652 HSB786651:HSB786652 IBX786651:IBX786652 ILT786651:ILT786652 IVP786651:IVP786652 JFL786651:JFL786652 JPH786651:JPH786652 JZD786651:JZD786652 KIZ786651:KIZ786652 KSV786651:KSV786652 LCR786651:LCR786652 LMN786651:LMN786652 LWJ786651:LWJ786652 MGF786651:MGF786652 MQB786651:MQB786652 MZX786651:MZX786652 NJT786651:NJT786652 NTP786651:NTP786652 ODL786651:ODL786652 ONH786651:ONH786652 OXD786651:OXD786652 PGZ786651:PGZ786652 PQV786651:PQV786652 QAR786651:QAR786652 QKN786651:QKN786652 QUJ786651:QUJ786652 REF786651:REF786652 ROB786651:ROB786652 RXX786651:RXX786652 SHT786651:SHT786652 SRP786651:SRP786652 TBL786651:TBL786652 TLH786651:TLH786652 TVD786651:TVD786652 UEZ786651:UEZ786652 UOV786651:UOV786652 UYR786651:UYR786652 VIN786651:VIN786652 VSJ786651:VSJ786652 WCF786651:WCF786652 WMB786651:WMB786652 WVX786651:WVX786652 E852187:E852188 JL852187:JL852188 TH852187:TH852188 ADD852187:ADD852188 AMZ852187:AMZ852188 AWV852187:AWV852188 BGR852187:BGR852188 BQN852187:BQN852188 CAJ852187:CAJ852188 CKF852187:CKF852188 CUB852187:CUB852188 DDX852187:DDX852188 DNT852187:DNT852188 DXP852187:DXP852188 EHL852187:EHL852188 ERH852187:ERH852188 FBD852187:FBD852188 FKZ852187:FKZ852188 FUV852187:FUV852188 GER852187:GER852188 GON852187:GON852188 GYJ852187:GYJ852188 HIF852187:HIF852188 HSB852187:HSB852188 IBX852187:IBX852188 ILT852187:ILT852188 IVP852187:IVP852188 JFL852187:JFL852188 JPH852187:JPH852188 JZD852187:JZD852188 KIZ852187:KIZ852188 KSV852187:KSV852188 LCR852187:LCR852188 LMN852187:LMN852188 LWJ852187:LWJ852188 MGF852187:MGF852188 MQB852187:MQB852188 MZX852187:MZX852188 NJT852187:NJT852188 NTP852187:NTP852188 ODL852187:ODL852188 ONH852187:ONH852188 OXD852187:OXD852188 PGZ852187:PGZ852188 PQV852187:PQV852188 QAR852187:QAR852188 QKN852187:QKN852188 QUJ852187:QUJ852188 REF852187:REF852188 ROB852187:ROB852188 RXX852187:RXX852188 SHT852187:SHT852188 SRP852187:SRP852188 TBL852187:TBL852188 TLH852187:TLH852188 TVD852187:TVD852188 UEZ852187:UEZ852188 UOV852187:UOV852188 UYR852187:UYR852188 VIN852187:VIN852188 VSJ852187:VSJ852188 WCF852187:WCF852188 WMB852187:WMB852188 WVX852187:WVX852188 E917723:E917724 JL917723:JL917724 TH917723:TH917724 ADD917723:ADD917724 AMZ917723:AMZ917724 AWV917723:AWV917724 BGR917723:BGR917724 BQN917723:BQN917724 CAJ917723:CAJ917724 CKF917723:CKF917724 CUB917723:CUB917724 DDX917723:DDX917724 DNT917723:DNT917724 DXP917723:DXP917724 EHL917723:EHL917724 ERH917723:ERH917724 FBD917723:FBD917724 FKZ917723:FKZ917724 FUV917723:FUV917724 GER917723:GER917724 GON917723:GON917724 GYJ917723:GYJ917724 HIF917723:HIF917724 HSB917723:HSB917724 IBX917723:IBX917724 ILT917723:ILT917724 IVP917723:IVP917724 JFL917723:JFL917724 JPH917723:JPH917724 JZD917723:JZD917724 KIZ917723:KIZ917724 KSV917723:KSV917724 LCR917723:LCR917724 LMN917723:LMN917724 LWJ917723:LWJ917724 MGF917723:MGF917724 MQB917723:MQB917724 MZX917723:MZX917724 NJT917723:NJT917724 NTP917723:NTP917724 ODL917723:ODL917724 ONH917723:ONH917724 OXD917723:OXD917724 PGZ917723:PGZ917724 PQV917723:PQV917724 QAR917723:QAR917724 QKN917723:QKN917724 QUJ917723:QUJ917724 REF917723:REF917724 ROB917723:ROB917724 RXX917723:RXX917724 SHT917723:SHT917724 SRP917723:SRP917724 TBL917723:TBL917724 TLH917723:TLH917724 TVD917723:TVD917724 UEZ917723:UEZ917724 UOV917723:UOV917724 UYR917723:UYR917724 VIN917723:VIN917724 VSJ917723:VSJ917724 WCF917723:WCF917724 WMB917723:WMB917724 WVX917723:WVX917724 E983259:E983260 JL983259:JL983260 TH983259:TH983260 ADD983259:ADD983260 AMZ983259:AMZ983260 AWV983259:AWV983260 BGR983259:BGR983260 BQN983259:BQN983260 CAJ983259:CAJ983260 CKF983259:CKF983260 CUB983259:CUB983260 DDX983259:DDX983260 DNT983259:DNT983260 DXP983259:DXP983260 EHL983259:EHL983260 ERH983259:ERH983260 FBD983259:FBD983260 FKZ983259:FKZ983260 FUV983259:FUV983260 GER983259:GER983260 GON983259:GON983260 GYJ983259:GYJ983260 HIF983259:HIF983260 HSB983259:HSB983260 IBX983259:IBX983260 ILT983259:ILT983260 IVP983259:IVP983260 JFL983259:JFL983260 JPH983259:JPH983260 JZD983259:JZD983260 KIZ983259:KIZ983260 KSV983259:KSV983260 LCR983259:LCR983260 LMN983259:LMN983260 LWJ983259:LWJ983260 MGF983259:MGF983260 MQB983259:MQB983260 MZX983259:MZX983260 NJT983259:NJT983260 NTP983259:NTP983260 ODL983259:ODL983260 ONH983259:ONH983260 OXD983259:OXD983260 PGZ983259:PGZ983260 PQV983259:PQV983260 QAR983259:QAR983260 QKN983259:QKN983260 QUJ983259:QUJ983260 REF983259:REF983260 ROB983259:ROB983260 RXX983259:RXX983260 SHT983259:SHT983260 SRP983259:SRP983260 TBL983259:TBL983260 TLH983259:TLH983260 TVD983259:TVD983260 UEZ983259:UEZ983260 UOV983259:UOV983260 UYR983259:UYR983260 VIN983259:VIN983260 VSJ983259:VSJ983260 WCF983259:WCF983260 WMB983259:WMB983260 JL16:JL202 WVX16:WVX202 WMB16:WMB202 WCF16:WCF202 VSJ16:VSJ202 VIN16:VIN202 UYR16:UYR202 UOV16:UOV202 UEZ16:UEZ202 TVD16:TVD202 TLH16:TLH202 TBL16:TBL202 SRP16:SRP202 SHT16:SHT202 RXX16:RXX202 ROB16:ROB202 REF16:REF202 QUJ16:QUJ202 QKN16:QKN202 QAR16:QAR202 PQV16:PQV202 PGZ16:PGZ202 OXD16:OXD202 ONH16:ONH202 ODL16:ODL202 NTP16:NTP202 NJT16:NJT202 MZX16:MZX202 MQB16:MQB202 MGF16:MGF202 LWJ16:LWJ202 LMN16:LMN202 LCR16:LCR202 KSV16:KSV202 KIZ16:KIZ202 JZD16:JZD202 JPH16:JPH202 JFL16:JFL202 IVP16:IVP202 ILT16:ILT202 IBX16:IBX202 HSB16:HSB202 HIF16:HIF202 GYJ16:GYJ202 GON16:GON202 GER16:GER202 FUV16:FUV202 FKZ16:FKZ202 FBD16:FBD202 ERH16:ERH202 EHL16:EHL202 DXP16:DXP202 DNT16:DNT202 DDX16:DDX202 CUB16:CUB202 CKF16:CKF202 CAJ16:CAJ202 BQN16:BQN202 BGR16:BGR202 AWV16:AWV202 AMZ16:AMZ202 ADD16:ADD202 TH16:TH202 E16:E202" xr:uid="{00000000-0002-0000-0100-000005000000}"/>
    <dataValidation allowBlank="1" showInputMessage="1" showErrorMessage="1" prompt="diligencie el numero de meses en letras (numero). ej: seis (6)." sqref="C10:D10 JK10 TG10 ADC10 AMY10 AWU10 BGQ10 BQM10 CAI10 CKE10 CUA10 DDW10 DNS10 DXO10 EHK10 ERG10 FBC10 FKY10 FUU10 GEQ10 GOM10 GYI10 HIE10 HSA10 IBW10 ILS10 IVO10 JFK10 JPG10 JZC10 KIY10 KSU10 LCQ10 LMM10 LWI10 MGE10 MQA10 MZW10 NJS10 NTO10 ODK10 ONG10 OXC10 PGY10 PQU10 QAQ10 QKM10 QUI10 REE10 ROA10 RXW10 SHS10 SRO10 TBK10 TLG10 TVC10 UEY10 UOU10 UYQ10 VIM10 VSI10 WCE10 WMA10 WVW10 C65748:D65748 JK65748 TG65748 ADC65748 AMY65748 AWU65748 BGQ65748 BQM65748 CAI65748 CKE65748 CUA65748 DDW65748 DNS65748 DXO65748 EHK65748 ERG65748 FBC65748 FKY65748 FUU65748 GEQ65748 GOM65748 GYI65748 HIE65748 HSA65748 IBW65748 ILS65748 IVO65748 JFK65748 JPG65748 JZC65748 KIY65748 KSU65748 LCQ65748 LMM65748 LWI65748 MGE65748 MQA65748 MZW65748 NJS65748 NTO65748 ODK65748 ONG65748 OXC65748 PGY65748 PQU65748 QAQ65748 QKM65748 QUI65748 REE65748 ROA65748 RXW65748 SHS65748 SRO65748 TBK65748 TLG65748 TVC65748 UEY65748 UOU65748 UYQ65748 VIM65748 VSI65748 WCE65748 WMA65748 WVW65748 C131284:D131284 JK131284 TG131284 ADC131284 AMY131284 AWU131284 BGQ131284 BQM131284 CAI131284 CKE131284 CUA131284 DDW131284 DNS131284 DXO131284 EHK131284 ERG131284 FBC131284 FKY131284 FUU131284 GEQ131284 GOM131284 GYI131284 HIE131284 HSA131284 IBW131284 ILS131284 IVO131284 JFK131284 JPG131284 JZC131284 KIY131284 KSU131284 LCQ131284 LMM131284 LWI131284 MGE131284 MQA131284 MZW131284 NJS131284 NTO131284 ODK131284 ONG131284 OXC131284 PGY131284 PQU131284 QAQ131284 QKM131284 QUI131284 REE131284 ROA131284 RXW131284 SHS131284 SRO131284 TBK131284 TLG131284 TVC131284 UEY131284 UOU131284 UYQ131284 VIM131284 VSI131284 WCE131284 WMA131284 WVW131284 C196820:D196820 JK196820 TG196820 ADC196820 AMY196820 AWU196820 BGQ196820 BQM196820 CAI196820 CKE196820 CUA196820 DDW196820 DNS196820 DXO196820 EHK196820 ERG196820 FBC196820 FKY196820 FUU196820 GEQ196820 GOM196820 GYI196820 HIE196820 HSA196820 IBW196820 ILS196820 IVO196820 JFK196820 JPG196820 JZC196820 KIY196820 KSU196820 LCQ196820 LMM196820 LWI196820 MGE196820 MQA196820 MZW196820 NJS196820 NTO196820 ODK196820 ONG196820 OXC196820 PGY196820 PQU196820 QAQ196820 QKM196820 QUI196820 REE196820 ROA196820 RXW196820 SHS196820 SRO196820 TBK196820 TLG196820 TVC196820 UEY196820 UOU196820 UYQ196820 VIM196820 VSI196820 WCE196820 WMA196820 WVW196820 C262356:D262356 JK262356 TG262356 ADC262356 AMY262356 AWU262356 BGQ262356 BQM262356 CAI262356 CKE262356 CUA262356 DDW262356 DNS262356 DXO262356 EHK262356 ERG262356 FBC262356 FKY262356 FUU262356 GEQ262356 GOM262356 GYI262356 HIE262356 HSA262356 IBW262356 ILS262356 IVO262356 JFK262356 JPG262356 JZC262356 KIY262356 KSU262356 LCQ262356 LMM262356 LWI262356 MGE262356 MQA262356 MZW262356 NJS262356 NTO262356 ODK262356 ONG262356 OXC262356 PGY262356 PQU262356 QAQ262356 QKM262356 QUI262356 REE262356 ROA262356 RXW262356 SHS262356 SRO262356 TBK262356 TLG262356 TVC262356 UEY262356 UOU262356 UYQ262356 VIM262356 VSI262356 WCE262356 WMA262356 WVW262356 C327892:D327892 JK327892 TG327892 ADC327892 AMY327892 AWU327892 BGQ327892 BQM327892 CAI327892 CKE327892 CUA327892 DDW327892 DNS327892 DXO327892 EHK327892 ERG327892 FBC327892 FKY327892 FUU327892 GEQ327892 GOM327892 GYI327892 HIE327892 HSA327892 IBW327892 ILS327892 IVO327892 JFK327892 JPG327892 JZC327892 KIY327892 KSU327892 LCQ327892 LMM327892 LWI327892 MGE327892 MQA327892 MZW327892 NJS327892 NTO327892 ODK327892 ONG327892 OXC327892 PGY327892 PQU327892 QAQ327892 QKM327892 QUI327892 REE327892 ROA327892 RXW327892 SHS327892 SRO327892 TBK327892 TLG327892 TVC327892 UEY327892 UOU327892 UYQ327892 VIM327892 VSI327892 WCE327892 WMA327892 WVW327892 C393428:D393428 JK393428 TG393428 ADC393428 AMY393428 AWU393428 BGQ393428 BQM393428 CAI393428 CKE393428 CUA393428 DDW393428 DNS393428 DXO393428 EHK393428 ERG393428 FBC393428 FKY393428 FUU393428 GEQ393428 GOM393428 GYI393428 HIE393428 HSA393428 IBW393428 ILS393428 IVO393428 JFK393428 JPG393428 JZC393428 KIY393428 KSU393428 LCQ393428 LMM393428 LWI393428 MGE393428 MQA393428 MZW393428 NJS393428 NTO393428 ODK393428 ONG393428 OXC393428 PGY393428 PQU393428 QAQ393428 QKM393428 QUI393428 REE393428 ROA393428 RXW393428 SHS393428 SRO393428 TBK393428 TLG393428 TVC393428 UEY393428 UOU393428 UYQ393428 VIM393428 VSI393428 WCE393428 WMA393428 WVW393428 C458964:D458964 JK458964 TG458964 ADC458964 AMY458964 AWU458964 BGQ458964 BQM458964 CAI458964 CKE458964 CUA458964 DDW458964 DNS458964 DXO458964 EHK458964 ERG458964 FBC458964 FKY458964 FUU458964 GEQ458964 GOM458964 GYI458964 HIE458964 HSA458964 IBW458964 ILS458964 IVO458964 JFK458964 JPG458964 JZC458964 KIY458964 KSU458964 LCQ458964 LMM458964 LWI458964 MGE458964 MQA458964 MZW458964 NJS458964 NTO458964 ODK458964 ONG458964 OXC458964 PGY458964 PQU458964 QAQ458964 QKM458964 QUI458964 REE458964 ROA458964 RXW458964 SHS458964 SRO458964 TBK458964 TLG458964 TVC458964 UEY458964 UOU458964 UYQ458964 VIM458964 VSI458964 WCE458964 WMA458964 WVW458964 C524500:D524500 JK524500 TG524500 ADC524500 AMY524500 AWU524500 BGQ524500 BQM524500 CAI524500 CKE524500 CUA524500 DDW524500 DNS524500 DXO524500 EHK524500 ERG524500 FBC524500 FKY524500 FUU524500 GEQ524500 GOM524500 GYI524500 HIE524500 HSA524500 IBW524500 ILS524500 IVO524500 JFK524500 JPG524500 JZC524500 KIY524500 KSU524500 LCQ524500 LMM524500 LWI524500 MGE524500 MQA524500 MZW524500 NJS524500 NTO524500 ODK524500 ONG524500 OXC524500 PGY524500 PQU524500 QAQ524500 QKM524500 QUI524500 REE524500 ROA524500 RXW524500 SHS524500 SRO524500 TBK524500 TLG524500 TVC524500 UEY524500 UOU524500 UYQ524500 VIM524500 VSI524500 WCE524500 WMA524500 WVW524500 C590036:D590036 JK590036 TG590036 ADC590036 AMY590036 AWU590036 BGQ590036 BQM590036 CAI590036 CKE590036 CUA590036 DDW590036 DNS590036 DXO590036 EHK590036 ERG590036 FBC590036 FKY590036 FUU590036 GEQ590036 GOM590036 GYI590036 HIE590036 HSA590036 IBW590036 ILS590036 IVO590036 JFK590036 JPG590036 JZC590036 KIY590036 KSU590036 LCQ590036 LMM590036 LWI590036 MGE590036 MQA590036 MZW590036 NJS590036 NTO590036 ODK590036 ONG590036 OXC590036 PGY590036 PQU590036 QAQ590036 QKM590036 QUI590036 REE590036 ROA590036 RXW590036 SHS590036 SRO590036 TBK590036 TLG590036 TVC590036 UEY590036 UOU590036 UYQ590036 VIM590036 VSI590036 WCE590036 WMA590036 WVW590036 C655572:D655572 JK655572 TG655572 ADC655572 AMY655572 AWU655572 BGQ655572 BQM655572 CAI655572 CKE655572 CUA655572 DDW655572 DNS655572 DXO655572 EHK655572 ERG655572 FBC655572 FKY655572 FUU655572 GEQ655572 GOM655572 GYI655572 HIE655572 HSA655572 IBW655572 ILS655572 IVO655572 JFK655572 JPG655572 JZC655572 KIY655572 KSU655572 LCQ655572 LMM655572 LWI655572 MGE655572 MQA655572 MZW655572 NJS655572 NTO655572 ODK655572 ONG655572 OXC655572 PGY655572 PQU655572 QAQ655572 QKM655572 QUI655572 REE655572 ROA655572 RXW655572 SHS655572 SRO655572 TBK655572 TLG655572 TVC655572 UEY655572 UOU655572 UYQ655572 VIM655572 VSI655572 WCE655572 WMA655572 WVW655572 C721108:D721108 JK721108 TG721108 ADC721108 AMY721108 AWU721108 BGQ721108 BQM721108 CAI721108 CKE721108 CUA721108 DDW721108 DNS721108 DXO721108 EHK721108 ERG721108 FBC721108 FKY721108 FUU721108 GEQ721108 GOM721108 GYI721108 HIE721108 HSA721108 IBW721108 ILS721108 IVO721108 JFK721108 JPG721108 JZC721108 KIY721108 KSU721108 LCQ721108 LMM721108 LWI721108 MGE721108 MQA721108 MZW721108 NJS721108 NTO721108 ODK721108 ONG721108 OXC721108 PGY721108 PQU721108 QAQ721108 QKM721108 QUI721108 REE721108 ROA721108 RXW721108 SHS721108 SRO721108 TBK721108 TLG721108 TVC721108 UEY721108 UOU721108 UYQ721108 VIM721108 VSI721108 WCE721108 WMA721108 WVW721108 C786644:D786644 JK786644 TG786644 ADC786644 AMY786644 AWU786644 BGQ786644 BQM786644 CAI786644 CKE786644 CUA786644 DDW786644 DNS786644 DXO786644 EHK786644 ERG786644 FBC786644 FKY786644 FUU786644 GEQ786644 GOM786644 GYI786644 HIE786644 HSA786644 IBW786644 ILS786644 IVO786644 JFK786644 JPG786644 JZC786644 KIY786644 KSU786644 LCQ786644 LMM786644 LWI786644 MGE786644 MQA786644 MZW786644 NJS786644 NTO786644 ODK786644 ONG786644 OXC786644 PGY786644 PQU786644 QAQ786644 QKM786644 QUI786644 REE786644 ROA786644 RXW786644 SHS786644 SRO786644 TBK786644 TLG786644 TVC786644 UEY786644 UOU786644 UYQ786644 VIM786644 VSI786644 WCE786644 WMA786644 WVW786644 C852180:D852180 JK852180 TG852180 ADC852180 AMY852180 AWU852180 BGQ852180 BQM852180 CAI852180 CKE852180 CUA852180 DDW852180 DNS852180 DXO852180 EHK852180 ERG852180 FBC852180 FKY852180 FUU852180 GEQ852180 GOM852180 GYI852180 HIE852180 HSA852180 IBW852180 ILS852180 IVO852180 JFK852180 JPG852180 JZC852180 KIY852180 KSU852180 LCQ852180 LMM852180 LWI852180 MGE852180 MQA852180 MZW852180 NJS852180 NTO852180 ODK852180 ONG852180 OXC852180 PGY852180 PQU852180 QAQ852180 QKM852180 QUI852180 REE852180 ROA852180 RXW852180 SHS852180 SRO852180 TBK852180 TLG852180 TVC852180 UEY852180 UOU852180 UYQ852180 VIM852180 VSI852180 WCE852180 WMA852180 WVW852180 C917716:D917716 JK917716 TG917716 ADC917716 AMY917716 AWU917716 BGQ917716 BQM917716 CAI917716 CKE917716 CUA917716 DDW917716 DNS917716 DXO917716 EHK917716 ERG917716 FBC917716 FKY917716 FUU917716 GEQ917716 GOM917716 GYI917716 HIE917716 HSA917716 IBW917716 ILS917716 IVO917716 JFK917716 JPG917716 JZC917716 KIY917716 KSU917716 LCQ917716 LMM917716 LWI917716 MGE917716 MQA917716 MZW917716 NJS917716 NTO917716 ODK917716 ONG917716 OXC917716 PGY917716 PQU917716 QAQ917716 QKM917716 QUI917716 REE917716 ROA917716 RXW917716 SHS917716 SRO917716 TBK917716 TLG917716 TVC917716 UEY917716 UOU917716 UYQ917716 VIM917716 VSI917716 WCE917716 WMA917716 WVW917716 C983252:D983252 JK983252 TG983252 ADC983252 AMY983252 AWU983252 BGQ983252 BQM983252 CAI983252 CKE983252 CUA983252 DDW983252 DNS983252 DXO983252 EHK983252 ERG983252 FBC983252 FKY983252 FUU983252 GEQ983252 GOM983252 GYI983252 HIE983252 HSA983252 IBW983252 ILS983252 IVO983252 JFK983252 JPG983252 JZC983252 KIY983252 KSU983252 LCQ983252 LMM983252 LWI983252 MGE983252 MQA983252 MZW983252 NJS983252 NTO983252 ODK983252 ONG983252 OXC983252 PGY983252 PQU983252 QAQ983252 QKM983252 QUI983252 REE983252 ROA983252 RXW983252 SHS983252 SRO983252 TBK983252 TLG983252 TVC983252 UEY983252 UOU983252 UYQ983252 VIM983252 VSI983252 WCE983252 WMA983252 WVW983252" xr:uid="{00000000-0002-0000-0100-000006000000}"/>
  </dataValidations>
  <hyperlinks>
    <hyperlink ref="AE1" location="ins" display="Instructivo" xr:uid="{00000000-0004-0000-0100-000000000000}"/>
    <hyperlink ref="R206" location="ANTI" display="Información anticipos" xr:uid="{00000000-0004-0000-0100-000001000000}"/>
  </hyperlinks>
  <printOptions horizontalCentered="1"/>
  <pageMargins left="0" right="0" top="0" bottom="0" header="0" footer="0"/>
  <pageSetup scale="36" fitToHeight="0" orientation="landscape" verticalDpi="4294967295" r:id="rId1"/>
  <headerFooter alignWithMargins="0">
    <oddFooter>&amp;R&amp;"Arial,Normal"&amp;K01+000Página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0">
    <tabColor theme="5" tint="0.39997558519241921"/>
    <pageSetUpPr fitToPage="1"/>
  </sheetPr>
  <dimension ref="A1:AD49"/>
  <sheetViews>
    <sheetView showGridLines="0" topLeftCell="A4" zoomScale="70" zoomScaleNormal="70" zoomScaleSheetLayoutView="80" workbookViewId="0">
      <selection activeCell="C6" sqref="C6:Q6"/>
    </sheetView>
  </sheetViews>
  <sheetFormatPr defaultColWidth="12" defaultRowHeight="18" customHeight="1"/>
  <cols>
    <col min="1" max="1" width="30.1640625" style="65" customWidth="1"/>
    <col min="2" max="2" width="25.6640625" style="65" customWidth="1"/>
    <col min="3" max="3" width="21.83203125" style="65" customWidth="1"/>
    <col min="4" max="17" width="22.83203125" style="65" customWidth="1"/>
    <col min="18" max="18" width="29.83203125" style="65" customWidth="1"/>
    <col min="19" max="19" width="15.33203125" style="65" customWidth="1"/>
    <col min="20" max="255" width="12" style="65"/>
    <col min="256" max="256" width="16.33203125" style="65" customWidth="1"/>
    <col min="257" max="257" width="30.83203125" style="65" customWidth="1"/>
    <col min="258" max="258" width="15.1640625" style="65" customWidth="1"/>
    <col min="259" max="259" width="17" style="65" customWidth="1"/>
    <col min="260" max="260" width="16.33203125" style="65" customWidth="1"/>
    <col min="261" max="264" width="13" style="65" bestFit="1" customWidth="1"/>
    <col min="265" max="271" width="13" style="65" customWidth="1"/>
    <col min="272" max="272" width="13" style="65" bestFit="1" customWidth="1"/>
    <col min="273" max="273" width="17.5" style="65" customWidth="1"/>
    <col min="274" max="511" width="12" style="65"/>
    <col min="512" max="512" width="16.33203125" style="65" customWidth="1"/>
    <col min="513" max="513" width="30.83203125" style="65" customWidth="1"/>
    <col min="514" max="514" width="15.1640625" style="65" customWidth="1"/>
    <col min="515" max="515" width="17" style="65" customWidth="1"/>
    <col min="516" max="516" width="16.33203125" style="65" customWidth="1"/>
    <col min="517" max="520" width="13" style="65" bestFit="1" customWidth="1"/>
    <col min="521" max="527" width="13" style="65" customWidth="1"/>
    <col min="528" max="528" width="13" style="65" bestFit="1" customWidth="1"/>
    <col min="529" max="529" width="17.5" style="65" customWidth="1"/>
    <col min="530" max="767" width="12" style="65"/>
    <col min="768" max="768" width="16.33203125" style="65" customWidth="1"/>
    <col min="769" max="769" width="30.83203125" style="65" customWidth="1"/>
    <col min="770" max="770" width="15.1640625" style="65" customWidth="1"/>
    <col min="771" max="771" width="17" style="65" customWidth="1"/>
    <col min="772" max="772" width="16.33203125" style="65" customWidth="1"/>
    <col min="773" max="776" width="13" style="65" bestFit="1" customWidth="1"/>
    <col min="777" max="783" width="13" style="65" customWidth="1"/>
    <col min="784" max="784" width="13" style="65" bestFit="1" customWidth="1"/>
    <col min="785" max="785" width="17.5" style="65" customWidth="1"/>
    <col min="786" max="1023" width="12" style="65"/>
    <col min="1024" max="1024" width="16.33203125" style="65" customWidth="1"/>
    <col min="1025" max="1025" width="30.83203125" style="65" customWidth="1"/>
    <col min="1026" max="1026" width="15.1640625" style="65" customWidth="1"/>
    <col min="1027" max="1027" width="17" style="65" customWidth="1"/>
    <col min="1028" max="1028" width="16.33203125" style="65" customWidth="1"/>
    <col min="1029" max="1032" width="13" style="65" bestFit="1" customWidth="1"/>
    <col min="1033" max="1039" width="13" style="65" customWidth="1"/>
    <col min="1040" max="1040" width="13" style="65" bestFit="1" customWidth="1"/>
    <col min="1041" max="1041" width="17.5" style="65" customWidth="1"/>
    <col min="1042" max="1279" width="12" style="65"/>
    <col min="1280" max="1280" width="16.33203125" style="65" customWidth="1"/>
    <col min="1281" max="1281" width="30.83203125" style="65" customWidth="1"/>
    <col min="1282" max="1282" width="15.1640625" style="65" customWidth="1"/>
    <col min="1283" max="1283" width="17" style="65" customWidth="1"/>
    <col min="1284" max="1284" width="16.33203125" style="65" customWidth="1"/>
    <col min="1285" max="1288" width="13" style="65" bestFit="1" customWidth="1"/>
    <col min="1289" max="1295" width="13" style="65" customWidth="1"/>
    <col min="1296" max="1296" width="13" style="65" bestFit="1" customWidth="1"/>
    <col min="1297" max="1297" width="17.5" style="65" customWidth="1"/>
    <col min="1298" max="1535" width="12" style="65"/>
    <col min="1536" max="1536" width="16.33203125" style="65" customWidth="1"/>
    <col min="1537" max="1537" width="30.83203125" style="65" customWidth="1"/>
    <col min="1538" max="1538" width="15.1640625" style="65" customWidth="1"/>
    <col min="1539" max="1539" width="17" style="65" customWidth="1"/>
    <col min="1540" max="1540" width="16.33203125" style="65" customWidth="1"/>
    <col min="1541" max="1544" width="13" style="65" bestFit="1" customWidth="1"/>
    <col min="1545" max="1551" width="13" style="65" customWidth="1"/>
    <col min="1552" max="1552" width="13" style="65" bestFit="1" customWidth="1"/>
    <col min="1553" max="1553" width="17.5" style="65" customWidth="1"/>
    <col min="1554" max="1791" width="12" style="65"/>
    <col min="1792" max="1792" width="16.33203125" style="65" customWidth="1"/>
    <col min="1793" max="1793" width="30.83203125" style="65" customWidth="1"/>
    <col min="1794" max="1794" width="15.1640625" style="65" customWidth="1"/>
    <col min="1795" max="1795" width="17" style="65" customWidth="1"/>
    <col min="1796" max="1796" width="16.33203125" style="65" customWidth="1"/>
    <col min="1797" max="1800" width="13" style="65" bestFit="1" customWidth="1"/>
    <col min="1801" max="1807" width="13" style="65" customWidth="1"/>
    <col min="1808" max="1808" width="13" style="65" bestFit="1" customWidth="1"/>
    <col min="1809" max="1809" width="17.5" style="65" customWidth="1"/>
    <col min="1810" max="2047" width="12" style="65"/>
    <col min="2048" max="2048" width="16.33203125" style="65" customWidth="1"/>
    <col min="2049" max="2049" width="30.83203125" style="65" customWidth="1"/>
    <col min="2050" max="2050" width="15.1640625" style="65" customWidth="1"/>
    <col min="2051" max="2051" width="17" style="65" customWidth="1"/>
    <col min="2052" max="2052" width="16.33203125" style="65" customWidth="1"/>
    <col min="2053" max="2056" width="13" style="65" bestFit="1" customWidth="1"/>
    <col min="2057" max="2063" width="13" style="65" customWidth="1"/>
    <col min="2064" max="2064" width="13" style="65" bestFit="1" customWidth="1"/>
    <col min="2065" max="2065" width="17.5" style="65" customWidth="1"/>
    <col min="2066" max="2303" width="12" style="65"/>
    <col min="2304" max="2304" width="16.33203125" style="65" customWidth="1"/>
    <col min="2305" max="2305" width="30.83203125" style="65" customWidth="1"/>
    <col min="2306" max="2306" width="15.1640625" style="65" customWidth="1"/>
    <col min="2307" max="2307" width="17" style="65" customWidth="1"/>
    <col min="2308" max="2308" width="16.33203125" style="65" customWidth="1"/>
    <col min="2309" max="2312" width="13" style="65" bestFit="1" customWidth="1"/>
    <col min="2313" max="2319" width="13" style="65" customWidth="1"/>
    <col min="2320" max="2320" width="13" style="65" bestFit="1" customWidth="1"/>
    <col min="2321" max="2321" width="17.5" style="65" customWidth="1"/>
    <col min="2322" max="2559" width="12" style="65"/>
    <col min="2560" max="2560" width="16.33203125" style="65" customWidth="1"/>
    <col min="2561" max="2561" width="30.83203125" style="65" customWidth="1"/>
    <col min="2562" max="2562" width="15.1640625" style="65" customWidth="1"/>
    <col min="2563" max="2563" width="17" style="65" customWidth="1"/>
    <col min="2564" max="2564" width="16.33203125" style="65" customWidth="1"/>
    <col min="2565" max="2568" width="13" style="65" bestFit="1" customWidth="1"/>
    <col min="2569" max="2575" width="13" style="65" customWidth="1"/>
    <col min="2576" max="2576" width="13" style="65" bestFit="1" customWidth="1"/>
    <col min="2577" max="2577" width="17.5" style="65" customWidth="1"/>
    <col min="2578" max="2815" width="12" style="65"/>
    <col min="2816" max="2816" width="16.33203125" style="65" customWidth="1"/>
    <col min="2817" max="2817" width="30.83203125" style="65" customWidth="1"/>
    <col min="2818" max="2818" width="15.1640625" style="65" customWidth="1"/>
    <col min="2819" max="2819" width="17" style="65" customWidth="1"/>
    <col min="2820" max="2820" width="16.33203125" style="65" customWidth="1"/>
    <col min="2821" max="2824" width="13" style="65" bestFit="1" customWidth="1"/>
    <col min="2825" max="2831" width="13" style="65" customWidth="1"/>
    <col min="2832" max="2832" width="13" style="65" bestFit="1" customWidth="1"/>
    <col min="2833" max="2833" width="17.5" style="65" customWidth="1"/>
    <col min="2834" max="3071" width="12" style="65"/>
    <col min="3072" max="3072" width="16.33203125" style="65" customWidth="1"/>
    <col min="3073" max="3073" width="30.83203125" style="65" customWidth="1"/>
    <col min="3074" max="3074" width="15.1640625" style="65" customWidth="1"/>
    <col min="3075" max="3075" width="17" style="65" customWidth="1"/>
    <col min="3076" max="3076" width="16.33203125" style="65" customWidth="1"/>
    <col min="3077" max="3080" width="13" style="65" bestFit="1" customWidth="1"/>
    <col min="3081" max="3087" width="13" style="65" customWidth="1"/>
    <col min="3088" max="3088" width="13" style="65" bestFit="1" customWidth="1"/>
    <col min="3089" max="3089" width="17.5" style="65" customWidth="1"/>
    <col min="3090" max="3327" width="12" style="65"/>
    <col min="3328" max="3328" width="16.33203125" style="65" customWidth="1"/>
    <col min="3329" max="3329" width="30.83203125" style="65" customWidth="1"/>
    <col min="3330" max="3330" width="15.1640625" style="65" customWidth="1"/>
    <col min="3331" max="3331" width="17" style="65" customWidth="1"/>
    <col min="3332" max="3332" width="16.33203125" style="65" customWidth="1"/>
    <col min="3333" max="3336" width="13" style="65" bestFit="1" customWidth="1"/>
    <col min="3337" max="3343" width="13" style="65" customWidth="1"/>
    <col min="3344" max="3344" width="13" style="65" bestFit="1" customWidth="1"/>
    <col min="3345" max="3345" width="17.5" style="65" customWidth="1"/>
    <col min="3346" max="3583" width="12" style="65"/>
    <col min="3584" max="3584" width="16.33203125" style="65" customWidth="1"/>
    <col min="3585" max="3585" width="30.83203125" style="65" customWidth="1"/>
    <col min="3586" max="3586" width="15.1640625" style="65" customWidth="1"/>
    <col min="3587" max="3587" width="17" style="65" customWidth="1"/>
    <col min="3588" max="3588" width="16.33203125" style="65" customWidth="1"/>
    <col min="3589" max="3592" width="13" style="65" bestFit="1" customWidth="1"/>
    <col min="3593" max="3599" width="13" style="65" customWidth="1"/>
    <col min="3600" max="3600" width="13" style="65" bestFit="1" customWidth="1"/>
    <col min="3601" max="3601" width="17.5" style="65" customWidth="1"/>
    <col min="3602" max="3839" width="12" style="65"/>
    <col min="3840" max="3840" width="16.33203125" style="65" customWidth="1"/>
    <col min="3841" max="3841" width="30.83203125" style="65" customWidth="1"/>
    <col min="3842" max="3842" width="15.1640625" style="65" customWidth="1"/>
    <col min="3843" max="3843" width="17" style="65" customWidth="1"/>
    <col min="3844" max="3844" width="16.33203125" style="65" customWidth="1"/>
    <col min="3845" max="3848" width="13" style="65" bestFit="1" customWidth="1"/>
    <col min="3849" max="3855" width="13" style="65" customWidth="1"/>
    <col min="3856" max="3856" width="13" style="65" bestFit="1" customWidth="1"/>
    <col min="3857" max="3857" width="17.5" style="65" customWidth="1"/>
    <col min="3858" max="4095" width="12" style="65"/>
    <col min="4096" max="4096" width="16.33203125" style="65" customWidth="1"/>
    <col min="4097" max="4097" width="30.83203125" style="65" customWidth="1"/>
    <col min="4098" max="4098" width="15.1640625" style="65" customWidth="1"/>
    <col min="4099" max="4099" width="17" style="65" customWidth="1"/>
    <col min="4100" max="4100" width="16.33203125" style="65" customWidth="1"/>
    <col min="4101" max="4104" width="13" style="65" bestFit="1" customWidth="1"/>
    <col min="4105" max="4111" width="13" style="65" customWidth="1"/>
    <col min="4112" max="4112" width="13" style="65" bestFit="1" customWidth="1"/>
    <col min="4113" max="4113" width="17.5" style="65" customWidth="1"/>
    <col min="4114" max="4351" width="12" style="65"/>
    <col min="4352" max="4352" width="16.33203125" style="65" customWidth="1"/>
    <col min="4353" max="4353" width="30.83203125" style="65" customWidth="1"/>
    <col min="4354" max="4354" width="15.1640625" style="65" customWidth="1"/>
    <col min="4355" max="4355" width="17" style="65" customWidth="1"/>
    <col min="4356" max="4356" width="16.33203125" style="65" customWidth="1"/>
    <col min="4357" max="4360" width="13" style="65" bestFit="1" customWidth="1"/>
    <col min="4361" max="4367" width="13" style="65" customWidth="1"/>
    <col min="4368" max="4368" width="13" style="65" bestFit="1" customWidth="1"/>
    <col min="4369" max="4369" width="17.5" style="65" customWidth="1"/>
    <col min="4370" max="4607" width="12" style="65"/>
    <col min="4608" max="4608" width="16.33203125" style="65" customWidth="1"/>
    <col min="4609" max="4609" width="30.83203125" style="65" customWidth="1"/>
    <col min="4610" max="4610" width="15.1640625" style="65" customWidth="1"/>
    <col min="4611" max="4611" width="17" style="65" customWidth="1"/>
    <col min="4612" max="4612" width="16.33203125" style="65" customWidth="1"/>
    <col min="4613" max="4616" width="13" style="65" bestFit="1" customWidth="1"/>
    <col min="4617" max="4623" width="13" style="65" customWidth="1"/>
    <col min="4624" max="4624" width="13" style="65" bestFit="1" customWidth="1"/>
    <col min="4625" max="4625" width="17.5" style="65" customWidth="1"/>
    <col min="4626" max="4863" width="12" style="65"/>
    <col min="4864" max="4864" width="16.33203125" style="65" customWidth="1"/>
    <col min="4865" max="4865" width="30.83203125" style="65" customWidth="1"/>
    <col min="4866" max="4866" width="15.1640625" style="65" customWidth="1"/>
    <col min="4867" max="4867" width="17" style="65" customWidth="1"/>
    <col min="4868" max="4868" width="16.33203125" style="65" customWidth="1"/>
    <col min="4869" max="4872" width="13" style="65" bestFit="1" customWidth="1"/>
    <col min="4873" max="4879" width="13" style="65" customWidth="1"/>
    <col min="4880" max="4880" width="13" style="65" bestFit="1" customWidth="1"/>
    <col min="4881" max="4881" width="17.5" style="65" customWidth="1"/>
    <col min="4882" max="5119" width="12" style="65"/>
    <col min="5120" max="5120" width="16.33203125" style="65" customWidth="1"/>
    <col min="5121" max="5121" width="30.83203125" style="65" customWidth="1"/>
    <col min="5122" max="5122" width="15.1640625" style="65" customWidth="1"/>
    <col min="5123" max="5123" width="17" style="65" customWidth="1"/>
    <col min="5124" max="5124" width="16.33203125" style="65" customWidth="1"/>
    <col min="5125" max="5128" width="13" style="65" bestFit="1" customWidth="1"/>
    <col min="5129" max="5135" width="13" style="65" customWidth="1"/>
    <col min="5136" max="5136" width="13" style="65" bestFit="1" customWidth="1"/>
    <col min="5137" max="5137" width="17.5" style="65" customWidth="1"/>
    <col min="5138" max="5375" width="12" style="65"/>
    <col min="5376" max="5376" width="16.33203125" style="65" customWidth="1"/>
    <col min="5377" max="5377" width="30.83203125" style="65" customWidth="1"/>
    <col min="5378" max="5378" width="15.1640625" style="65" customWidth="1"/>
    <col min="5379" max="5379" width="17" style="65" customWidth="1"/>
    <col min="5380" max="5380" width="16.33203125" style="65" customWidth="1"/>
    <col min="5381" max="5384" width="13" style="65" bestFit="1" customWidth="1"/>
    <col min="5385" max="5391" width="13" style="65" customWidth="1"/>
    <col min="5392" max="5392" width="13" style="65" bestFit="1" customWidth="1"/>
    <col min="5393" max="5393" width="17.5" style="65" customWidth="1"/>
    <col min="5394" max="5631" width="12" style="65"/>
    <col min="5632" max="5632" width="16.33203125" style="65" customWidth="1"/>
    <col min="5633" max="5633" width="30.83203125" style="65" customWidth="1"/>
    <col min="5634" max="5634" width="15.1640625" style="65" customWidth="1"/>
    <col min="5635" max="5635" width="17" style="65" customWidth="1"/>
    <col min="5636" max="5636" width="16.33203125" style="65" customWidth="1"/>
    <col min="5637" max="5640" width="13" style="65" bestFit="1" customWidth="1"/>
    <col min="5641" max="5647" width="13" style="65" customWidth="1"/>
    <col min="5648" max="5648" width="13" style="65" bestFit="1" customWidth="1"/>
    <col min="5649" max="5649" width="17.5" style="65" customWidth="1"/>
    <col min="5650" max="5887" width="12" style="65"/>
    <col min="5888" max="5888" width="16.33203125" style="65" customWidth="1"/>
    <col min="5889" max="5889" width="30.83203125" style="65" customWidth="1"/>
    <col min="5890" max="5890" width="15.1640625" style="65" customWidth="1"/>
    <col min="5891" max="5891" width="17" style="65" customWidth="1"/>
    <col min="5892" max="5892" width="16.33203125" style="65" customWidth="1"/>
    <col min="5893" max="5896" width="13" style="65" bestFit="1" customWidth="1"/>
    <col min="5897" max="5903" width="13" style="65" customWidth="1"/>
    <col min="5904" max="5904" width="13" style="65" bestFit="1" customWidth="1"/>
    <col min="5905" max="5905" width="17.5" style="65" customWidth="1"/>
    <col min="5906" max="6143" width="12" style="65"/>
    <col min="6144" max="6144" width="16.33203125" style="65" customWidth="1"/>
    <col min="6145" max="6145" width="30.83203125" style="65" customWidth="1"/>
    <col min="6146" max="6146" width="15.1640625" style="65" customWidth="1"/>
    <col min="6147" max="6147" width="17" style="65" customWidth="1"/>
    <col min="6148" max="6148" width="16.33203125" style="65" customWidth="1"/>
    <col min="6149" max="6152" width="13" style="65" bestFit="1" customWidth="1"/>
    <col min="6153" max="6159" width="13" style="65" customWidth="1"/>
    <col min="6160" max="6160" width="13" style="65" bestFit="1" customWidth="1"/>
    <col min="6161" max="6161" width="17.5" style="65" customWidth="1"/>
    <col min="6162" max="6399" width="12" style="65"/>
    <col min="6400" max="6400" width="16.33203125" style="65" customWidth="1"/>
    <col min="6401" max="6401" width="30.83203125" style="65" customWidth="1"/>
    <col min="6402" max="6402" width="15.1640625" style="65" customWidth="1"/>
    <col min="6403" max="6403" width="17" style="65" customWidth="1"/>
    <col min="6404" max="6404" width="16.33203125" style="65" customWidth="1"/>
    <col min="6405" max="6408" width="13" style="65" bestFit="1" customWidth="1"/>
    <col min="6409" max="6415" width="13" style="65" customWidth="1"/>
    <col min="6416" max="6416" width="13" style="65" bestFit="1" customWidth="1"/>
    <col min="6417" max="6417" width="17.5" style="65" customWidth="1"/>
    <col min="6418" max="6655" width="12" style="65"/>
    <col min="6656" max="6656" width="16.33203125" style="65" customWidth="1"/>
    <col min="6657" max="6657" width="30.83203125" style="65" customWidth="1"/>
    <col min="6658" max="6658" width="15.1640625" style="65" customWidth="1"/>
    <col min="6659" max="6659" width="17" style="65" customWidth="1"/>
    <col min="6660" max="6660" width="16.33203125" style="65" customWidth="1"/>
    <col min="6661" max="6664" width="13" style="65" bestFit="1" customWidth="1"/>
    <col min="6665" max="6671" width="13" style="65" customWidth="1"/>
    <col min="6672" max="6672" width="13" style="65" bestFit="1" customWidth="1"/>
    <col min="6673" max="6673" width="17.5" style="65" customWidth="1"/>
    <col min="6674" max="6911" width="12" style="65"/>
    <col min="6912" max="6912" width="16.33203125" style="65" customWidth="1"/>
    <col min="6913" max="6913" width="30.83203125" style="65" customWidth="1"/>
    <col min="6914" max="6914" width="15.1640625" style="65" customWidth="1"/>
    <col min="6915" max="6915" width="17" style="65" customWidth="1"/>
    <col min="6916" max="6916" width="16.33203125" style="65" customWidth="1"/>
    <col min="6917" max="6920" width="13" style="65" bestFit="1" customWidth="1"/>
    <col min="6921" max="6927" width="13" style="65" customWidth="1"/>
    <col min="6928" max="6928" width="13" style="65" bestFit="1" customWidth="1"/>
    <col min="6929" max="6929" width="17.5" style="65" customWidth="1"/>
    <col min="6930" max="7167" width="12" style="65"/>
    <col min="7168" max="7168" width="16.33203125" style="65" customWidth="1"/>
    <col min="7169" max="7169" width="30.83203125" style="65" customWidth="1"/>
    <col min="7170" max="7170" width="15.1640625" style="65" customWidth="1"/>
    <col min="7171" max="7171" width="17" style="65" customWidth="1"/>
    <col min="7172" max="7172" width="16.33203125" style="65" customWidth="1"/>
    <col min="7173" max="7176" width="13" style="65" bestFit="1" customWidth="1"/>
    <col min="7177" max="7183" width="13" style="65" customWidth="1"/>
    <col min="7184" max="7184" width="13" style="65" bestFit="1" customWidth="1"/>
    <col min="7185" max="7185" width="17.5" style="65" customWidth="1"/>
    <col min="7186" max="7423" width="12" style="65"/>
    <col min="7424" max="7424" width="16.33203125" style="65" customWidth="1"/>
    <col min="7425" max="7425" width="30.83203125" style="65" customWidth="1"/>
    <col min="7426" max="7426" width="15.1640625" style="65" customWidth="1"/>
    <col min="7427" max="7427" width="17" style="65" customWidth="1"/>
    <col min="7428" max="7428" width="16.33203125" style="65" customWidth="1"/>
    <col min="7429" max="7432" width="13" style="65" bestFit="1" customWidth="1"/>
    <col min="7433" max="7439" width="13" style="65" customWidth="1"/>
    <col min="7440" max="7440" width="13" style="65" bestFit="1" customWidth="1"/>
    <col min="7441" max="7441" width="17.5" style="65" customWidth="1"/>
    <col min="7442" max="7679" width="12" style="65"/>
    <col min="7680" max="7680" width="16.33203125" style="65" customWidth="1"/>
    <col min="7681" max="7681" width="30.83203125" style="65" customWidth="1"/>
    <col min="7682" max="7682" width="15.1640625" style="65" customWidth="1"/>
    <col min="7683" max="7683" width="17" style="65" customWidth="1"/>
    <col min="7684" max="7684" width="16.33203125" style="65" customWidth="1"/>
    <col min="7685" max="7688" width="13" style="65" bestFit="1" customWidth="1"/>
    <col min="7689" max="7695" width="13" style="65" customWidth="1"/>
    <col min="7696" max="7696" width="13" style="65" bestFit="1" customWidth="1"/>
    <col min="7697" max="7697" width="17.5" style="65" customWidth="1"/>
    <col min="7698" max="7935" width="12" style="65"/>
    <col min="7936" max="7936" width="16.33203125" style="65" customWidth="1"/>
    <col min="7937" max="7937" width="30.83203125" style="65" customWidth="1"/>
    <col min="7938" max="7938" width="15.1640625" style="65" customWidth="1"/>
    <col min="7939" max="7939" width="17" style="65" customWidth="1"/>
    <col min="7940" max="7940" width="16.33203125" style="65" customWidth="1"/>
    <col min="7941" max="7944" width="13" style="65" bestFit="1" customWidth="1"/>
    <col min="7945" max="7951" width="13" style="65" customWidth="1"/>
    <col min="7952" max="7952" width="13" style="65" bestFit="1" customWidth="1"/>
    <col min="7953" max="7953" width="17.5" style="65" customWidth="1"/>
    <col min="7954" max="8191" width="12" style="65"/>
    <col min="8192" max="8192" width="16.33203125" style="65" customWidth="1"/>
    <col min="8193" max="8193" width="30.83203125" style="65" customWidth="1"/>
    <col min="8194" max="8194" width="15.1640625" style="65" customWidth="1"/>
    <col min="8195" max="8195" width="17" style="65" customWidth="1"/>
    <col min="8196" max="8196" width="16.33203125" style="65" customWidth="1"/>
    <col min="8197" max="8200" width="13" style="65" bestFit="1" customWidth="1"/>
    <col min="8201" max="8207" width="13" style="65" customWidth="1"/>
    <col min="8208" max="8208" width="13" style="65" bestFit="1" customWidth="1"/>
    <col min="8209" max="8209" width="17.5" style="65" customWidth="1"/>
    <col min="8210" max="8447" width="12" style="65"/>
    <col min="8448" max="8448" width="16.33203125" style="65" customWidth="1"/>
    <col min="8449" max="8449" width="30.83203125" style="65" customWidth="1"/>
    <col min="8450" max="8450" width="15.1640625" style="65" customWidth="1"/>
    <col min="8451" max="8451" width="17" style="65" customWidth="1"/>
    <col min="8452" max="8452" width="16.33203125" style="65" customWidth="1"/>
    <col min="8453" max="8456" width="13" style="65" bestFit="1" customWidth="1"/>
    <col min="8457" max="8463" width="13" style="65" customWidth="1"/>
    <col min="8464" max="8464" width="13" style="65" bestFit="1" customWidth="1"/>
    <col min="8465" max="8465" width="17.5" style="65" customWidth="1"/>
    <col min="8466" max="8703" width="12" style="65"/>
    <col min="8704" max="8704" width="16.33203125" style="65" customWidth="1"/>
    <col min="8705" max="8705" width="30.83203125" style="65" customWidth="1"/>
    <col min="8706" max="8706" width="15.1640625" style="65" customWidth="1"/>
    <col min="8707" max="8707" width="17" style="65" customWidth="1"/>
    <col min="8708" max="8708" width="16.33203125" style="65" customWidth="1"/>
    <col min="8709" max="8712" width="13" style="65" bestFit="1" customWidth="1"/>
    <col min="8713" max="8719" width="13" style="65" customWidth="1"/>
    <col min="8720" max="8720" width="13" style="65" bestFit="1" customWidth="1"/>
    <col min="8721" max="8721" width="17.5" style="65" customWidth="1"/>
    <col min="8722" max="8959" width="12" style="65"/>
    <col min="8960" max="8960" width="16.33203125" style="65" customWidth="1"/>
    <col min="8961" max="8961" width="30.83203125" style="65" customWidth="1"/>
    <col min="8962" max="8962" width="15.1640625" style="65" customWidth="1"/>
    <col min="8963" max="8963" width="17" style="65" customWidth="1"/>
    <col min="8964" max="8964" width="16.33203125" style="65" customWidth="1"/>
    <col min="8965" max="8968" width="13" style="65" bestFit="1" customWidth="1"/>
    <col min="8969" max="8975" width="13" style="65" customWidth="1"/>
    <col min="8976" max="8976" width="13" style="65" bestFit="1" customWidth="1"/>
    <col min="8977" max="8977" width="17.5" style="65" customWidth="1"/>
    <col min="8978" max="9215" width="12" style="65"/>
    <col min="9216" max="9216" width="16.33203125" style="65" customWidth="1"/>
    <col min="9217" max="9217" width="30.83203125" style="65" customWidth="1"/>
    <col min="9218" max="9218" width="15.1640625" style="65" customWidth="1"/>
    <col min="9219" max="9219" width="17" style="65" customWidth="1"/>
    <col min="9220" max="9220" width="16.33203125" style="65" customWidth="1"/>
    <col min="9221" max="9224" width="13" style="65" bestFit="1" customWidth="1"/>
    <col min="9225" max="9231" width="13" style="65" customWidth="1"/>
    <col min="9232" max="9232" width="13" style="65" bestFit="1" customWidth="1"/>
    <col min="9233" max="9233" width="17.5" style="65" customWidth="1"/>
    <col min="9234" max="9471" width="12" style="65"/>
    <col min="9472" max="9472" width="16.33203125" style="65" customWidth="1"/>
    <col min="9473" max="9473" width="30.83203125" style="65" customWidth="1"/>
    <col min="9474" max="9474" width="15.1640625" style="65" customWidth="1"/>
    <col min="9475" max="9475" width="17" style="65" customWidth="1"/>
    <col min="9476" max="9476" width="16.33203125" style="65" customWidth="1"/>
    <col min="9477" max="9480" width="13" style="65" bestFit="1" customWidth="1"/>
    <col min="9481" max="9487" width="13" style="65" customWidth="1"/>
    <col min="9488" max="9488" width="13" style="65" bestFit="1" customWidth="1"/>
    <col min="9489" max="9489" width="17.5" style="65" customWidth="1"/>
    <col min="9490" max="9727" width="12" style="65"/>
    <col min="9728" max="9728" width="16.33203125" style="65" customWidth="1"/>
    <col min="9729" max="9729" width="30.83203125" style="65" customWidth="1"/>
    <col min="9730" max="9730" width="15.1640625" style="65" customWidth="1"/>
    <col min="9731" max="9731" width="17" style="65" customWidth="1"/>
    <col min="9732" max="9732" width="16.33203125" style="65" customWidth="1"/>
    <col min="9733" max="9736" width="13" style="65" bestFit="1" customWidth="1"/>
    <col min="9737" max="9743" width="13" style="65" customWidth="1"/>
    <col min="9744" max="9744" width="13" style="65" bestFit="1" customWidth="1"/>
    <col min="9745" max="9745" width="17.5" style="65" customWidth="1"/>
    <col min="9746" max="9983" width="12" style="65"/>
    <col min="9984" max="9984" width="16.33203125" style="65" customWidth="1"/>
    <col min="9985" max="9985" width="30.83203125" style="65" customWidth="1"/>
    <col min="9986" max="9986" width="15.1640625" style="65" customWidth="1"/>
    <col min="9987" max="9987" width="17" style="65" customWidth="1"/>
    <col min="9988" max="9988" width="16.33203125" style="65" customWidth="1"/>
    <col min="9989" max="9992" width="13" style="65" bestFit="1" customWidth="1"/>
    <col min="9993" max="9999" width="13" style="65" customWidth="1"/>
    <col min="10000" max="10000" width="13" style="65" bestFit="1" customWidth="1"/>
    <col min="10001" max="10001" width="17.5" style="65" customWidth="1"/>
    <col min="10002" max="10239" width="12" style="65"/>
    <col min="10240" max="10240" width="16.33203125" style="65" customWidth="1"/>
    <col min="10241" max="10241" width="30.83203125" style="65" customWidth="1"/>
    <col min="10242" max="10242" width="15.1640625" style="65" customWidth="1"/>
    <col min="10243" max="10243" width="17" style="65" customWidth="1"/>
    <col min="10244" max="10244" width="16.33203125" style="65" customWidth="1"/>
    <col min="10245" max="10248" width="13" style="65" bestFit="1" customWidth="1"/>
    <col min="10249" max="10255" width="13" style="65" customWidth="1"/>
    <col min="10256" max="10256" width="13" style="65" bestFit="1" customWidth="1"/>
    <col min="10257" max="10257" width="17.5" style="65" customWidth="1"/>
    <col min="10258" max="10495" width="12" style="65"/>
    <col min="10496" max="10496" width="16.33203125" style="65" customWidth="1"/>
    <col min="10497" max="10497" width="30.83203125" style="65" customWidth="1"/>
    <col min="10498" max="10498" width="15.1640625" style="65" customWidth="1"/>
    <col min="10499" max="10499" width="17" style="65" customWidth="1"/>
    <col min="10500" max="10500" width="16.33203125" style="65" customWidth="1"/>
    <col min="10501" max="10504" width="13" style="65" bestFit="1" customWidth="1"/>
    <col min="10505" max="10511" width="13" style="65" customWidth="1"/>
    <col min="10512" max="10512" width="13" style="65" bestFit="1" customWidth="1"/>
    <col min="10513" max="10513" width="17.5" style="65" customWidth="1"/>
    <col min="10514" max="10751" width="12" style="65"/>
    <col min="10752" max="10752" width="16.33203125" style="65" customWidth="1"/>
    <col min="10753" max="10753" width="30.83203125" style="65" customWidth="1"/>
    <col min="10754" max="10754" width="15.1640625" style="65" customWidth="1"/>
    <col min="10755" max="10755" width="17" style="65" customWidth="1"/>
    <col min="10756" max="10756" width="16.33203125" style="65" customWidth="1"/>
    <col min="10757" max="10760" width="13" style="65" bestFit="1" customWidth="1"/>
    <col min="10761" max="10767" width="13" style="65" customWidth="1"/>
    <col min="10768" max="10768" width="13" style="65" bestFit="1" customWidth="1"/>
    <col min="10769" max="10769" width="17.5" style="65" customWidth="1"/>
    <col min="10770" max="11007" width="12" style="65"/>
    <col min="11008" max="11008" width="16.33203125" style="65" customWidth="1"/>
    <col min="11009" max="11009" width="30.83203125" style="65" customWidth="1"/>
    <col min="11010" max="11010" width="15.1640625" style="65" customWidth="1"/>
    <col min="11011" max="11011" width="17" style="65" customWidth="1"/>
    <col min="11012" max="11012" width="16.33203125" style="65" customWidth="1"/>
    <col min="11013" max="11016" width="13" style="65" bestFit="1" customWidth="1"/>
    <col min="11017" max="11023" width="13" style="65" customWidth="1"/>
    <col min="11024" max="11024" width="13" style="65" bestFit="1" customWidth="1"/>
    <col min="11025" max="11025" width="17.5" style="65" customWidth="1"/>
    <col min="11026" max="11263" width="12" style="65"/>
    <col min="11264" max="11264" width="16.33203125" style="65" customWidth="1"/>
    <col min="11265" max="11265" width="30.83203125" style="65" customWidth="1"/>
    <col min="11266" max="11266" width="15.1640625" style="65" customWidth="1"/>
    <col min="11267" max="11267" width="17" style="65" customWidth="1"/>
    <col min="11268" max="11268" width="16.33203125" style="65" customWidth="1"/>
    <col min="11269" max="11272" width="13" style="65" bestFit="1" customWidth="1"/>
    <col min="11273" max="11279" width="13" style="65" customWidth="1"/>
    <col min="11280" max="11280" width="13" style="65" bestFit="1" customWidth="1"/>
    <col min="11281" max="11281" width="17.5" style="65" customWidth="1"/>
    <col min="11282" max="11519" width="12" style="65"/>
    <col min="11520" max="11520" width="16.33203125" style="65" customWidth="1"/>
    <col min="11521" max="11521" width="30.83203125" style="65" customWidth="1"/>
    <col min="11522" max="11522" width="15.1640625" style="65" customWidth="1"/>
    <col min="11523" max="11523" width="17" style="65" customWidth="1"/>
    <col min="11524" max="11524" width="16.33203125" style="65" customWidth="1"/>
    <col min="11525" max="11528" width="13" style="65" bestFit="1" customWidth="1"/>
    <col min="11529" max="11535" width="13" style="65" customWidth="1"/>
    <col min="11536" max="11536" width="13" style="65" bestFit="1" customWidth="1"/>
    <col min="11537" max="11537" width="17.5" style="65" customWidth="1"/>
    <col min="11538" max="11775" width="12" style="65"/>
    <col min="11776" max="11776" width="16.33203125" style="65" customWidth="1"/>
    <col min="11777" max="11777" width="30.83203125" style="65" customWidth="1"/>
    <col min="11778" max="11778" width="15.1640625" style="65" customWidth="1"/>
    <col min="11779" max="11779" width="17" style="65" customWidth="1"/>
    <col min="11780" max="11780" width="16.33203125" style="65" customWidth="1"/>
    <col min="11781" max="11784" width="13" style="65" bestFit="1" customWidth="1"/>
    <col min="11785" max="11791" width="13" style="65" customWidth="1"/>
    <col min="11792" max="11792" width="13" style="65" bestFit="1" customWidth="1"/>
    <col min="11793" max="11793" width="17.5" style="65" customWidth="1"/>
    <col min="11794" max="12031" width="12" style="65"/>
    <col min="12032" max="12032" width="16.33203125" style="65" customWidth="1"/>
    <col min="12033" max="12033" width="30.83203125" style="65" customWidth="1"/>
    <col min="12034" max="12034" width="15.1640625" style="65" customWidth="1"/>
    <col min="12035" max="12035" width="17" style="65" customWidth="1"/>
    <col min="12036" max="12036" width="16.33203125" style="65" customWidth="1"/>
    <col min="12037" max="12040" width="13" style="65" bestFit="1" customWidth="1"/>
    <col min="12041" max="12047" width="13" style="65" customWidth="1"/>
    <col min="12048" max="12048" width="13" style="65" bestFit="1" customWidth="1"/>
    <col min="12049" max="12049" width="17.5" style="65" customWidth="1"/>
    <col min="12050" max="12287" width="12" style="65"/>
    <col min="12288" max="12288" width="16.33203125" style="65" customWidth="1"/>
    <col min="12289" max="12289" width="30.83203125" style="65" customWidth="1"/>
    <col min="12290" max="12290" width="15.1640625" style="65" customWidth="1"/>
    <col min="12291" max="12291" width="17" style="65" customWidth="1"/>
    <col min="12292" max="12292" width="16.33203125" style="65" customWidth="1"/>
    <col min="12293" max="12296" width="13" style="65" bestFit="1" customWidth="1"/>
    <col min="12297" max="12303" width="13" style="65" customWidth="1"/>
    <col min="12304" max="12304" width="13" style="65" bestFit="1" customWidth="1"/>
    <col min="12305" max="12305" width="17.5" style="65" customWidth="1"/>
    <col min="12306" max="12543" width="12" style="65"/>
    <col min="12544" max="12544" width="16.33203125" style="65" customWidth="1"/>
    <col min="12545" max="12545" width="30.83203125" style="65" customWidth="1"/>
    <col min="12546" max="12546" width="15.1640625" style="65" customWidth="1"/>
    <col min="12547" max="12547" width="17" style="65" customWidth="1"/>
    <col min="12548" max="12548" width="16.33203125" style="65" customWidth="1"/>
    <col min="12549" max="12552" width="13" style="65" bestFit="1" customWidth="1"/>
    <col min="12553" max="12559" width="13" style="65" customWidth="1"/>
    <col min="12560" max="12560" width="13" style="65" bestFit="1" customWidth="1"/>
    <col min="12561" max="12561" width="17.5" style="65" customWidth="1"/>
    <col min="12562" max="12799" width="12" style="65"/>
    <col min="12800" max="12800" width="16.33203125" style="65" customWidth="1"/>
    <col min="12801" max="12801" width="30.83203125" style="65" customWidth="1"/>
    <col min="12802" max="12802" width="15.1640625" style="65" customWidth="1"/>
    <col min="12803" max="12803" width="17" style="65" customWidth="1"/>
    <col min="12804" max="12804" width="16.33203125" style="65" customWidth="1"/>
    <col min="12805" max="12808" width="13" style="65" bestFit="1" customWidth="1"/>
    <col min="12809" max="12815" width="13" style="65" customWidth="1"/>
    <col min="12816" max="12816" width="13" style="65" bestFit="1" customWidth="1"/>
    <col min="12817" max="12817" width="17.5" style="65" customWidth="1"/>
    <col min="12818" max="13055" width="12" style="65"/>
    <col min="13056" max="13056" width="16.33203125" style="65" customWidth="1"/>
    <col min="13057" max="13057" width="30.83203125" style="65" customWidth="1"/>
    <col min="13058" max="13058" width="15.1640625" style="65" customWidth="1"/>
    <col min="13059" max="13059" width="17" style="65" customWidth="1"/>
    <col min="13060" max="13060" width="16.33203125" style="65" customWidth="1"/>
    <col min="13061" max="13064" width="13" style="65" bestFit="1" customWidth="1"/>
    <col min="13065" max="13071" width="13" style="65" customWidth="1"/>
    <col min="13072" max="13072" width="13" style="65" bestFit="1" customWidth="1"/>
    <col min="13073" max="13073" width="17.5" style="65" customWidth="1"/>
    <col min="13074" max="13311" width="12" style="65"/>
    <col min="13312" max="13312" width="16.33203125" style="65" customWidth="1"/>
    <col min="13313" max="13313" width="30.83203125" style="65" customWidth="1"/>
    <col min="13314" max="13314" width="15.1640625" style="65" customWidth="1"/>
    <col min="13315" max="13315" width="17" style="65" customWidth="1"/>
    <col min="13316" max="13316" width="16.33203125" style="65" customWidth="1"/>
    <col min="13317" max="13320" width="13" style="65" bestFit="1" customWidth="1"/>
    <col min="13321" max="13327" width="13" style="65" customWidth="1"/>
    <col min="13328" max="13328" width="13" style="65" bestFit="1" customWidth="1"/>
    <col min="13329" max="13329" width="17.5" style="65" customWidth="1"/>
    <col min="13330" max="13567" width="12" style="65"/>
    <col min="13568" max="13568" width="16.33203125" style="65" customWidth="1"/>
    <col min="13569" max="13569" width="30.83203125" style="65" customWidth="1"/>
    <col min="13570" max="13570" width="15.1640625" style="65" customWidth="1"/>
    <col min="13571" max="13571" width="17" style="65" customWidth="1"/>
    <col min="13572" max="13572" width="16.33203125" style="65" customWidth="1"/>
    <col min="13573" max="13576" width="13" style="65" bestFit="1" customWidth="1"/>
    <col min="13577" max="13583" width="13" style="65" customWidth="1"/>
    <col min="13584" max="13584" width="13" style="65" bestFit="1" customWidth="1"/>
    <col min="13585" max="13585" width="17.5" style="65" customWidth="1"/>
    <col min="13586" max="13823" width="12" style="65"/>
    <col min="13824" max="13824" width="16.33203125" style="65" customWidth="1"/>
    <col min="13825" max="13825" width="30.83203125" style="65" customWidth="1"/>
    <col min="13826" max="13826" width="15.1640625" style="65" customWidth="1"/>
    <col min="13827" max="13827" width="17" style="65" customWidth="1"/>
    <col min="13828" max="13828" width="16.33203125" style="65" customWidth="1"/>
    <col min="13829" max="13832" width="13" style="65" bestFit="1" customWidth="1"/>
    <col min="13833" max="13839" width="13" style="65" customWidth="1"/>
    <col min="13840" max="13840" width="13" style="65" bestFit="1" customWidth="1"/>
    <col min="13841" max="13841" width="17.5" style="65" customWidth="1"/>
    <col min="13842" max="14079" width="12" style="65"/>
    <col min="14080" max="14080" width="16.33203125" style="65" customWidth="1"/>
    <col min="14081" max="14081" width="30.83203125" style="65" customWidth="1"/>
    <col min="14082" max="14082" width="15.1640625" style="65" customWidth="1"/>
    <col min="14083" max="14083" width="17" style="65" customWidth="1"/>
    <col min="14084" max="14084" width="16.33203125" style="65" customWidth="1"/>
    <col min="14085" max="14088" width="13" style="65" bestFit="1" customWidth="1"/>
    <col min="14089" max="14095" width="13" style="65" customWidth="1"/>
    <col min="14096" max="14096" width="13" style="65" bestFit="1" customWidth="1"/>
    <col min="14097" max="14097" width="17.5" style="65" customWidth="1"/>
    <col min="14098" max="14335" width="12" style="65"/>
    <col min="14336" max="14336" width="16.33203125" style="65" customWidth="1"/>
    <col min="14337" max="14337" width="30.83203125" style="65" customWidth="1"/>
    <col min="14338" max="14338" width="15.1640625" style="65" customWidth="1"/>
    <col min="14339" max="14339" width="17" style="65" customWidth="1"/>
    <col min="14340" max="14340" width="16.33203125" style="65" customWidth="1"/>
    <col min="14341" max="14344" width="13" style="65" bestFit="1" customWidth="1"/>
    <col min="14345" max="14351" width="13" style="65" customWidth="1"/>
    <col min="14352" max="14352" width="13" style="65" bestFit="1" customWidth="1"/>
    <col min="14353" max="14353" width="17.5" style="65" customWidth="1"/>
    <col min="14354" max="14591" width="12" style="65"/>
    <col min="14592" max="14592" width="16.33203125" style="65" customWidth="1"/>
    <col min="14593" max="14593" width="30.83203125" style="65" customWidth="1"/>
    <col min="14594" max="14594" width="15.1640625" style="65" customWidth="1"/>
    <col min="14595" max="14595" width="17" style="65" customWidth="1"/>
    <col min="14596" max="14596" width="16.33203125" style="65" customWidth="1"/>
    <col min="14597" max="14600" width="13" style="65" bestFit="1" customWidth="1"/>
    <col min="14601" max="14607" width="13" style="65" customWidth="1"/>
    <col min="14608" max="14608" width="13" style="65" bestFit="1" customWidth="1"/>
    <col min="14609" max="14609" width="17.5" style="65" customWidth="1"/>
    <col min="14610" max="14847" width="12" style="65"/>
    <col min="14848" max="14848" width="16.33203125" style="65" customWidth="1"/>
    <col min="14849" max="14849" width="30.83203125" style="65" customWidth="1"/>
    <col min="14850" max="14850" width="15.1640625" style="65" customWidth="1"/>
    <col min="14851" max="14851" width="17" style="65" customWidth="1"/>
    <col min="14852" max="14852" width="16.33203125" style="65" customWidth="1"/>
    <col min="14853" max="14856" width="13" style="65" bestFit="1" customWidth="1"/>
    <col min="14857" max="14863" width="13" style="65" customWidth="1"/>
    <col min="14864" max="14864" width="13" style="65" bestFit="1" customWidth="1"/>
    <col min="14865" max="14865" width="17.5" style="65" customWidth="1"/>
    <col min="14866" max="15103" width="12" style="65"/>
    <col min="15104" max="15104" width="16.33203125" style="65" customWidth="1"/>
    <col min="15105" max="15105" width="30.83203125" style="65" customWidth="1"/>
    <col min="15106" max="15106" width="15.1640625" style="65" customWidth="1"/>
    <col min="15107" max="15107" width="17" style="65" customWidth="1"/>
    <col min="15108" max="15108" width="16.33203125" style="65" customWidth="1"/>
    <col min="15109" max="15112" width="13" style="65" bestFit="1" customWidth="1"/>
    <col min="15113" max="15119" width="13" style="65" customWidth="1"/>
    <col min="15120" max="15120" width="13" style="65" bestFit="1" customWidth="1"/>
    <col min="15121" max="15121" width="17.5" style="65" customWidth="1"/>
    <col min="15122" max="15359" width="12" style="65"/>
    <col min="15360" max="15360" width="16.33203125" style="65" customWidth="1"/>
    <col min="15361" max="15361" width="30.83203125" style="65" customWidth="1"/>
    <col min="15362" max="15362" width="15.1640625" style="65" customWidth="1"/>
    <col min="15363" max="15363" width="17" style="65" customWidth="1"/>
    <col min="15364" max="15364" width="16.33203125" style="65" customWidth="1"/>
    <col min="15365" max="15368" width="13" style="65" bestFit="1" customWidth="1"/>
    <col min="15369" max="15375" width="13" style="65" customWidth="1"/>
    <col min="15376" max="15376" width="13" style="65" bestFit="1" customWidth="1"/>
    <col min="15377" max="15377" width="17.5" style="65" customWidth="1"/>
    <col min="15378" max="15615" width="12" style="65"/>
    <col min="15616" max="15616" width="16.33203125" style="65" customWidth="1"/>
    <col min="15617" max="15617" width="30.83203125" style="65" customWidth="1"/>
    <col min="15618" max="15618" width="15.1640625" style="65" customWidth="1"/>
    <col min="15619" max="15619" width="17" style="65" customWidth="1"/>
    <col min="15620" max="15620" width="16.33203125" style="65" customWidth="1"/>
    <col min="15621" max="15624" width="13" style="65" bestFit="1" customWidth="1"/>
    <col min="15625" max="15631" width="13" style="65" customWidth="1"/>
    <col min="15632" max="15632" width="13" style="65" bestFit="1" customWidth="1"/>
    <col min="15633" max="15633" width="17.5" style="65" customWidth="1"/>
    <col min="15634" max="15871" width="12" style="65"/>
    <col min="15872" max="15872" width="16.33203125" style="65" customWidth="1"/>
    <col min="15873" max="15873" width="30.83203125" style="65" customWidth="1"/>
    <col min="15874" max="15874" width="15.1640625" style="65" customWidth="1"/>
    <col min="15875" max="15875" width="17" style="65" customWidth="1"/>
    <col min="15876" max="15876" width="16.33203125" style="65" customWidth="1"/>
    <col min="15877" max="15880" width="13" style="65" bestFit="1" customWidth="1"/>
    <col min="15881" max="15887" width="13" style="65" customWidth="1"/>
    <col min="15888" max="15888" width="13" style="65" bestFit="1" customWidth="1"/>
    <col min="15889" max="15889" width="17.5" style="65" customWidth="1"/>
    <col min="15890" max="16127" width="12" style="65"/>
    <col min="16128" max="16128" width="16.33203125" style="65" customWidth="1"/>
    <col min="16129" max="16129" width="30.83203125" style="65" customWidth="1"/>
    <col min="16130" max="16130" width="15.1640625" style="65" customWidth="1"/>
    <col min="16131" max="16131" width="17" style="65" customWidth="1"/>
    <col min="16132" max="16132" width="16.33203125" style="65" customWidth="1"/>
    <col min="16133" max="16136" width="13" style="65" bestFit="1" customWidth="1"/>
    <col min="16137" max="16143" width="13" style="65" customWidth="1"/>
    <col min="16144" max="16144" width="13" style="65" bestFit="1" customWidth="1"/>
    <col min="16145" max="16145" width="17.5" style="65" customWidth="1"/>
    <col min="16146" max="16384" width="12" style="65"/>
  </cols>
  <sheetData>
    <row r="1" spans="1:18" ht="18" customHeight="1">
      <c r="A1" s="903"/>
      <c r="B1" s="904"/>
      <c r="C1" s="904" t="s">
        <v>0</v>
      </c>
      <c r="D1" s="904"/>
      <c r="E1" s="904"/>
      <c r="F1" s="904"/>
      <c r="G1" s="904"/>
      <c r="H1" s="904"/>
      <c r="I1" s="904"/>
      <c r="J1" s="904"/>
      <c r="K1" s="904"/>
      <c r="L1" s="904"/>
      <c r="M1" s="904"/>
      <c r="N1" s="904"/>
      <c r="O1" s="904"/>
      <c r="P1" s="904"/>
      <c r="Q1" s="912"/>
      <c r="R1" s="366" t="s">
        <v>104</v>
      </c>
    </row>
    <row r="2" spans="1:18" ht="18" customHeight="1">
      <c r="A2" s="905"/>
      <c r="B2" s="906"/>
      <c r="C2" s="906" t="s">
        <v>369</v>
      </c>
      <c r="D2" s="906"/>
      <c r="E2" s="906"/>
      <c r="F2" s="906"/>
      <c r="G2" s="906"/>
      <c r="H2" s="906"/>
      <c r="I2" s="906"/>
      <c r="J2" s="906"/>
      <c r="K2" s="906"/>
      <c r="L2" s="906"/>
      <c r="M2" s="906"/>
      <c r="N2" s="906"/>
      <c r="O2" s="906"/>
      <c r="P2" s="906"/>
      <c r="Q2" s="913"/>
      <c r="R2" s="366" t="s">
        <v>370</v>
      </c>
    </row>
    <row r="3" spans="1:18" ht="18" customHeight="1" thickBot="1">
      <c r="A3" s="907"/>
      <c r="B3" s="908"/>
      <c r="C3" s="908" t="s">
        <v>2</v>
      </c>
      <c r="D3" s="908"/>
      <c r="E3" s="908"/>
      <c r="F3" s="908"/>
      <c r="G3" s="908"/>
      <c r="H3" s="908"/>
      <c r="I3" s="908"/>
      <c r="J3" s="908" t="s">
        <v>3</v>
      </c>
      <c r="K3" s="908"/>
      <c r="L3" s="908"/>
      <c r="M3" s="908"/>
      <c r="N3" s="908"/>
      <c r="O3" s="908"/>
      <c r="P3" s="908"/>
      <c r="Q3" s="914"/>
      <c r="R3" s="64"/>
    </row>
    <row r="4" spans="1:18" ht="18" customHeight="1" thickBot="1">
      <c r="A4" s="66"/>
      <c r="B4" s="67"/>
      <c r="C4" s="67"/>
      <c r="D4" s="67"/>
      <c r="E4" s="67"/>
      <c r="F4" s="67"/>
      <c r="G4" s="67"/>
      <c r="H4" s="67"/>
      <c r="I4" s="67"/>
      <c r="J4" s="67"/>
      <c r="K4" s="67"/>
      <c r="L4" s="67"/>
      <c r="M4" s="67"/>
      <c r="N4" s="67"/>
      <c r="O4" s="67"/>
      <c r="P4" s="67"/>
      <c r="Q4" s="67"/>
      <c r="R4" s="64"/>
    </row>
    <row r="5" spans="1:18" s="64" customFormat="1" ht="18" customHeight="1" thickBot="1">
      <c r="A5" s="989" t="s">
        <v>107</v>
      </c>
      <c r="B5" s="990"/>
      <c r="C5" s="991"/>
      <c r="D5" s="992"/>
      <c r="E5" s="992"/>
      <c r="F5" s="992"/>
      <c r="G5" s="992"/>
      <c r="H5" s="992"/>
      <c r="I5" s="992"/>
      <c r="J5" s="992"/>
      <c r="K5" s="992"/>
      <c r="L5" s="992"/>
      <c r="M5" s="992"/>
      <c r="N5" s="992"/>
      <c r="O5" s="992"/>
      <c r="P5" s="992"/>
      <c r="Q5" s="993"/>
      <c r="R5" s="645">
        <f>C5</f>
        <v>0</v>
      </c>
    </row>
    <row r="6" spans="1:18" s="64" customFormat="1" ht="18" customHeight="1" thickBot="1">
      <c r="A6" s="989" t="s">
        <v>109</v>
      </c>
      <c r="B6" s="990"/>
      <c r="C6" s="991"/>
      <c r="D6" s="992"/>
      <c r="E6" s="992"/>
      <c r="F6" s="992"/>
      <c r="G6" s="992"/>
      <c r="H6" s="992"/>
      <c r="I6" s="992"/>
      <c r="J6" s="992"/>
      <c r="K6" s="992"/>
      <c r="L6" s="992"/>
      <c r="M6" s="992"/>
      <c r="N6" s="992"/>
      <c r="O6" s="992"/>
      <c r="P6" s="992"/>
      <c r="Q6" s="993"/>
      <c r="R6" s="645">
        <f>C6</f>
        <v>0</v>
      </c>
    </row>
    <row r="7" spans="1:18" s="64" customFormat="1" ht="18" customHeight="1" thickBot="1">
      <c r="B7" s="70"/>
      <c r="C7" s="70"/>
      <c r="D7" s="70"/>
      <c r="E7" s="72"/>
      <c r="F7" s="72"/>
      <c r="G7" s="72"/>
      <c r="H7" s="72"/>
      <c r="I7" s="73"/>
      <c r="J7" s="73"/>
      <c r="K7" s="73"/>
      <c r="L7" s="73"/>
      <c r="M7" s="73"/>
      <c r="N7" s="73"/>
      <c r="O7" s="73"/>
      <c r="P7" s="73"/>
      <c r="Q7" s="73"/>
      <c r="R7" s="69"/>
    </row>
    <row r="8" spans="1:18" ht="18" customHeight="1" thickBot="1">
      <c r="A8" s="985" t="s">
        <v>371</v>
      </c>
      <c r="B8" s="985"/>
      <c r="C8" s="1017"/>
      <c r="D8" s="1018"/>
      <c r="E8" s="1018"/>
      <c r="F8" s="1018"/>
      <c r="G8" s="1019"/>
      <c r="H8" s="74"/>
      <c r="I8" s="74"/>
      <c r="J8" s="74"/>
      <c r="K8" s="74"/>
      <c r="L8" s="74"/>
      <c r="M8" s="74"/>
      <c r="N8" s="74"/>
      <c r="O8" s="74"/>
      <c r="P8" s="74"/>
    </row>
    <row r="9" spans="1:18" ht="18" customHeight="1" thickBot="1">
      <c r="A9" s="985" t="s">
        <v>372</v>
      </c>
      <c r="B9" s="985"/>
      <c r="C9" s="1017"/>
      <c r="D9" s="1018"/>
      <c r="E9" s="1018"/>
      <c r="F9" s="1018"/>
      <c r="G9" s="1019"/>
      <c r="H9" s="74"/>
      <c r="I9" s="74"/>
      <c r="J9" s="74"/>
      <c r="K9" s="74"/>
      <c r="L9" s="74"/>
      <c r="M9" s="74"/>
      <c r="N9" s="74"/>
      <c r="O9" s="74"/>
      <c r="P9" s="74"/>
    </row>
    <row r="10" spans="1:18" ht="18" customHeight="1" thickBot="1">
      <c r="A10" s="958" t="s">
        <v>115</v>
      </c>
      <c r="B10" s="958"/>
      <c r="C10" s="1017"/>
      <c r="D10" s="1018"/>
      <c r="E10" s="1018"/>
      <c r="F10" s="1018"/>
      <c r="G10" s="1019"/>
      <c r="H10" s="74"/>
      <c r="I10" s="74"/>
      <c r="J10" s="74"/>
      <c r="K10" s="74"/>
      <c r="L10" s="74"/>
      <c r="M10" s="74"/>
      <c r="N10" s="74"/>
      <c r="O10" s="74"/>
      <c r="P10" s="74"/>
    </row>
    <row r="11" spans="1:18" ht="18" customHeight="1" thickBot="1">
      <c r="A11" s="958" t="s">
        <v>117</v>
      </c>
      <c r="B11" s="958"/>
      <c r="C11" s="1017"/>
      <c r="D11" s="1018"/>
      <c r="E11" s="1018"/>
      <c r="F11" s="1018"/>
      <c r="G11" s="1019"/>
      <c r="H11" s="74"/>
    </row>
    <row r="12" spans="1:18" ht="18" customHeight="1" thickBot="1">
      <c r="A12" s="75"/>
      <c r="B12" s="76"/>
      <c r="C12" s="76"/>
      <c r="D12" s="76"/>
      <c r="E12" s="76"/>
      <c r="F12" s="78"/>
      <c r="G12" s="78"/>
      <c r="H12" s="78"/>
    </row>
    <row r="13" spans="1:18" ht="18" customHeight="1">
      <c r="A13" s="962" t="s">
        <v>119</v>
      </c>
      <c r="B13" s="963"/>
      <c r="C13" s="963"/>
      <c r="D13" s="963"/>
      <c r="E13" s="963"/>
      <c r="F13" s="963"/>
      <c r="G13" s="963"/>
      <c r="H13" s="963"/>
      <c r="I13" s="963"/>
      <c r="J13" s="963"/>
      <c r="K13" s="963"/>
      <c r="L13" s="963"/>
      <c r="M13" s="963"/>
      <c r="N13" s="963"/>
      <c r="O13" s="963"/>
      <c r="P13" s="963"/>
      <c r="Q13" s="965"/>
    </row>
    <row r="14" spans="1:18" ht="18" customHeight="1">
      <c r="A14" s="1007"/>
      <c r="B14" s="1000" t="s">
        <v>18</v>
      </c>
      <c r="C14" s="973" t="s">
        <v>120</v>
      </c>
      <c r="D14" s="973" t="s">
        <v>122</v>
      </c>
      <c r="E14" s="973" t="s">
        <v>123</v>
      </c>
      <c r="F14" s="1000" t="s">
        <v>124</v>
      </c>
      <c r="G14" s="1000"/>
      <c r="H14" s="1000"/>
      <c r="I14" s="1000"/>
      <c r="J14" s="1000"/>
      <c r="K14" s="1000"/>
      <c r="L14" s="1000"/>
      <c r="M14" s="1000"/>
      <c r="N14" s="1000"/>
      <c r="O14" s="1000"/>
      <c r="P14" s="1000"/>
      <c r="Q14" s="1002"/>
    </row>
    <row r="15" spans="1:18" ht="27.75" customHeight="1">
      <c r="A15" s="1007"/>
      <c r="B15" s="1000"/>
      <c r="C15" s="973"/>
      <c r="D15" s="973"/>
      <c r="E15" s="973"/>
      <c r="F15" s="374" t="s">
        <v>125</v>
      </c>
      <c r="G15" s="374" t="s">
        <v>126</v>
      </c>
      <c r="H15" s="374" t="s">
        <v>127</v>
      </c>
      <c r="I15" s="374" t="s">
        <v>128</v>
      </c>
      <c r="J15" s="374" t="s">
        <v>129</v>
      </c>
      <c r="K15" s="374" t="s">
        <v>130</v>
      </c>
      <c r="L15" s="374" t="s">
        <v>131</v>
      </c>
      <c r="M15" s="374" t="s">
        <v>132</v>
      </c>
      <c r="N15" s="374" t="s">
        <v>133</v>
      </c>
      <c r="O15" s="374" t="s">
        <v>134</v>
      </c>
      <c r="P15" s="374" t="s">
        <v>135</v>
      </c>
      <c r="Q15" s="79" t="s">
        <v>136</v>
      </c>
    </row>
    <row r="16" spans="1:18" s="83" customFormat="1" ht="27" customHeight="1">
      <c r="A16" s="80" t="s">
        <v>149</v>
      </c>
      <c r="B16" s="81"/>
      <c r="C16" s="677">
        <v>1</v>
      </c>
      <c r="D16" s="678" t="s">
        <v>187</v>
      </c>
      <c r="E16" s="686">
        <f>E17</f>
        <v>0</v>
      </c>
      <c r="F16" s="687"/>
      <c r="G16" s="687"/>
      <c r="H16" s="687"/>
      <c r="I16" s="687"/>
      <c r="J16" s="687"/>
      <c r="K16" s="687"/>
      <c r="L16" s="687"/>
      <c r="M16" s="687"/>
      <c r="N16" s="687"/>
      <c r="O16" s="687"/>
      <c r="P16" s="687"/>
      <c r="Q16" s="688"/>
      <c r="R16" s="82">
        <f>E16-SUM(F16:Q16)</f>
        <v>0</v>
      </c>
    </row>
    <row r="17" spans="1:20" ht="18" customHeight="1">
      <c r="A17" s="84" t="s">
        <v>152</v>
      </c>
      <c r="B17" s="37"/>
      <c r="C17" s="38">
        <v>1</v>
      </c>
      <c r="D17" s="39" t="s">
        <v>187</v>
      </c>
      <c r="E17" s="461"/>
      <c r="F17" s="460"/>
      <c r="G17" s="460"/>
      <c r="H17" s="460"/>
      <c r="I17" s="460"/>
      <c r="J17" s="460"/>
      <c r="K17" s="460"/>
      <c r="L17" s="460"/>
      <c r="M17" s="460"/>
      <c r="N17" s="460"/>
      <c r="O17" s="460"/>
      <c r="P17" s="460"/>
      <c r="Q17" s="462"/>
      <c r="R17" s="82">
        <f>E17-SUM(F17:Q17)</f>
        <v>0</v>
      </c>
    </row>
    <row r="18" spans="1:20" ht="18" customHeight="1">
      <c r="A18" s="1031" t="s">
        <v>344</v>
      </c>
      <c r="B18" s="1032"/>
      <c r="C18" s="1032"/>
      <c r="D18" s="1032"/>
      <c r="E18" s="1032"/>
      <c r="F18" s="106">
        <f>IFERROR(F17/$E$17,0)</f>
        <v>0</v>
      </c>
      <c r="G18" s="106">
        <f>IFERROR(G17/$E$17,0)</f>
        <v>0</v>
      </c>
      <c r="H18" s="106">
        <f t="shared" ref="H18:Q18" si="0">IFERROR(H17/$E$17,0)</f>
        <v>0</v>
      </c>
      <c r="I18" s="106">
        <f t="shared" si="0"/>
        <v>0</v>
      </c>
      <c r="J18" s="106">
        <f t="shared" si="0"/>
        <v>0</v>
      </c>
      <c r="K18" s="106">
        <f t="shared" si="0"/>
        <v>0</v>
      </c>
      <c r="L18" s="106">
        <f t="shared" si="0"/>
        <v>0</v>
      </c>
      <c r="M18" s="106">
        <f t="shared" si="0"/>
        <v>0</v>
      </c>
      <c r="N18" s="106">
        <f t="shared" si="0"/>
        <v>0</v>
      </c>
      <c r="O18" s="106">
        <f t="shared" si="0"/>
        <v>0</v>
      </c>
      <c r="P18" s="106">
        <f t="shared" si="0"/>
        <v>0</v>
      </c>
      <c r="Q18" s="107">
        <f t="shared" si="0"/>
        <v>0</v>
      </c>
    </row>
    <row r="19" spans="1:20" ht="18" customHeight="1" thickBot="1">
      <c r="A19" s="1005" t="s">
        <v>345</v>
      </c>
      <c r="B19" s="1006"/>
      <c r="C19" s="1006"/>
      <c r="D19" s="1006"/>
      <c r="E19" s="1006"/>
      <c r="F19" s="87">
        <f>F18</f>
        <v>0</v>
      </c>
      <c r="G19" s="87">
        <f>G18+F19</f>
        <v>0</v>
      </c>
      <c r="H19" s="87">
        <f>H18+G19</f>
        <v>0</v>
      </c>
      <c r="I19" s="87">
        <f t="shared" ref="I19:Q19" si="1">I18+H19</f>
        <v>0</v>
      </c>
      <c r="J19" s="87">
        <f t="shared" si="1"/>
        <v>0</v>
      </c>
      <c r="K19" s="87">
        <f t="shared" si="1"/>
        <v>0</v>
      </c>
      <c r="L19" s="87">
        <f t="shared" si="1"/>
        <v>0</v>
      </c>
      <c r="M19" s="87">
        <f t="shared" si="1"/>
        <v>0</v>
      </c>
      <c r="N19" s="87">
        <f t="shared" si="1"/>
        <v>0</v>
      </c>
      <c r="O19" s="87">
        <f t="shared" si="1"/>
        <v>0</v>
      </c>
      <c r="P19" s="87">
        <f t="shared" si="1"/>
        <v>0</v>
      </c>
      <c r="Q19" s="88">
        <f t="shared" si="1"/>
        <v>0</v>
      </c>
    </row>
    <row r="20" spans="1:20" ht="18" customHeight="1" thickBot="1">
      <c r="A20" s="76"/>
      <c r="B20" s="76"/>
      <c r="C20" s="76"/>
      <c r="D20" s="76"/>
      <c r="E20" s="76"/>
      <c r="F20" s="378"/>
      <c r="G20" s="378"/>
      <c r="H20" s="378"/>
      <c r="I20" s="378"/>
      <c r="J20" s="378"/>
      <c r="K20" s="378"/>
      <c r="L20" s="378"/>
      <c r="M20" s="378"/>
      <c r="N20" s="378"/>
      <c r="O20" s="378"/>
      <c r="P20" s="378"/>
      <c r="Q20" s="378"/>
    </row>
    <row r="21" spans="1:20" ht="35.25" customHeight="1">
      <c r="A21" s="89"/>
      <c r="C21" s="90"/>
      <c r="E21" s="1028" t="s">
        <v>346</v>
      </c>
      <c r="F21" s="1029"/>
      <c r="G21" s="1029"/>
      <c r="H21" s="1029"/>
      <c r="I21" s="1029"/>
      <c r="J21" s="1029"/>
      <c r="K21" s="1029"/>
      <c r="L21" s="1029"/>
      <c r="M21" s="1029"/>
      <c r="N21" s="1029"/>
      <c r="O21" s="1029"/>
      <c r="P21" s="1030"/>
      <c r="Q21" s="466" t="s">
        <v>347</v>
      </c>
    </row>
    <row r="22" spans="1:20" ht="18" customHeight="1">
      <c r="E22" s="1014" t="s">
        <v>348</v>
      </c>
      <c r="F22" s="973"/>
      <c r="G22" s="973"/>
      <c r="H22" s="973"/>
      <c r="I22" s="973"/>
      <c r="J22" s="973"/>
      <c r="K22" s="973"/>
      <c r="L22" s="973"/>
      <c r="M22" s="973"/>
      <c r="N22" s="973"/>
      <c r="O22" s="973"/>
      <c r="P22" s="973"/>
      <c r="Q22" s="974"/>
    </row>
    <row r="23" spans="1:20" ht="18" customHeight="1">
      <c r="D23" s="467"/>
      <c r="E23" s="85"/>
      <c r="F23" s="973" t="s">
        <v>351</v>
      </c>
      <c r="G23" s="973"/>
      <c r="H23" s="973"/>
      <c r="I23" s="973"/>
      <c r="J23" s="973"/>
      <c r="K23" s="973"/>
      <c r="L23" s="973"/>
      <c r="M23" s="973"/>
      <c r="N23" s="973"/>
      <c r="O23" s="973"/>
      <c r="P23" s="973"/>
      <c r="Q23" s="974"/>
    </row>
    <row r="24" spans="1:20" ht="18" customHeight="1">
      <c r="E24" s="85" t="s">
        <v>373</v>
      </c>
      <c r="F24" s="374" t="s">
        <v>125</v>
      </c>
      <c r="G24" s="374" t="s">
        <v>126</v>
      </c>
      <c r="H24" s="374" t="s">
        <v>127</v>
      </c>
      <c r="I24" s="374" t="s">
        <v>128</v>
      </c>
      <c r="J24" s="374" t="s">
        <v>129</v>
      </c>
      <c r="K24" s="374" t="s">
        <v>130</v>
      </c>
      <c r="L24" s="374" t="s">
        <v>131</v>
      </c>
      <c r="M24" s="374" t="s">
        <v>132</v>
      </c>
      <c r="N24" s="374" t="s">
        <v>133</v>
      </c>
      <c r="O24" s="374" t="s">
        <v>134</v>
      </c>
      <c r="P24" s="374" t="s">
        <v>135</v>
      </c>
      <c r="Q24" s="79" t="s">
        <v>136</v>
      </c>
    </row>
    <row r="25" spans="1:20" ht="21" customHeight="1">
      <c r="E25" s="682"/>
      <c r="F25" s="684">
        <f>$E$25*F26</f>
        <v>0</v>
      </c>
      <c r="G25" s="684">
        <f t="shared" ref="G25:Q25" si="2">$E$25*G26</f>
        <v>0</v>
      </c>
      <c r="H25" s="684">
        <f t="shared" si="2"/>
        <v>0</v>
      </c>
      <c r="I25" s="684">
        <f t="shared" si="2"/>
        <v>0</v>
      </c>
      <c r="J25" s="684">
        <f t="shared" si="2"/>
        <v>0</v>
      </c>
      <c r="K25" s="684">
        <f t="shared" si="2"/>
        <v>0</v>
      </c>
      <c r="L25" s="684">
        <f t="shared" si="2"/>
        <v>0</v>
      </c>
      <c r="M25" s="684">
        <f t="shared" si="2"/>
        <v>0</v>
      </c>
      <c r="N25" s="684">
        <f t="shared" si="2"/>
        <v>0</v>
      </c>
      <c r="O25" s="684">
        <f t="shared" si="2"/>
        <v>0</v>
      </c>
      <c r="P25" s="684">
        <f t="shared" si="2"/>
        <v>0</v>
      </c>
      <c r="Q25" s="685">
        <f t="shared" si="2"/>
        <v>0</v>
      </c>
      <c r="R25" s="409"/>
      <c r="S25" s="409"/>
      <c r="T25" s="409"/>
    </row>
    <row r="26" spans="1:20" ht="21" customHeight="1">
      <c r="E26" s="463" t="s">
        <v>352</v>
      </c>
      <c r="F26" s="379">
        <f>F18</f>
        <v>0</v>
      </c>
      <c r="G26" s="379">
        <f t="shared" ref="G26:Q26" si="3">G18</f>
        <v>0</v>
      </c>
      <c r="H26" s="379">
        <f t="shared" si="3"/>
        <v>0</v>
      </c>
      <c r="I26" s="379">
        <f t="shared" si="3"/>
        <v>0</v>
      </c>
      <c r="J26" s="379">
        <f t="shared" si="3"/>
        <v>0</v>
      </c>
      <c r="K26" s="379">
        <f t="shared" si="3"/>
        <v>0</v>
      </c>
      <c r="L26" s="379">
        <f t="shared" si="3"/>
        <v>0</v>
      </c>
      <c r="M26" s="379">
        <f t="shared" si="3"/>
        <v>0</v>
      </c>
      <c r="N26" s="379">
        <f t="shared" si="3"/>
        <v>0</v>
      </c>
      <c r="O26" s="379">
        <f t="shared" si="3"/>
        <v>0</v>
      </c>
      <c r="P26" s="379">
        <f t="shared" si="3"/>
        <v>0</v>
      </c>
      <c r="Q26" s="380">
        <f t="shared" si="3"/>
        <v>0</v>
      </c>
    </row>
    <row r="27" spans="1:20" ht="21" customHeight="1" thickBot="1">
      <c r="E27" s="463" t="s">
        <v>353</v>
      </c>
      <c r="F27" s="379">
        <f>+F26</f>
        <v>0</v>
      </c>
      <c r="G27" s="379">
        <f>+F27+G26</f>
        <v>0</v>
      </c>
      <c r="H27" s="379">
        <f>+G27+H26</f>
        <v>0</v>
      </c>
      <c r="I27" s="379">
        <f>+H27+I26</f>
        <v>0</v>
      </c>
      <c r="J27" s="379">
        <f t="shared" ref="J27:Q27" si="4">+I27+J26</f>
        <v>0</v>
      </c>
      <c r="K27" s="379">
        <f>+J27+K26</f>
        <v>0</v>
      </c>
      <c r="L27" s="379">
        <f t="shared" si="4"/>
        <v>0</v>
      </c>
      <c r="M27" s="379">
        <f t="shared" si="4"/>
        <v>0</v>
      </c>
      <c r="N27" s="379">
        <f t="shared" si="4"/>
        <v>0</v>
      </c>
      <c r="O27" s="379">
        <f t="shared" si="4"/>
        <v>0</v>
      </c>
      <c r="P27" s="379">
        <f t="shared" si="4"/>
        <v>0</v>
      </c>
      <c r="Q27" s="380">
        <f t="shared" si="4"/>
        <v>0</v>
      </c>
    </row>
    <row r="28" spans="1:20" ht="30.75" customHeight="1">
      <c r="C28" s="966" t="s">
        <v>354</v>
      </c>
      <c r="D28" s="967"/>
      <c r="E28" s="84" t="s">
        <v>355</v>
      </c>
      <c r="F28" s="98">
        <v>0</v>
      </c>
      <c r="G28" s="98">
        <v>0</v>
      </c>
      <c r="H28" s="98">
        <v>0</v>
      </c>
      <c r="I28" s="98">
        <v>0</v>
      </c>
      <c r="J28" s="98">
        <v>0</v>
      </c>
      <c r="K28" s="98">
        <v>0</v>
      </c>
      <c r="L28" s="98">
        <v>0</v>
      </c>
      <c r="M28" s="98">
        <v>0</v>
      </c>
      <c r="N28" s="98">
        <v>0</v>
      </c>
      <c r="O28" s="98">
        <v>0</v>
      </c>
      <c r="P28" s="98">
        <v>0</v>
      </c>
      <c r="Q28" s="474">
        <v>0</v>
      </c>
    </row>
    <row r="29" spans="1:20" ht="21" customHeight="1">
      <c r="C29" s="968"/>
      <c r="D29" s="969"/>
      <c r="E29" s="464" t="s">
        <v>356</v>
      </c>
      <c r="F29" s="92">
        <f>IFERROR(F28/$E$25,0)</f>
        <v>0</v>
      </c>
      <c r="G29" s="92">
        <f t="shared" ref="G29:Q29" si="5">IFERROR(G28/$E$25,0)</f>
        <v>0</v>
      </c>
      <c r="H29" s="92">
        <f t="shared" si="5"/>
        <v>0</v>
      </c>
      <c r="I29" s="92">
        <f t="shared" si="5"/>
        <v>0</v>
      </c>
      <c r="J29" s="92">
        <f t="shared" si="5"/>
        <v>0</v>
      </c>
      <c r="K29" s="92">
        <f t="shared" si="5"/>
        <v>0</v>
      </c>
      <c r="L29" s="92">
        <f t="shared" si="5"/>
        <v>0</v>
      </c>
      <c r="M29" s="92">
        <f t="shared" si="5"/>
        <v>0</v>
      </c>
      <c r="N29" s="92">
        <f t="shared" si="5"/>
        <v>0</v>
      </c>
      <c r="O29" s="92">
        <f t="shared" si="5"/>
        <v>0</v>
      </c>
      <c r="P29" s="92">
        <f t="shared" si="5"/>
        <v>0</v>
      </c>
      <c r="Q29" s="381">
        <f t="shared" si="5"/>
        <v>0</v>
      </c>
    </row>
    <row r="30" spans="1:20" ht="42" customHeight="1" thickBot="1">
      <c r="C30" s="970"/>
      <c r="D30" s="971"/>
      <c r="E30" s="465" t="s">
        <v>357</v>
      </c>
      <c r="F30" s="382">
        <f>F29</f>
        <v>0</v>
      </c>
      <c r="G30" s="382">
        <f>F30+G29</f>
        <v>0</v>
      </c>
      <c r="H30" s="382">
        <f>G30+H29</f>
        <v>0</v>
      </c>
      <c r="I30" s="382">
        <f t="shared" ref="I30:Q30" si="6">H30+I29</f>
        <v>0</v>
      </c>
      <c r="J30" s="382">
        <f t="shared" si="6"/>
        <v>0</v>
      </c>
      <c r="K30" s="382">
        <f t="shared" si="6"/>
        <v>0</v>
      </c>
      <c r="L30" s="382">
        <f t="shared" si="6"/>
        <v>0</v>
      </c>
      <c r="M30" s="382">
        <f t="shared" si="6"/>
        <v>0</v>
      </c>
      <c r="N30" s="382">
        <f t="shared" si="6"/>
        <v>0</v>
      </c>
      <c r="O30" s="382">
        <f t="shared" si="6"/>
        <v>0</v>
      </c>
      <c r="P30" s="382">
        <f t="shared" si="6"/>
        <v>0</v>
      </c>
      <c r="Q30" s="383">
        <f t="shared" si="6"/>
        <v>0</v>
      </c>
    </row>
    <row r="31" spans="1:20" ht="18" customHeight="1" thickBot="1">
      <c r="D31" s="93"/>
      <c r="E31" s="93"/>
      <c r="F31" s="90"/>
      <c r="G31" s="90"/>
      <c r="H31" s="90"/>
      <c r="I31" s="90"/>
      <c r="J31" s="90"/>
      <c r="K31" s="90"/>
      <c r="L31" s="90"/>
      <c r="M31" s="90"/>
      <c r="N31" s="90"/>
      <c r="O31" s="90"/>
      <c r="P31" s="90"/>
      <c r="Q31" s="90"/>
    </row>
    <row r="32" spans="1:20" ht="20.100000000000001" customHeight="1">
      <c r="C32" s="1010" t="s">
        <v>358</v>
      </c>
      <c r="D32" s="1011"/>
      <c r="E32" s="1011"/>
      <c r="F32" s="1011"/>
      <c r="G32" s="1011"/>
      <c r="H32" s="1011"/>
      <c r="I32" s="1011"/>
      <c r="J32" s="1011"/>
      <c r="K32" s="1011"/>
      <c r="L32" s="1011"/>
      <c r="M32" s="1011"/>
      <c r="N32" s="1011"/>
      <c r="O32" s="1011"/>
      <c r="P32" s="1011"/>
      <c r="Q32" s="1011"/>
      <c r="R32" s="1013"/>
    </row>
    <row r="33" spans="2:30" ht="20.100000000000001" customHeight="1">
      <c r="B33" s="1020"/>
      <c r="C33" s="1022" t="s">
        <v>374</v>
      </c>
      <c r="D33" s="949" t="s">
        <v>375</v>
      </c>
      <c r="E33" s="973" t="s">
        <v>351</v>
      </c>
      <c r="F33" s="973"/>
      <c r="G33" s="973"/>
      <c r="H33" s="973"/>
      <c r="I33" s="973"/>
      <c r="J33" s="973"/>
      <c r="K33" s="973"/>
      <c r="L33" s="973"/>
      <c r="M33" s="973"/>
      <c r="N33" s="973"/>
      <c r="O33" s="973"/>
      <c r="P33" s="973"/>
      <c r="Q33" s="973"/>
      <c r="R33" s="384"/>
    </row>
    <row r="34" spans="2:30" ht="20.100000000000001" customHeight="1">
      <c r="B34" s="1020"/>
      <c r="C34" s="1022"/>
      <c r="D34" s="949"/>
      <c r="E34" s="94"/>
      <c r="F34" s="374" t="s">
        <v>125</v>
      </c>
      <c r="G34" s="374" t="s">
        <v>126</v>
      </c>
      <c r="H34" s="374" t="s">
        <v>127</v>
      </c>
      <c r="I34" s="374" t="s">
        <v>128</v>
      </c>
      <c r="J34" s="374" t="s">
        <v>129</v>
      </c>
      <c r="K34" s="374" t="s">
        <v>130</v>
      </c>
      <c r="L34" s="374" t="s">
        <v>131</v>
      </c>
      <c r="M34" s="374" t="s">
        <v>132</v>
      </c>
      <c r="N34" s="374" t="s">
        <v>133</v>
      </c>
      <c r="O34" s="374" t="s">
        <v>134</v>
      </c>
      <c r="P34" s="374" t="s">
        <v>135</v>
      </c>
      <c r="Q34" s="374" t="s">
        <v>136</v>
      </c>
      <c r="R34" s="79" t="s">
        <v>362</v>
      </c>
    </row>
    <row r="35" spans="2:30" ht="26.25" customHeight="1">
      <c r="B35" s="1021"/>
      <c r="C35" s="947">
        <v>0</v>
      </c>
      <c r="D35" s="948">
        <f>E25+C35</f>
        <v>0</v>
      </c>
      <c r="E35" s="95" t="s">
        <v>355</v>
      </c>
      <c r="F35" s="472">
        <f>F28</f>
        <v>0</v>
      </c>
      <c r="G35" s="472">
        <f t="shared" ref="G35:Q35" si="7">G28</f>
        <v>0</v>
      </c>
      <c r="H35" s="472">
        <f t="shared" si="7"/>
        <v>0</v>
      </c>
      <c r="I35" s="472">
        <f t="shared" si="7"/>
        <v>0</v>
      </c>
      <c r="J35" s="472">
        <f t="shared" si="7"/>
        <v>0</v>
      </c>
      <c r="K35" s="472">
        <f t="shared" si="7"/>
        <v>0</v>
      </c>
      <c r="L35" s="472">
        <f t="shared" si="7"/>
        <v>0</v>
      </c>
      <c r="M35" s="472">
        <f t="shared" si="7"/>
        <v>0</v>
      </c>
      <c r="N35" s="472">
        <f t="shared" si="7"/>
        <v>0</v>
      </c>
      <c r="O35" s="472">
        <f t="shared" si="7"/>
        <v>0</v>
      </c>
      <c r="P35" s="472">
        <f t="shared" si="7"/>
        <v>0</v>
      </c>
      <c r="Q35" s="472">
        <f t="shared" si="7"/>
        <v>0</v>
      </c>
      <c r="R35" s="385">
        <f>SUM(F35:Q35)</f>
        <v>0</v>
      </c>
    </row>
    <row r="36" spans="2:30" ht="18" customHeight="1">
      <c r="B36" s="1021"/>
      <c r="C36" s="947"/>
      <c r="D36" s="948"/>
      <c r="E36" s="96" t="s">
        <v>352</v>
      </c>
      <c r="F36" s="9">
        <f>IFERROR(F35/$D$35,0)</f>
        <v>0</v>
      </c>
      <c r="G36" s="9">
        <f t="shared" ref="G36:Q36" si="8">IFERROR(G35/$D$35,0)</f>
        <v>0</v>
      </c>
      <c r="H36" s="9">
        <f t="shared" si="8"/>
        <v>0</v>
      </c>
      <c r="I36" s="9">
        <f t="shared" si="8"/>
        <v>0</v>
      </c>
      <c r="J36" s="9">
        <f t="shared" si="8"/>
        <v>0</v>
      </c>
      <c r="K36" s="9">
        <f t="shared" si="8"/>
        <v>0</v>
      </c>
      <c r="L36" s="9">
        <f t="shared" si="8"/>
        <v>0</v>
      </c>
      <c r="M36" s="9">
        <f t="shared" si="8"/>
        <v>0</v>
      </c>
      <c r="N36" s="9">
        <f t="shared" si="8"/>
        <v>0</v>
      </c>
      <c r="O36" s="9">
        <f t="shared" si="8"/>
        <v>0</v>
      </c>
      <c r="P36" s="9">
        <f t="shared" si="8"/>
        <v>0</v>
      </c>
      <c r="Q36" s="9">
        <f t="shared" si="8"/>
        <v>0</v>
      </c>
      <c r="R36" s="386"/>
    </row>
    <row r="37" spans="2:30" ht="27.75" customHeight="1">
      <c r="B37" s="1021"/>
      <c r="C37" s="947"/>
      <c r="D37" s="948"/>
      <c r="E37" s="97" t="s">
        <v>353</v>
      </c>
      <c r="F37" s="92">
        <f>+F36</f>
        <v>0</v>
      </c>
      <c r="G37" s="92">
        <f>+F37+G36</f>
        <v>0</v>
      </c>
      <c r="H37" s="92">
        <f>+G37+H36</f>
        <v>0</v>
      </c>
      <c r="I37" s="92">
        <f>+H37+I36</f>
        <v>0</v>
      </c>
      <c r="J37" s="92">
        <f t="shared" ref="J37:Q37" si="9">+I37+J36</f>
        <v>0</v>
      </c>
      <c r="K37" s="92">
        <f t="shared" si="9"/>
        <v>0</v>
      </c>
      <c r="L37" s="92">
        <f t="shared" si="9"/>
        <v>0</v>
      </c>
      <c r="M37" s="92">
        <f t="shared" si="9"/>
        <v>0</v>
      </c>
      <c r="N37" s="92">
        <f t="shared" si="9"/>
        <v>0</v>
      </c>
      <c r="O37" s="92">
        <f t="shared" si="9"/>
        <v>0</v>
      </c>
      <c r="P37" s="92">
        <f t="shared" si="9"/>
        <v>0</v>
      </c>
      <c r="Q37" s="92">
        <f t="shared" si="9"/>
        <v>0</v>
      </c>
      <c r="R37" s="386"/>
    </row>
    <row r="38" spans="2:30" ht="28.5" customHeight="1">
      <c r="B38" s="1021"/>
      <c r="C38" s="947"/>
      <c r="D38" s="948"/>
      <c r="E38" s="95" t="s">
        <v>363</v>
      </c>
      <c r="F38" s="98">
        <v>0</v>
      </c>
      <c r="G38" s="98">
        <v>0</v>
      </c>
      <c r="H38" s="98">
        <v>0</v>
      </c>
      <c r="I38" s="98">
        <v>0</v>
      </c>
      <c r="J38" s="98">
        <v>0</v>
      </c>
      <c r="K38" s="98">
        <v>0</v>
      </c>
      <c r="L38" s="98">
        <v>0</v>
      </c>
      <c r="M38" s="98">
        <v>0</v>
      </c>
      <c r="N38" s="98">
        <v>0</v>
      </c>
      <c r="O38" s="98">
        <v>0</v>
      </c>
      <c r="P38" s="98">
        <v>0</v>
      </c>
      <c r="Q38" s="98">
        <v>0</v>
      </c>
      <c r="R38" s="385">
        <f>SUM(F38:Q38)</f>
        <v>0</v>
      </c>
    </row>
    <row r="39" spans="2:30" ht="18" customHeight="1">
      <c r="B39" s="1021"/>
      <c r="C39" s="947"/>
      <c r="D39" s="948"/>
      <c r="E39" s="96" t="s">
        <v>352</v>
      </c>
      <c r="F39" s="9">
        <f>IFERROR(F38/$D$35,0)</f>
        <v>0</v>
      </c>
      <c r="G39" s="9">
        <f t="shared" ref="G39:Q39" si="10">IFERROR(G38/$D$35,0)</f>
        <v>0</v>
      </c>
      <c r="H39" s="9">
        <f t="shared" si="10"/>
        <v>0</v>
      </c>
      <c r="I39" s="9">
        <f t="shared" si="10"/>
        <v>0</v>
      </c>
      <c r="J39" s="9">
        <f t="shared" si="10"/>
        <v>0</v>
      </c>
      <c r="K39" s="9">
        <f t="shared" si="10"/>
        <v>0</v>
      </c>
      <c r="L39" s="9">
        <f t="shared" si="10"/>
        <v>0</v>
      </c>
      <c r="M39" s="9">
        <f t="shared" si="10"/>
        <v>0</v>
      </c>
      <c r="N39" s="9">
        <f t="shared" si="10"/>
        <v>0</v>
      </c>
      <c r="O39" s="9">
        <f t="shared" si="10"/>
        <v>0</v>
      </c>
      <c r="P39" s="9">
        <f t="shared" si="10"/>
        <v>0</v>
      </c>
      <c r="Q39" s="9">
        <f t="shared" si="10"/>
        <v>0</v>
      </c>
      <c r="R39" s="386"/>
    </row>
    <row r="40" spans="2:30" ht="26.25" customHeight="1" thickBot="1">
      <c r="B40" s="1021"/>
      <c r="C40" s="1023"/>
      <c r="D40" s="1024"/>
      <c r="E40" s="470" t="s">
        <v>353</v>
      </c>
      <c r="F40" s="382">
        <f>+F39</f>
        <v>0</v>
      </c>
      <c r="G40" s="382">
        <f>+F40+G39</f>
        <v>0</v>
      </c>
      <c r="H40" s="382">
        <f>+G40+H39</f>
        <v>0</v>
      </c>
      <c r="I40" s="382">
        <f>+H40+I39</f>
        <v>0</v>
      </c>
      <c r="J40" s="382">
        <f>+I40+J39</f>
        <v>0</v>
      </c>
      <c r="K40" s="382">
        <f t="shared" ref="K40:Q40" si="11">+J40+K39</f>
        <v>0</v>
      </c>
      <c r="L40" s="382">
        <f t="shared" si="11"/>
        <v>0</v>
      </c>
      <c r="M40" s="382">
        <f t="shared" si="11"/>
        <v>0</v>
      </c>
      <c r="N40" s="382">
        <f t="shared" si="11"/>
        <v>0</v>
      </c>
      <c r="O40" s="382">
        <f t="shared" si="11"/>
        <v>0</v>
      </c>
      <c r="P40" s="382">
        <f t="shared" si="11"/>
        <v>0</v>
      </c>
      <c r="Q40" s="382">
        <f t="shared" si="11"/>
        <v>0</v>
      </c>
      <c r="R40" s="471"/>
    </row>
    <row r="41" spans="2:30" ht="18" customHeight="1" thickBot="1">
      <c r="C41" s="1025" t="s">
        <v>364</v>
      </c>
      <c r="D41" s="1026"/>
      <c r="E41" s="1027"/>
      <c r="F41" s="468">
        <f>F37+F40</f>
        <v>0</v>
      </c>
      <c r="G41" s="468">
        <f t="shared" ref="G41:Q41" si="12">G37+G40</f>
        <v>0</v>
      </c>
      <c r="H41" s="468">
        <f t="shared" si="12"/>
        <v>0</v>
      </c>
      <c r="I41" s="468">
        <f t="shared" si="12"/>
        <v>0</v>
      </c>
      <c r="J41" s="468">
        <f>J37+J40</f>
        <v>0</v>
      </c>
      <c r="K41" s="468">
        <f>K37+K40</f>
        <v>0</v>
      </c>
      <c r="L41" s="468">
        <f t="shared" si="12"/>
        <v>0</v>
      </c>
      <c r="M41" s="468">
        <f t="shared" si="12"/>
        <v>0</v>
      </c>
      <c r="N41" s="468">
        <f t="shared" si="12"/>
        <v>0</v>
      </c>
      <c r="O41" s="468">
        <f t="shared" si="12"/>
        <v>0</v>
      </c>
      <c r="P41" s="468">
        <f t="shared" si="12"/>
        <v>0</v>
      </c>
      <c r="Q41" s="468">
        <f t="shared" si="12"/>
        <v>0</v>
      </c>
      <c r="R41" s="469">
        <f>IFERROR((R35+R38)/D35,0)</f>
        <v>0</v>
      </c>
    </row>
    <row r="42" spans="2:30" ht="18" customHeight="1">
      <c r="D42" s="93"/>
      <c r="E42" s="93"/>
      <c r="F42" s="90"/>
      <c r="G42" s="90"/>
      <c r="H42" s="90"/>
      <c r="I42" s="90"/>
      <c r="J42" s="90"/>
      <c r="K42" s="90"/>
      <c r="L42" s="90"/>
      <c r="M42" s="90"/>
      <c r="N42" s="90"/>
      <c r="O42" s="90"/>
      <c r="P42" s="90"/>
      <c r="Q42" s="90"/>
      <c r="R42" s="99"/>
      <c r="S42" s="100"/>
    </row>
    <row r="43" spans="2:30" ht="18" customHeight="1">
      <c r="D43" s="93"/>
      <c r="F43" s="90"/>
      <c r="G43" s="90"/>
      <c r="H43" s="90"/>
      <c r="I43" s="90"/>
      <c r="J43" s="90"/>
      <c r="K43" s="90"/>
      <c r="L43" s="90"/>
      <c r="M43" s="90"/>
      <c r="N43" s="90"/>
      <c r="O43" s="90"/>
      <c r="P43" s="90"/>
      <c r="Q43" s="90"/>
    </row>
    <row r="44" spans="2:30" ht="18" customHeight="1">
      <c r="D44" s="93"/>
      <c r="L44" s="90"/>
      <c r="M44" s="90"/>
      <c r="N44" s="90"/>
      <c r="O44" s="90"/>
      <c r="P44" s="90"/>
      <c r="Q44" s="90"/>
    </row>
    <row r="45" spans="2:30" ht="18" customHeight="1">
      <c r="D45" s="93"/>
      <c r="E45" s="93"/>
      <c r="F45" s="90"/>
      <c r="G45" s="90"/>
      <c r="H45" s="90"/>
      <c r="I45" s="90"/>
      <c r="J45" s="90"/>
      <c r="K45" s="90"/>
      <c r="L45" s="90"/>
      <c r="M45" s="90"/>
      <c r="N45" s="90"/>
      <c r="O45" s="90"/>
      <c r="P45" s="90"/>
      <c r="Q45" s="90"/>
    </row>
    <row r="47" spans="2:30" ht="18" customHeight="1">
      <c r="F47" s="101"/>
      <c r="G47" s="101"/>
      <c r="H47" s="101"/>
    </row>
    <row r="48" spans="2:30" s="102" customFormat="1" ht="18" customHeight="1">
      <c r="B48" s="942"/>
      <c r="C48" s="942"/>
      <c r="D48" s="103"/>
      <c r="E48" s="63"/>
      <c r="G48" s="1"/>
      <c r="H48" s="103"/>
      <c r="I48" s="103"/>
      <c r="J48" s="103"/>
      <c r="K48" s="103"/>
      <c r="L48" s="103"/>
      <c r="M48" s="103"/>
      <c r="N48" s="103"/>
      <c r="O48" s="103"/>
      <c r="P48" s="103"/>
      <c r="R48" s="104"/>
      <c r="S48" s="104"/>
      <c r="T48" s="104"/>
      <c r="U48" s="104"/>
      <c r="V48" s="943"/>
      <c r="W48" s="943"/>
      <c r="X48" s="943"/>
      <c r="Y48" s="943"/>
      <c r="Z48" s="943"/>
      <c r="AA48" s="943"/>
      <c r="AB48" s="104"/>
      <c r="AC48" s="104"/>
      <c r="AD48" s="105"/>
    </row>
    <row r="49" spans="2:30" s="102" customFormat="1" ht="18" customHeight="1">
      <c r="B49" s="944" t="s">
        <v>367</v>
      </c>
      <c r="C49" s="944"/>
      <c r="E49" s="63"/>
      <c r="G49" s="2" t="s">
        <v>376</v>
      </c>
      <c r="H49" s="104"/>
      <c r="I49" s="104"/>
      <c r="J49" s="104"/>
      <c r="K49" s="104"/>
      <c r="L49" s="104"/>
      <c r="M49" s="104"/>
      <c r="N49" s="104"/>
      <c r="O49" s="104"/>
      <c r="P49" s="104"/>
      <c r="R49" s="104"/>
      <c r="S49" s="104"/>
      <c r="T49" s="104"/>
      <c r="U49" s="104"/>
      <c r="V49" s="945"/>
      <c r="W49" s="945"/>
      <c r="X49" s="945"/>
      <c r="Y49" s="945"/>
      <c r="Z49" s="945"/>
      <c r="AA49" s="945"/>
      <c r="AB49" s="103"/>
      <c r="AC49" s="103"/>
      <c r="AD49" s="103"/>
    </row>
  </sheetData>
  <sheetProtection algorithmName="SHA-512" hashValue="+IaM3AEWQdFLRb6C6f2Y3yCPyUdsZovrl8E++znq/3lgA5aGxbTLDCyQ7+eylkcKsbpW5FmyjsDXo/kFxmpnQw==" saltValue="OcBBpE8pyg1xsrbGLaj7eg==" spinCount="100000" sheet="1" formatCells="0" formatColumns="0" formatRows="0" insertColumns="0" insertRows="0" insertHyperlinks="0" deleteColumns="0" deleteRows="0" sort="0" autoFilter="0" pivotTables="0"/>
  <mergeCells count="43">
    <mergeCell ref="E22:Q22"/>
    <mergeCell ref="C28:D30"/>
    <mergeCell ref="C10:G10"/>
    <mergeCell ref="C11:G11"/>
    <mergeCell ref="E21:P21"/>
    <mergeCell ref="F23:Q23"/>
    <mergeCell ref="E14:E15"/>
    <mergeCell ref="F14:Q14"/>
    <mergeCell ref="A18:E18"/>
    <mergeCell ref="A19:E19"/>
    <mergeCell ref="A10:B10"/>
    <mergeCell ref="A11:B11"/>
    <mergeCell ref="A13:Q13"/>
    <mergeCell ref="A14:A15"/>
    <mergeCell ref="B14:B15"/>
    <mergeCell ref="C14:C15"/>
    <mergeCell ref="C41:E41"/>
    <mergeCell ref="B48:C48"/>
    <mergeCell ref="V48:AA48"/>
    <mergeCell ref="B49:C49"/>
    <mergeCell ref="V49:AA49"/>
    <mergeCell ref="B33:B34"/>
    <mergeCell ref="B35:B40"/>
    <mergeCell ref="C32:R32"/>
    <mergeCell ref="C33:C34"/>
    <mergeCell ref="D33:D34"/>
    <mergeCell ref="E33:Q33"/>
    <mergeCell ref="C35:C40"/>
    <mergeCell ref="D35:D40"/>
    <mergeCell ref="D14:D15"/>
    <mergeCell ref="A6:B6"/>
    <mergeCell ref="C6:Q6"/>
    <mergeCell ref="A8:B8"/>
    <mergeCell ref="A9:B9"/>
    <mergeCell ref="C8:G8"/>
    <mergeCell ref="C9:G9"/>
    <mergeCell ref="A1:B3"/>
    <mergeCell ref="C1:Q1"/>
    <mergeCell ref="C2:Q2"/>
    <mergeCell ref="A5:B5"/>
    <mergeCell ref="C5:Q5"/>
    <mergeCell ref="C3:I3"/>
    <mergeCell ref="J3:Q3"/>
  </mergeCells>
  <dataValidations count="7">
    <dataValidation allowBlank="1" showInputMessage="1" showErrorMessage="1" prompt="diligencie el numero de meses en letras (numero). ej: seis (6)." sqref="WVJ983067 IX10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C65563 IX65563 ST65563 ACP65563 AML65563 AWH65563 BGD65563 BPZ65563 BZV65563 CJR65563 CTN65563 DDJ65563 DNF65563 DXB65563 EGX65563 EQT65563 FAP65563 FKL65563 FUH65563 GED65563 GNZ65563 GXV65563 HHR65563 HRN65563 IBJ65563 ILF65563 IVB65563 JEX65563 JOT65563 JYP65563 KIL65563 KSH65563 LCD65563 LLZ65563 LVV65563 MFR65563 MPN65563 MZJ65563 NJF65563 NTB65563 OCX65563 OMT65563 OWP65563 PGL65563 PQH65563 QAD65563 QJZ65563 QTV65563 RDR65563 RNN65563 RXJ65563 SHF65563 SRB65563 TAX65563 TKT65563 TUP65563 UEL65563 UOH65563 UYD65563 VHZ65563 VRV65563 WBR65563 WLN65563 WVJ65563 C131099 IX131099 ST131099 ACP131099 AML131099 AWH131099 BGD131099 BPZ131099 BZV131099 CJR131099 CTN131099 DDJ131099 DNF131099 DXB131099 EGX131099 EQT131099 FAP131099 FKL131099 FUH131099 GED131099 GNZ131099 GXV131099 HHR131099 HRN131099 IBJ131099 ILF131099 IVB131099 JEX131099 JOT131099 JYP131099 KIL131099 KSH131099 LCD131099 LLZ131099 LVV131099 MFR131099 MPN131099 MZJ131099 NJF131099 NTB131099 OCX131099 OMT131099 OWP131099 PGL131099 PQH131099 QAD131099 QJZ131099 QTV131099 RDR131099 RNN131099 RXJ131099 SHF131099 SRB131099 TAX131099 TKT131099 TUP131099 UEL131099 UOH131099 UYD131099 VHZ131099 VRV131099 WBR131099 WLN131099 WVJ131099 C196635 IX196635 ST196635 ACP196635 AML196635 AWH196635 BGD196635 BPZ196635 BZV196635 CJR196635 CTN196635 DDJ196635 DNF196635 DXB196635 EGX196635 EQT196635 FAP196635 FKL196635 FUH196635 GED196635 GNZ196635 GXV196635 HHR196635 HRN196635 IBJ196635 ILF196635 IVB196635 JEX196635 JOT196635 JYP196635 KIL196635 KSH196635 LCD196635 LLZ196635 LVV196635 MFR196635 MPN196635 MZJ196635 NJF196635 NTB196635 OCX196635 OMT196635 OWP196635 PGL196635 PQH196635 QAD196635 QJZ196635 QTV196635 RDR196635 RNN196635 RXJ196635 SHF196635 SRB196635 TAX196635 TKT196635 TUP196635 UEL196635 UOH196635 UYD196635 VHZ196635 VRV196635 WBR196635 WLN196635 WVJ196635 C262171 IX262171 ST262171 ACP262171 AML262171 AWH262171 BGD262171 BPZ262171 BZV262171 CJR262171 CTN262171 DDJ262171 DNF262171 DXB262171 EGX262171 EQT262171 FAP262171 FKL262171 FUH262171 GED262171 GNZ262171 GXV262171 HHR262171 HRN262171 IBJ262171 ILF262171 IVB262171 JEX262171 JOT262171 JYP262171 KIL262171 KSH262171 LCD262171 LLZ262171 LVV262171 MFR262171 MPN262171 MZJ262171 NJF262171 NTB262171 OCX262171 OMT262171 OWP262171 PGL262171 PQH262171 QAD262171 QJZ262171 QTV262171 RDR262171 RNN262171 RXJ262171 SHF262171 SRB262171 TAX262171 TKT262171 TUP262171 UEL262171 UOH262171 UYD262171 VHZ262171 VRV262171 WBR262171 WLN262171 WVJ262171 C327707 IX327707 ST327707 ACP327707 AML327707 AWH327707 BGD327707 BPZ327707 BZV327707 CJR327707 CTN327707 DDJ327707 DNF327707 DXB327707 EGX327707 EQT327707 FAP327707 FKL327707 FUH327707 GED327707 GNZ327707 GXV327707 HHR327707 HRN327707 IBJ327707 ILF327707 IVB327707 JEX327707 JOT327707 JYP327707 KIL327707 KSH327707 LCD327707 LLZ327707 LVV327707 MFR327707 MPN327707 MZJ327707 NJF327707 NTB327707 OCX327707 OMT327707 OWP327707 PGL327707 PQH327707 QAD327707 QJZ327707 QTV327707 RDR327707 RNN327707 RXJ327707 SHF327707 SRB327707 TAX327707 TKT327707 TUP327707 UEL327707 UOH327707 UYD327707 VHZ327707 VRV327707 WBR327707 WLN327707 WVJ327707 C393243 IX393243 ST393243 ACP393243 AML393243 AWH393243 BGD393243 BPZ393243 BZV393243 CJR393243 CTN393243 DDJ393243 DNF393243 DXB393243 EGX393243 EQT393243 FAP393243 FKL393243 FUH393243 GED393243 GNZ393243 GXV393243 HHR393243 HRN393243 IBJ393243 ILF393243 IVB393243 JEX393243 JOT393243 JYP393243 KIL393243 KSH393243 LCD393243 LLZ393243 LVV393243 MFR393243 MPN393243 MZJ393243 NJF393243 NTB393243 OCX393243 OMT393243 OWP393243 PGL393243 PQH393243 QAD393243 QJZ393243 QTV393243 RDR393243 RNN393243 RXJ393243 SHF393243 SRB393243 TAX393243 TKT393243 TUP393243 UEL393243 UOH393243 UYD393243 VHZ393243 VRV393243 WBR393243 WLN393243 WVJ393243 C458779 IX458779 ST458779 ACP458779 AML458779 AWH458779 BGD458779 BPZ458779 BZV458779 CJR458779 CTN458779 DDJ458779 DNF458779 DXB458779 EGX458779 EQT458779 FAP458779 FKL458779 FUH458779 GED458779 GNZ458779 GXV458779 HHR458779 HRN458779 IBJ458779 ILF458779 IVB458779 JEX458779 JOT458779 JYP458779 KIL458779 KSH458779 LCD458779 LLZ458779 LVV458779 MFR458779 MPN458779 MZJ458779 NJF458779 NTB458779 OCX458779 OMT458779 OWP458779 PGL458779 PQH458779 QAD458779 QJZ458779 QTV458779 RDR458779 RNN458779 RXJ458779 SHF458779 SRB458779 TAX458779 TKT458779 TUP458779 UEL458779 UOH458779 UYD458779 VHZ458779 VRV458779 WBR458779 WLN458779 WVJ458779 C524315 IX524315 ST524315 ACP524315 AML524315 AWH524315 BGD524315 BPZ524315 BZV524315 CJR524315 CTN524315 DDJ524315 DNF524315 DXB524315 EGX524315 EQT524315 FAP524315 FKL524315 FUH524315 GED524315 GNZ524315 GXV524315 HHR524315 HRN524315 IBJ524315 ILF524315 IVB524315 JEX524315 JOT524315 JYP524315 KIL524315 KSH524315 LCD524315 LLZ524315 LVV524315 MFR524315 MPN524315 MZJ524315 NJF524315 NTB524315 OCX524315 OMT524315 OWP524315 PGL524315 PQH524315 QAD524315 QJZ524315 QTV524315 RDR524315 RNN524315 RXJ524315 SHF524315 SRB524315 TAX524315 TKT524315 TUP524315 UEL524315 UOH524315 UYD524315 VHZ524315 VRV524315 WBR524315 WLN524315 WVJ524315 C589851 IX589851 ST589851 ACP589851 AML589851 AWH589851 BGD589851 BPZ589851 BZV589851 CJR589851 CTN589851 DDJ589851 DNF589851 DXB589851 EGX589851 EQT589851 FAP589851 FKL589851 FUH589851 GED589851 GNZ589851 GXV589851 HHR589851 HRN589851 IBJ589851 ILF589851 IVB589851 JEX589851 JOT589851 JYP589851 KIL589851 KSH589851 LCD589851 LLZ589851 LVV589851 MFR589851 MPN589851 MZJ589851 NJF589851 NTB589851 OCX589851 OMT589851 OWP589851 PGL589851 PQH589851 QAD589851 QJZ589851 QTV589851 RDR589851 RNN589851 RXJ589851 SHF589851 SRB589851 TAX589851 TKT589851 TUP589851 UEL589851 UOH589851 UYD589851 VHZ589851 VRV589851 WBR589851 WLN589851 WVJ589851 C655387 IX655387 ST655387 ACP655387 AML655387 AWH655387 BGD655387 BPZ655387 BZV655387 CJR655387 CTN655387 DDJ655387 DNF655387 DXB655387 EGX655387 EQT655387 FAP655387 FKL655387 FUH655387 GED655387 GNZ655387 GXV655387 HHR655387 HRN655387 IBJ655387 ILF655387 IVB655387 JEX655387 JOT655387 JYP655387 KIL655387 KSH655387 LCD655387 LLZ655387 LVV655387 MFR655387 MPN655387 MZJ655387 NJF655387 NTB655387 OCX655387 OMT655387 OWP655387 PGL655387 PQH655387 QAD655387 QJZ655387 QTV655387 RDR655387 RNN655387 RXJ655387 SHF655387 SRB655387 TAX655387 TKT655387 TUP655387 UEL655387 UOH655387 UYD655387 VHZ655387 VRV655387 WBR655387 WLN655387 WVJ655387 C720923 IX720923 ST720923 ACP720923 AML720923 AWH720923 BGD720923 BPZ720923 BZV720923 CJR720923 CTN720923 DDJ720923 DNF720923 DXB720923 EGX720923 EQT720923 FAP720923 FKL720923 FUH720923 GED720923 GNZ720923 GXV720923 HHR720923 HRN720923 IBJ720923 ILF720923 IVB720923 JEX720923 JOT720923 JYP720923 KIL720923 KSH720923 LCD720923 LLZ720923 LVV720923 MFR720923 MPN720923 MZJ720923 NJF720923 NTB720923 OCX720923 OMT720923 OWP720923 PGL720923 PQH720923 QAD720923 QJZ720923 QTV720923 RDR720923 RNN720923 RXJ720923 SHF720923 SRB720923 TAX720923 TKT720923 TUP720923 UEL720923 UOH720923 UYD720923 VHZ720923 VRV720923 WBR720923 WLN720923 WVJ720923 C786459 IX786459 ST786459 ACP786459 AML786459 AWH786459 BGD786459 BPZ786459 BZV786459 CJR786459 CTN786459 DDJ786459 DNF786459 DXB786459 EGX786459 EQT786459 FAP786459 FKL786459 FUH786459 GED786459 GNZ786459 GXV786459 HHR786459 HRN786459 IBJ786459 ILF786459 IVB786459 JEX786459 JOT786459 JYP786459 KIL786459 KSH786459 LCD786459 LLZ786459 LVV786459 MFR786459 MPN786459 MZJ786459 NJF786459 NTB786459 OCX786459 OMT786459 OWP786459 PGL786459 PQH786459 QAD786459 QJZ786459 QTV786459 RDR786459 RNN786459 RXJ786459 SHF786459 SRB786459 TAX786459 TKT786459 TUP786459 UEL786459 UOH786459 UYD786459 VHZ786459 VRV786459 WBR786459 WLN786459 WVJ786459 C851995 IX851995 ST851995 ACP851995 AML851995 AWH851995 BGD851995 BPZ851995 BZV851995 CJR851995 CTN851995 DDJ851995 DNF851995 DXB851995 EGX851995 EQT851995 FAP851995 FKL851995 FUH851995 GED851995 GNZ851995 GXV851995 HHR851995 HRN851995 IBJ851995 ILF851995 IVB851995 JEX851995 JOT851995 JYP851995 KIL851995 KSH851995 LCD851995 LLZ851995 LVV851995 MFR851995 MPN851995 MZJ851995 NJF851995 NTB851995 OCX851995 OMT851995 OWP851995 PGL851995 PQH851995 QAD851995 QJZ851995 QTV851995 RDR851995 RNN851995 RXJ851995 SHF851995 SRB851995 TAX851995 TKT851995 TUP851995 UEL851995 UOH851995 UYD851995 VHZ851995 VRV851995 WBR851995 WLN851995 WVJ851995 C917531 IX917531 ST917531 ACP917531 AML917531 AWH917531 BGD917531 BPZ917531 BZV917531 CJR917531 CTN917531 DDJ917531 DNF917531 DXB917531 EGX917531 EQT917531 FAP917531 FKL917531 FUH917531 GED917531 GNZ917531 GXV917531 HHR917531 HRN917531 IBJ917531 ILF917531 IVB917531 JEX917531 JOT917531 JYP917531 KIL917531 KSH917531 LCD917531 LLZ917531 LVV917531 MFR917531 MPN917531 MZJ917531 NJF917531 NTB917531 OCX917531 OMT917531 OWP917531 PGL917531 PQH917531 QAD917531 QJZ917531 QTV917531 RDR917531 RNN917531 RXJ917531 SHF917531 SRB917531 TAX917531 TKT917531 TUP917531 UEL917531 UOH917531 UYD917531 VHZ917531 VRV917531 WBR917531 WLN917531 WVJ917531 C983067 IX983067 ST983067 ACP983067 AML983067 AWH983067 BGD983067 BPZ983067 BZV983067 CJR983067 CTN983067 DDJ983067 DNF983067 DXB983067 EGX983067 EQT983067 FAP983067 FKL983067 FUH983067 GED983067 GNZ983067 GXV983067 HHR983067 HRN983067 IBJ983067 ILF983067 IVB983067 JEX983067 JOT983067 JYP983067 KIL983067 KSH983067 LCD983067 LLZ983067 LVV983067 MFR983067 MPN983067 MZJ983067 NJF983067 NTB983067 OCX983067 OMT983067 OWP983067 PGL983067 PQH983067 QAD983067 QJZ983067 QTV983067 RDR983067 RNN983067 RXJ983067 SHF983067 SRB983067 TAX983067 TKT983067 TUP983067 UEL983067 UOH983067 UYD983067 VHZ983067 VRV983067 WBR983067 WLN983067" xr:uid="{00000000-0002-0000-0200-000000000000}"/>
    <dataValidation allowBlank="1" showInputMessage="1" showErrorMessage="1" prompt="Emplear una unidad de medida concreta y medible, no utilizar GLOBAL" sqref="WVK983074:WVK983075 IY16:IY17 SU16:SU17 ACQ16:ACQ17 AMM16:AMM17 AWI16:AWI17 BGE16:BGE17 BQA16:BQA17 BZW16:BZW17 CJS16:CJS17 CTO16:CTO17 DDK16:DDK17 DNG16:DNG17 DXC16:DXC17 EGY16:EGY17 EQU16:EQU17 FAQ16:FAQ17 FKM16:FKM17 FUI16:FUI17 GEE16:GEE17 GOA16:GOA17 GXW16:GXW17 HHS16:HHS17 HRO16:HRO17 IBK16:IBK17 ILG16:ILG17 IVC16:IVC17 JEY16:JEY17 JOU16:JOU17 JYQ16:JYQ17 KIM16:KIM17 KSI16:KSI17 LCE16:LCE17 LMA16:LMA17 LVW16:LVW17 MFS16:MFS17 MPO16:MPO17 MZK16:MZK17 NJG16:NJG17 NTC16:NTC17 OCY16:OCY17 OMU16:OMU17 OWQ16:OWQ17 PGM16:PGM17 PQI16:PQI17 QAE16:QAE17 QKA16:QKA17 QTW16:QTW17 RDS16:RDS17 RNO16:RNO17 RXK16:RXK17 SHG16:SHG17 SRC16:SRC17 TAY16:TAY17 TKU16:TKU17 TUQ16:TUQ17 UEM16:UEM17 UOI16:UOI17 UYE16:UYE17 VIA16:VIA17 VRW16:VRW17 WBS16:WBS17 WLO16:WLO17 WVK16:WVK17 D65570:D65571 IY65570:IY65571 SU65570:SU65571 ACQ65570:ACQ65571 AMM65570:AMM65571 AWI65570:AWI65571 BGE65570:BGE65571 BQA65570:BQA65571 BZW65570:BZW65571 CJS65570:CJS65571 CTO65570:CTO65571 DDK65570:DDK65571 DNG65570:DNG65571 DXC65570:DXC65571 EGY65570:EGY65571 EQU65570:EQU65571 FAQ65570:FAQ65571 FKM65570:FKM65571 FUI65570:FUI65571 GEE65570:GEE65571 GOA65570:GOA65571 GXW65570:GXW65571 HHS65570:HHS65571 HRO65570:HRO65571 IBK65570:IBK65571 ILG65570:ILG65571 IVC65570:IVC65571 JEY65570:JEY65571 JOU65570:JOU65571 JYQ65570:JYQ65571 KIM65570:KIM65571 KSI65570:KSI65571 LCE65570:LCE65571 LMA65570:LMA65571 LVW65570:LVW65571 MFS65570:MFS65571 MPO65570:MPO65571 MZK65570:MZK65571 NJG65570:NJG65571 NTC65570:NTC65571 OCY65570:OCY65571 OMU65570:OMU65571 OWQ65570:OWQ65571 PGM65570:PGM65571 PQI65570:PQI65571 QAE65570:QAE65571 QKA65570:QKA65571 QTW65570:QTW65571 RDS65570:RDS65571 RNO65570:RNO65571 RXK65570:RXK65571 SHG65570:SHG65571 SRC65570:SRC65571 TAY65570:TAY65571 TKU65570:TKU65571 TUQ65570:TUQ65571 UEM65570:UEM65571 UOI65570:UOI65571 UYE65570:UYE65571 VIA65570:VIA65571 VRW65570:VRW65571 WBS65570:WBS65571 WLO65570:WLO65571 WVK65570:WVK65571 D131106:D131107 IY131106:IY131107 SU131106:SU131107 ACQ131106:ACQ131107 AMM131106:AMM131107 AWI131106:AWI131107 BGE131106:BGE131107 BQA131106:BQA131107 BZW131106:BZW131107 CJS131106:CJS131107 CTO131106:CTO131107 DDK131106:DDK131107 DNG131106:DNG131107 DXC131106:DXC131107 EGY131106:EGY131107 EQU131106:EQU131107 FAQ131106:FAQ131107 FKM131106:FKM131107 FUI131106:FUI131107 GEE131106:GEE131107 GOA131106:GOA131107 GXW131106:GXW131107 HHS131106:HHS131107 HRO131106:HRO131107 IBK131106:IBK131107 ILG131106:ILG131107 IVC131106:IVC131107 JEY131106:JEY131107 JOU131106:JOU131107 JYQ131106:JYQ131107 KIM131106:KIM131107 KSI131106:KSI131107 LCE131106:LCE131107 LMA131106:LMA131107 LVW131106:LVW131107 MFS131106:MFS131107 MPO131106:MPO131107 MZK131106:MZK131107 NJG131106:NJG131107 NTC131106:NTC131107 OCY131106:OCY131107 OMU131106:OMU131107 OWQ131106:OWQ131107 PGM131106:PGM131107 PQI131106:PQI131107 QAE131106:QAE131107 QKA131106:QKA131107 QTW131106:QTW131107 RDS131106:RDS131107 RNO131106:RNO131107 RXK131106:RXK131107 SHG131106:SHG131107 SRC131106:SRC131107 TAY131106:TAY131107 TKU131106:TKU131107 TUQ131106:TUQ131107 UEM131106:UEM131107 UOI131106:UOI131107 UYE131106:UYE131107 VIA131106:VIA131107 VRW131106:VRW131107 WBS131106:WBS131107 WLO131106:WLO131107 WVK131106:WVK131107 D196642:D196643 IY196642:IY196643 SU196642:SU196643 ACQ196642:ACQ196643 AMM196642:AMM196643 AWI196642:AWI196643 BGE196642:BGE196643 BQA196642:BQA196643 BZW196642:BZW196643 CJS196642:CJS196643 CTO196642:CTO196643 DDK196642:DDK196643 DNG196642:DNG196643 DXC196642:DXC196643 EGY196642:EGY196643 EQU196642:EQU196643 FAQ196642:FAQ196643 FKM196642:FKM196643 FUI196642:FUI196643 GEE196642:GEE196643 GOA196642:GOA196643 GXW196642:GXW196643 HHS196642:HHS196643 HRO196642:HRO196643 IBK196642:IBK196643 ILG196642:ILG196643 IVC196642:IVC196643 JEY196642:JEY196643 JOU196642:JOU196643 JYQ196642:JYQ196643 KIM196642:KIM196643 KSI196642:KSI196643 LCE196642:LCE196643 LMA196642:LMA196643 LVW196642:LVW196643 MFS196642:MFS196643 MPO196642:MPO196643 MZK196642:MZK196643 NJG196642:NJG196643 NTC196642:NTC196643 OCY196642:OCY196643 OMU196642:OMU196643 OWQ196642:OWQ196643 PGM196642:PGM196643 PQI196642:PQI196643 QAE196642:QAE196643 QKA196642:QKA196643 QTW196642:QTW196643 RDS196642:RDS196643 RNO196642:RNO196643 RXK196642:RXK196643 SHG196642:SHG196643 SRC196642:SRC196643 TAY196642:TAY196643 TKU196642:TKU196643 TUQ196642:TUQ196643 UEM196642:UEM196643 UOI196642:UOI196643 UYE196642:UYE196643 VIA196642:VIA196643 VRW196642:VRW196643 WBS196642:WBS196643 WLO196642:WLO196643 WVK196642:WVK196643 D262178:D262179 IY262178:IY262179 SU262178:SU262179 ACQ262178:ACQ262179 AMM262178:AMM262179 AWI262178:AWI262179 BGE262178:BGE262179 BQA262178:BQA262179 BZW262178:BZW262179 CJS262178:CJS262179 CTO262178:CTO262179 DDK262178:DDK262179 DNG262178:DNG262179 DXC262178:DXC262179 EGY262178:EGY262179 EQU262178:EQU262179 FAQ262178:FAQ262179 FKM262178:FKM262179 FUI262178:FUI262179 GEE262178:GEE262179 GOA262178:GOA262179 GXW262178:GXW262179 HHS262178:HHS262179 HRO262178:HRO262179 IBK262178:IBK262179 ILG262178:ILG262179 IVC262178:IVC262179 JEY262178:JEY262179 JOU262178:JOU262179 JYQ262178:JYQ262179 KIM262178:KIM262179 KSI262178:KSI262179 LCE262178:LCE262179 LMA262178:LMA262179 LVW262178:LVW262179 MFS262178:MFS262179 MPO262178:MPO262179 MZK262178:MZK262179 NJG262178:NJG262179 NTC262178:NTC262179 OCY262178:OCY262179 OMU262178:OMU262179 OWQ262178:OWQ262179 PGM262178:PGM262179 PQI262178:PQI262179 QAE262178:QAE262179 QKA262178:QKA262179 QTW262178:QTW262179 RDS262178:RDS262179 RNO262178:RNO262179 RXK262178:RXK262179 SHG262178:SHG262179 SRC262178:SRC262179 TAY262178:TAY262179 TKU262178:TKU262179 TUQ262178:TUQ262179 UEM262178:UEM262179 UOI262178:UOI262179 UYE262178:UYE262179 VIA262178:VIA262179 VRW262178:VRW262179 WBS262178:WBS262179 WLO262178:WLO262179 WVK262178:WVK262179 D327714:D327715 IY327714:IY327715 SU327714:SU327715 ACQ327714:ACQ327715 AMM327714:AMM327715 AWI327714:AWI327715 BGE327714:BGE327715 BQA327714:BQA327715 BZW327714:BZW327715 CJS327714:CJS327715 CTO327714:CTO327715 DDK327714:DDK327715 DNG327714:DNG327715 DXC327714:DXC327715 EGY327714:EGY327715 EQU327714:EQU327715 FAQ327714:FAQ327715 FKM327714:FKM327715 FUI327714:FUI327715 GEE327714:GEE327715 GOA327714:GOA327715 GXW327714:GXW327715 HHS327714:HHS327715 HRO327714:HRO327715 IBK327714:IBK327715 ILG327714:ILG327715 IVC327714:IVC327715 JEY327714:JEY327715 JOU327714:JOU327715 JYQ327714:JYQ327715 KIM327714:KIM327715 KSI327714:KSI327715 LCE327714:LCE327715 LMA327714:LMA327715 LVW327714:LVW327715 MFS327714:MFS327715 MPO327714:MPO327715 MZK327714:MZK327715 NJG327714:NJG327715 NTC327714:NTC327715 OCY327714:OCY327715 OMU327714:OMU327715 OWQ327714:OWQ327715 PGM327714:PGM327715 PQI327714:PQI327715 QAE327714:QAE327715 QKA327714:QKA327715 QTW327714:QTW327715 RDS327714:RDS327715 RNO327714:RNO327715 RXK327714:RXK327715 SHG327714:SHG327715 SRC327714:SRC327715 TAY327714:TAY327715 TKU327714:TKU327715 TUQ327714:TUQ327715 UEM327714:UEM327715 UOI327714:UOI327715 UYE327714:UYE327715 VIA327714:VIA327715 VRW327714:VRW327715 WBS327714:WBS327715 WLO327714:WLO327715 WVK327714:WVK327715 D393250:D393251 IY393250:IY393251 SU393250:SU393251 ACQ393250:ACQ393251 AMM393250:AMM393251 AWI393250:AWI393251 BGE393250:BGE393251 BQA393250:BQA393251 BZW393250:BZW393251 CJS393250:CJS393251 CTO393250:CTO393251 DDK393250:DDK393251 DNG393250:DNG393251 DXC393250:DXC393251 EGY393250:EGY393251 EQU393250:EQU393251 FAQ393250:FAQ393251 FKM393250:FKM393251 FUI393250:FUI393251 GEE393250:GEE393251 GOA393250:GOA393251 GXW393250:GXW393251 HHS393250:HHS393251 HRO393250:HRO393251 IBK393250:IBK393251 ILG393250:ILG393251 IVC393250:IVC393251 JEY393250:JEY393251 JOU393250:JOU393251 JYQ393250:JYQ393251 KIM393250:KIM393251 KSI393250:KSI393251 LCE393250:LCE393251 LMA393250:LMA393251 LVW393250:LVW393251 MFS393250:MFS393251 MPO393250:MPO393251 MZK393250:MZK393251 NJG393250:NJG393251 NTC393250:NTC393251 OCY393250:OCY393251 OMU393250:OMU393251 OWQ393250:OWQ393251 PGM393250:PGM393251 PQI393250:PQI393251 QAE393250:QAE393251 QKA393250:QKA393251 QTW393250:QTW393251 RDS393250:RDS393251 RNO393250:RNO393251 RXK393250:RXK393251 SHG393250:SHG393251 SRC393250:SRC393251 TAY393250:TAY393251 TKU393250:TKU393251 TUQ393250:TUQ393251 UEM393250:UEM393251 UOI393250:UOI393251 UYE393250:UYE393251 VIA393250:VIA393251 VRW393250:VRW393251 WBS393250:WBS393251 WLO393250:WLO393251 WVK393250:WVK393251 D458786:D458787 IY458786:IY458787 SU458786:SU458787 ACQ458786:ACQ458787 AMM458786:AMM458787 AWI458786:AWI458787 BGE458786:BGE458787 BQA458786:BQA458787 BZW458786:BZW458787 CJS458786:CJS458787 CTO458786:CTO458787 DDK458786:DDK458787 DNG458786:DNG458787 DXC458786:DXC458787 EGY458786:EGY458787 EQU458786:EQU458787 FAQ458786:FAQ458787 FKM458786:FKM458787 FUI458786:FUI458787 GEE458786:GEE458787 GOA458786:GOA458787 GXW458786:GXW458787 HHS458786:HHS458787 HRO458786:HRO458787 IBK458786:IBK458787 ILG458786:ILG458787 IVC458786:IVC458787 JEY458786:JEY458787 JOU458786:JOU458787 JYQ458786:JYQ458787 KIM458786:KIM458787 KSI458786:KSI458787 LCE458786:LCE458787 LMA458786:LMA458787 LVW458786:LVW458787 MFS458786:MFS458787 MPO458786:MPO458787 MZK458786:MZK458787 NJG458786:NJG458787 NTC458786:NTC458787 OCY458786:OCY458787 OMU458786:OMU458787 OWQ458786:OWQ458787 PGM458786:PGM458787 PQI458786:PQI458787 QAE458786:QAE458787 QKA458786:QKA458787 QTW458786:QTW458787 RDS458786:RDS458787 RNO458786:RNO458787 RXK458786:RXK458787 SHG458786:SHG458787 SRC458786:SRC458787 TAY458786:TAY458787 TKU458786:TKU458787 TUQ458786:TUQ458787 UEM458786:UEM458787 UOI458786:UOI458787 UYE458786:UYE458787 VIA458786:VIA458787 VRW458786:VRW458787 WBS458786:WBS458787 WLO458786:WLO458787 WVK458786:WVK458787 D524322:D524323 IY524322:IY524323 SU524322:SU524323 ACQ524322:ACQ524323 AMM524322:AMM524323 AWI524322:AWI524323 BGE524322:BGE524323 BQA524322:BQA524323 BZW524322:BZW524323 CJS524322:CJS524323 CTO524322:CTO524323 DDK524322:DDK524323 DNG524322:DNG524323 DXC524322:DXC524323 EGY524322:EGY524323 EQU524322:EQU524323 FAQ524322:FAQ524323 FKM524322:FKM524323 FUI524322:FUI524323 GEE524322:GEE524323 GOA524322:GOA524323 GXW524322:GXW524323 HHS524322:HHS524323 HRO524322:HRO524323 IBK524322:IBK524323 ILG524322:ILG524323 IVC524322:IVC524323 JEY524322:JEY524323 JOU524322:JOU524323 JYQ524322:JYQ524323 KIM524322:KIM524323 KSI524322:KSI524323 LCE524322:LCE524323 LMA524322:LMA524323 LVW524322:LVW524323 MFS524322:MFS524323 MPO524322:MPO524323 MZK524322:MZK524323 NJG524322:NJG524323 NTC524322:NTC524323 OCY524322:OCY524323 OMU524322:OMU524323 OWQ524322:OWQ524323 PGM524322:PGM524323 PQI524322:PQI524323 QAE524322:QAE524323 QKA524322:QKA524323 QTW524322:QTW524323 RDS524322:RDS524323 RNO524322:RNO524323 RXK524322:RXK524323 SHG524322:SHG524323 SRC524322:SRC524323 TAY524322:TAY524323 TKU524322:TKU524323 TUQ524322:TUQ524323 UEM524322:UEM524323 UOI524322:UOI524323 UYE524322:UYE524323 VIA524322:VIA524323 VRW524322:VRW524323 WBS524322:WBS524323 WLO524322:WLO524323 WVK524322:WVK524323 D589858:D589859 IY589858:IY589859 SU589858:SU589859 ACQ589858:ACQ589859 AMM589858:AMM589859 AWI589858:AWI589859 BGE589858:BGE589859 BQA589858:BQA589859 BZW589858:BZW589859 CJS589858:CJS589859 CTO589858:CTO589859 DDK589858:DDK589859 DNG589858:DNG589859 DXC589858:DXC589859 EGY589858:EGY589859 EQU589858:EQU589859 FAQ589858:FAQ589859 FKM589858:FKM589859 FUI589858:FUI589859 GEE589858:GEE589859 GOA589858:GOA589859 GXW589858:GXW589859 HHS589858:HHS589859 HRO589858:HRO589859 IBK589858:IBK589859 ILG589858:ILG589859 IVC589858:IVC589859 JEY589858:JEY589859 JOU589858:JOU589859 JYQ589858:JYQ589859 KIM589858:KIM589859 KSI589858:KSI589859 LCE589858:LCE589859 LMA589858:LMA589859 LVW589858:LVW589859 MFS589858:MFS589859 MPO589858:MPO589859 MZK589858:MZK589859 NJG589858:NJG589859 NTC589858:NTC589859 OCY589858:OCY589859 OMU589858:OMU589859 OWQ589858:OWQ589859 PGM589858:PGM589859 PQI589858:PQI589859 QAE589858:QAE589859 QKA589858:QKA589859 QTW589858:QTW589859 RDS589858:RDS589859 RNO589858:RNO589859 RXK589858:RXK589859 SHG589858:SHG589859 SRC589858:SRC589859 TAY589858:TAY589859 TKU589858:TKU589859 TUQ589858:TUQ589859 UEM589858:UEM589859 UOI589858:UOI589859 UYE589858:UYE589859 VIA589858:VIA589859 VRW589858:VRW589859 WBS589858:WBS589859 WLO589858:WLO589859 WVK589858:WVK589859 D655394:D655395 IY655394:IY655395 SU655394:SU655395 ACQ655394:ACQ655395 AMM655394:AMM655395 AWI655394:AWI655395 BGE655394:BGE655395 BQA655394:BQA655395 BZW655394:BZW655395 CJS655394:CJS655395 CTO655394:CTO655395 DDK655394:DDK655395 DNG655394:DNG655395 DXC655394:DXC655395 EGY655394:EGY655395 EQU655394:EQU655395 FAQ655394:FAQ655395 FKM655394:FKM655395 FUI655394:FUI655395 GEE655394:GEE655395 GOA655394:GOA655395 GXW655394:GXW655395 HHS655394:HHS655395 HRO655394:HRO655395 IBK655394:IBK655395 ILG655394:ILG655395 IVC655394:IVC655395 JEY655394:JEY655395 JOU655394:JOU655395 JYQ655394:JYQ655395 KIM655394:KIM655395 KSI655394:KSI655395 LCE655394:LCE655395 LMA655394:LMA655395 LVW655394:LVW655395 MFS655394:MFS655395 MPO655394:MPO655395 MZK655394:MZK655395 NJG655394:NJG655395 NTC655394:NTC655395 OCY655394:OCY655395 OMU655394:OMU655395 OWQ655394:OWQ655395 PGM655394:PGM655395 PQI655394:PQI655395 QAE655394:QAE655395 QKA655394:QKA655395 QTW655394:QTW655395 RDS655394:RDS655395 RNO655394:RNO655395 RXK655394:RXK655395 SHG655394:SHG655395 SRC655394:SRC655395 TAY655394:TAY655395 TKU655394:TKU655395 TUQ655394:TUQ655395 UEM655394:UEM655395 UOI655394:UOI655395 UYE655394:UYE655395 VIA655394:VIA655395 VRW655394:VRW655395 WBS655394:WBS655395 WLO655394:WLO655395 WVK655394:WVK655395 D720930:D720931 IY720930:IY720931 SU720930:SU720931 ACQ720930:ACQ720931 AMM720930:AMM720931 AWI720930:AWI720931 BGE720930:BGE720931 BQA720930:BQA720931 BZW720930:BZW720931 CJS720930:CJS720931 CTO720930:CTO720931 DDK720930:DDK720931 DNG720930:DNG720931 DXC720930:DXC720931 EGY720930:EGY720931 EQU720930:EQU720931 FAQ720930:FAQ720931 FKM720930:FKM720931 FUI720930:FUI720931 GEE720930:GEE720931 GOA720930:GOA720931 GXW720930:GXW720931 HHS720930:HHS720931 HRO720930:HRO720931 IBK720930:IBK720931 ILG720930:ILG720931 IVC720930:IVC720931 JEY720930:JEY720931 JOU720930:JOU720931 JYQ720930:JYQ720931 KIM720930:KIM720931 KSI720930:KSI720931 LCE720930:LCE720931 LMA720930:LMA720931 LVW720930:LVW720931 MFS720930:MFS720931 MPO720930:MPO720931 MZK720930:MZK720931 NJG720930:NJG720931 NTC720930:NTC720931 OCY720930:OCY720931 OMU720930:OMU720931 OWQ720930:OWQ720931 PGM720930:PGM720931 PQI720930:PQI720931 QAE720930:QAE720931 QKA720930:QKA720931 QTW720930:QTW720931 RDS720930:RDS720931 RNO720930:RNO720931 RXK720930:RXK720931 SHG720930:SHG720931 SRC720930:SRC720931 TAY720930:TAY720931 TKU720930:TKU720931 TUQ720930:TUQ720931 UEM720930:UEM720931 UOI720930:UOI720931 UYE720930:UYE720931 VIA720930:VIA720931 VRW720930:VRW720931 WBS720930:WBS720931 WLO720930:WLO720931 WVK720930:WVK720931 D786466:D786467 IY786466:IY786467 SU786466:SU786467 ACQ786466:ACQ786467 AMM786466:AMM786467 AWI786466:AWI786467 BGE786466:BGE786467 BQA786466:BQA786467 BZW786466:BZW786467 CJS786466:CJS786467 CTO786466:CTO786467 DDK786466:DDK786467 DNG786466:DNG786467 DXC786466:DXC786467 EGY786466:EGY786467 EQU786466:EQU786467 FAQ786466:FAQ786467 FKM786466:FKM786467 FUI786466:FUI786467 GEE786466:GEE786467 GOA786466:GOA786467 GXW786466:GXW786467 HHS786466:HHS786467 HRO786466:HRO786467 IBK786466:IBK786467 ILG786466:ILG786467 IVC786466:IVC786467 JEY786466:JEY786467 JOU786466:JOU786467 JYQ786466:JYQ786467 KIM786466:KIM786467 KSI786466:KSI786467 LCE786466:LCE786467 LMA786466:LMA786467 LVW786466:LVW786467 MFS786466:MFS786467 MPO786466:MPO786467 MZK786466:MZK786467 NJG786466:NJG786467 NTC786466:NTC786467 OCY786466:OCY786467 OMU786466:OMU786467 OWQ786466:OWQ786467 PGM786466:PGM786467 PQI786466:PQI786467 QAE786466:QAE786467 QKA786466:QKA786467 QTW786466:QTW786467 RDS786466:RDS786467 RNO786466:RNO786467 RXK786466:RXK786467 SHG786466:SHG786467 SRC786466:SRC786467 TAY786466:TAY786467 TKU786466:TKU786467 TUQ786466:TUQ786467 UEM786466:UEM786467 UOI786466:UOI786467 UYE786466:UYE786467 VIA786466:VIA786467 VRW786466:VRW786467 WBS786466:WBS786467 WLO786466:WLO786467 WVK786466:WVK786467 D852002:D852003 IY852002:IY852003 SU852002:SU852003 ACQ852002:ACQ852003 AMM852002:AMM852003 AWI852002:AWI852003 BGE852002:BGE852003 BQA852002:BQA852003 BZW852002:BZW852003 CJS852002:CJS852003 CTO852002:CTO852003 DDK852002:DDK852003 DNG852002:DNG852003 DXC852002:DXC852003 EGY852002:EGY852003 EQU852002:EQU852003 FAQ852002:FAQ852003 FKM852002:FKM852003 FUI852002:FUI852003 GEE852002:GEE852003 GOA852002:GOA852003 GXW852002:GXW852003 HHS852002:HHS852003 HRO852002:HRO852003 IBK852002:IBK852003 ILG852002:ILG852003 IVC852002:IVC852003 JEY852002:JEY852003 JOU852002:JOU852003 JYQ852002:JYQ852003 KIM852002:KIM852003 KSI852002:KSI852003 LCE852002:LCE852003 LMA852002:LMA852003 LVW852002:LVW852003 MFS852002:MFS852003 MPO852002:MPO852003 MZK852002:MZK852003 NJG852002:NJG852003 NTC852002:NTC852003 OCY852002:OCY852003 OMU852002:OMU852003 OWQ852002:OWQ852003 PGM852002:PGM852003 PQI852002:PQI852003 QAE852002:QAE852003 QKA852002:QKA852003 QTW852002:QTW852003 RDS852002:RDS852003 RNO852002:RNO852003 RXK852002:RXK852003 SHG852002:SHG852003 SRC852002:SRC852003 TAY852002:TAY852003 TKU852002:TKU852003 TUQ852002:TUQ852003 UEM852002:UEM852003 UOI852002:UOI852003 UYE852002:UYE852003 VIA852002:VIA852003 VRW852002:VRW852003 WBS852002:WBS852003 WLO852002:WLO852003 WVK852002:WVK852003 D917538:D917539 IY917538:IY917539 SU917538:SU917539 ACQ917538:ACQ917539 AMM917538:AMM917539 AWI917538:AWI917539 BGE917538:BGE917539 BQA917538:BQA917539 BZW917538:BZW917539 CJS917538:CJS917539 CTO917538:CTO917539 DDK917538:DDK917539 DNG917538:DNG917539 DXC917538:DXC917539 EGY917538:EGY917539 EQU917538:EQU917539 FAQ917538:FAQ917539 FKM917538:FKM917539 FUI917538:FUI917539 GEE917538:GEE917539 GOA917538:GOA917539 GXW917538:GXW917539 HHS917538:HHS917539 HRO917538:HRO917539 IBK917538:IBK917539 ILG917538:ILG917539 IVC917538:IVC917539 JEY917538:JEY917539 JOU917538:JOU917539 JYQ917538:JYQ917539 KIM917538:KIM917539 KSI917538:KSI917539 LCE917538:LCE917539 LMA917538:LMA917539 LVW917538:LVW917539 MFS917538:MFS917539 MPO917538:MPO917539 MZK917538:MZK917539 NJG917538:NJG917539 NTC917538:NTC917539 OCY917538:OCY917539 OMU917538:OMU917539 OWQ917538:OWQ917539 PGM917538:PGM917539 PQI917538:PQI917539 QAE917538:QAE917539 QKA917538:QKA917539 QTW917538:QTW917539 RDS917538:RDS917539 RNO917538:RNO917539 RXK917538:RXK917539 SHG917538:SHG917539 SRC917538:SRC917539 TAY917538:TAY917539 TKU917538:TKU917539 TUQ917538:TUQ917539 UEM917538:UEM917539 UOI917538:UOI917539 UYE917538:UYE917539 VIA917538:VIA917539 VRW917538:VRW917539 WBS917538:WBS917539 WLO917538:WLO917539 WVK917538:WVK917539 D983074:D983075 IY983074:IY983075 SU983074:SU983075 ACQ983074:ACQ983075 AMM983074:AMM983075 AWI983074:AWI983075 BGE983074:BGE983075 BQA983074:BQA983075 BZW983074:BZW983075 CJS983074:CJS983075 CTO983074:CTO983075 DDK983074:DDK983075 DNG983074:DNG983075 DXC983074:DXC983075 EGY983074:EGY983075 EQU983074:EQU983075 FAQ983074:FAQ983075 FKM983074:FKM983075 FUI983074:FUI983075 GEE983074:GEE983075 GOA983074:GOA983075 GXW983074:GXW983075 HHS983074:HHS983075 HRO983074:HRO983075 IBK983074:IBK983075 ILG983074:ILG983075 IVC983074:IVC983075 JEY983074:JEY983075 JOU983074:JOU983075 JYQ983074:JYQ983075 KIM983074:KIM983075 KSI983074:KSI983075 LCE983074:LCE983075 LMA983074:LMA983075 LVW983074:LVW983075 MFS983074:MFS983075 MPO983074:MPO983075 MZK983074:MZK983075 NJG983074:NJG983075 NTC983074:NTC983075 OCY983074:OCY983075 OMU983074:OMU983075 OWQ983074:OWQ983075 PGM983074:PGM983075 PQI983074:PQI983075 QAE983074:QAE983075 QKA983074:QKA983075 QTW983074:QTW983075 RDS983074:RDS983075 RNO983074:RNO983075 RXK983074:RXK983075 SHG983074:SHG983075 SRC983074:SRC983075 TAY983074:TAY983075 TKU983074:TKU983075 TUQ983074:TUQ983075 UEM983074:UEM983075 UOI983074:UOI983075 UYE983074:UYE983075 VIA983074:VIA983075 VRW983074:VRW983075 WBS983074:WBS983075 WLO983074:WLO983075 D16:D17" xr:uid="{00000000-0002-0000-0200-000001000000}"/>
    <dataValidation allowBlank="1" showInputMessage="1" showErrorMessage="1" prompt="Alcance: Definir las principales actividades que se requieren para alcanzar el producto definidos en los estudios previos" sqref="WVI983075 IW17 SS17 ACO17 AMK17 AWG17 BGC17 BPY17 BZU17 CJQ17 CTM17 DDI17 DNE17 DXA17 EGW17 EQS17 FAO17 FKK17 FUG17 GEC17 GNY17 GXU17 HHQ17 HRM17 IBI17 ILE17 IVA17 JEW17 JOS17 JYO17 KIK17 KSG17 LCC17 LLY17 LVU17 MFQ17 MPM17 MZI17 NJE17 NTA17 OCW17 OMS17 OWO17 PGK17 PQG17 QAC17 QJY17 QTU17 RDQ17 RNM17 RXI17 SHE17 SRA17 TAW17 TKS17 TUO17 UEK17 UOG17 UYC17 VHY17 VRU17 WBQ17 WLM17 WVI17 B65571 IW65571 SS65571 ACO65571 AMK65571 AWG65571 BGC65571 BPY65571 BZU65571 CJQ65571 CTM65571 DDI65571 DNE65571 DXA65571 EGW65571 EQS65571 FAO65571 FKK65571 FUG65571 GEC65571 GNY65571 GXU65571 HHQ65571 HRM65571 IBI65571 ILE65571 IVA65571 JEW65571 JOS65571 JYO65571 KIK65571 KSG65571 LCC65571 LLY65571 LVU65571 MFQ65571 MPM65571 MZI65571 NJE65571 NTA65571 OCW65571 OMS65571 OWO65571 PGK65571 PQG65571 QAC65571 QJY65571 QTU65571 RDQ65571 RNM65571 RXI65571 SHE65571 SRA65571 TAW65571 TKS65571 TUO65571 UEK65571 UOG65571 UYC65571 VHY65571 VRU65571 WBQ65571 WLM65571 WVI65571 B131107 IW131107 SS131107 ACO131107 AMK131107 AWG131107 BGC131107 BPY131107 BZU131107 CJQ131107 CTM131107 DDI131107 DNE131107 DXA131107 EGW131107 EQS131107 FAO131107 FKK131107 FUG131107 GEC131107 GNY131107 GXU131107 HHQ131107 HRM131107 IBI131107 ILE131107 IVA131107 JEW131107 JOS131107 JYO131107 KIK131107 KSG131107 LCC131107 LLY131107 LVU131107 MFQ131107 MPM131107 MZI131107 NJE131107 NTA131107 OCW131107 OMS131107 OWO131107 PGK131107 PQG131107 QAC131107 QJY131107 QTU131107 RDQ131107 RNM131107 RXI131107 SHE131107 SRA131107 TAW131107 TKS131107 TUO131107 UEK131107 UOG131107 UYC131107 VHY131107 VRU131107 WBQ131107 WLM131107 WVI131107 B196643 IW196643 SS196643 ACO196643 AMK196643 AWG196643 BGC196643 BPY196643 BZU196643 CJQ196643 CTM196643 DDI196643 DNE196643 DXA196643 EGW196643 EQS196643 FAO196643 FKK196643 FUG196643 GEC196643 GNY196643 GXU196643 HHQ196643 HRM196643 IBI196643 ILE196643 IVA196643 JEW196643 JOS196643 JYO196643 KIK196643 KSG196643 LCC196643 LLY196643 LVU196643 MFQ196643 MPM196643 MZI196643 NJE196643 NTA196643 OCW196643 OMS196643 OWO196643 PGK196643 PQG196643 QAC196643 QJY196643 QTU196643 RDQ196643 RNM196643 RXI196643 SHE196643 SRA196643 TAW196643 TKS196643 TUO196643 UEK196643 UOG196643 UYC196643 VHY196643 VRU196643 WBQ196643 WLM196643 WVI196643 B262179 IW262179 SS262179 ACO262179 AMK262179 AWG262179 BGC262179 BPY262179 BZU262179 CJQ262179 CTM262179 DDI262179 DNE262179 DXA262179 EGW262179 EQS262179 FAO262179 FKK262179 FUG262179 GEC262179 GNY262179 GXU262179 HHQ262179 HRM262179 IBI262179 ILE262179 IVA262179 JEW262179 JOS262179 JYO262179 KIK262179 KSG262179 LCC262179 LLY262179 LVU262179 MFQ262179 MPM262179 MZI262179 NJE262179 NTA262179 OCW262179 OMS262179 OWO262179 PGK262179 PQG262179 QAC262179 QJY262179 QTU262179 RDQ262179 RNM262179 RXI262179 SHE262179 SRA262179 TAW262179 TKS262179 TUO262179 UEK262179 UOG262179 UYC262179 VHY262179 VRU262179 WBQ262179 WLM262179 WVI262179 B327715 IW327715 SS327715 ACO327715 AMK327715 AWG327715 BGC327715 BPY327715 BZU327715 CJQ327715 CTM327715 DDI327715 DNE327715 DXA327715 EGW327715 EQS327715 FAO327715 FKK327715 FUG327715 GEC327715 GNY327715 GXU327715 HHQ327715 HRM327715 IBI327715 ILE327715 IVA327715 JEW327715 JOS327715 JYO327715 KIK327715 KSG327715 LCC327715 LLY327715 LVU327715 MFQ327715 MPM327715 MZI327715 NJE327715 NTA327715 OCW327715 OMS327715 OWO327715 PGK327715 PQG327715 QAC327715 QJY327715 QTU327715 RDQ327715 RNM327715 RXI327715 SHE327715 SRA327715 TAW327715 TKS327715 TUO327715 UEK327715 UOG327715 UYC327715 VHY327715 VRU327715 WBQ327715 WLM327715 WVI327715 B393251 IW393251 SS393251 ACO393251 AMK393251 AWG393251 BGC393251 BPY393251 BZU393251 CJQ393251 CTM393251 DDI393251 DNE393251 DXA393251 EGW393251 EQS393251 FAO393251 FKK393251 FUG393251 GEC393251 GNY393251 GXU393251 HHQ393251 HRM393251 IBI393251 ILE393251 IVA393251 JEW393251 JOS393251 JYO393251 KIK393251 KSG393251 LCC393251 LLY393251 LVU393251 MFQ393251 MPM393251 MZI393251 NJE393251 NTA393251 OCW393251 OMS393251 OWO393251 PGK393251 PQG393251 QAC393251 QJY393251 QTU393251 RDQ393251 RNM393251 RXI393251 SHE393251 SRA393251 TAW393251 TKS393251 TUO393251 UEK393251 UOG393251 UYC393251 VHY393251 VRU393251 WBQ393251 WLM393251 WVI393251 B458787 IW458787 SS458787 ACO458787 AMK458787 AWG458787 BGC458787 BPY458787 BZU458787 CJQ458787 CTM458787 DDI458787 DNE458787 DXA458787 EGW458787 EQS458787 FAO458787 FKK458787 FUG458787 GEC458787 GNY458787 GXU458787 HHQ458787 HRM458787 IBI458787 ILE458787 IVA458787 JEW458787 JOS458787 JYO458787 KIK458787 KSG458787 LCC458787 LLY458787 LVU458787 MFQ458787 MPM458787 MZI458787 NJE458787 NTA458787 OCW458787 OMS458787 OWO458787 PGK458787 PQG458787 QAC458787 QJY458787 QTU458787 RDQ458787 RNM458787 RXI458787 SHE458787 SRA458787 TAW458787 TKS458787 TUO458787 UEK458787 UOG458787 UYC458787 VHY458787 VRU458787 WBQ458787 WLM458787 WVI458787 B524323 IW524323 SS524323 ACO524323 AMK524323 AWG524323 BGC524323 BPY524323 BZU524323 CJQ524323 CTM524323 DDI524323 DNE524323 DXA524323 EGW524323 EQS524323 FAO524323 FKK524323 FUG524323 GEC524323 GNY524323 GXU524323 HHQ524323 HRM524323 IBI524323 ILE524323 IVA524323 JEW524323 JOS524323 JYO524323 KIK524323 KSG524323 LCC524323 LLY524323 LVU524323 MFQ524323 MPM524323 MZI524323 NJE524323 NTA524323 OCW524323 OMS524323 OWO524323 PGK524323 PQG524323 QAC524323 QJY524323 QTU524323 RDQ524323 RNM524323 RXI524323 SHE524323 SRA524323 TAW524323 TKS524323 TUO524323 UEK524323 UOG524323 UYC524323 VHY524323 VRU524323 WBQ524323 WLM524323 WVI524323 B589859 IW589859 SS589859 ACO589859 AMK589859 AWG589859 BGC589859 BPY589859 BZU589859 CJQ589859 CTM589859 DDI589859 DNE589859 DXA589859 EGW589859 EQS589859 FAO589859 FKK589859 FUG589859 GEC589859 GNY589859 GXU589859 HHQ589859 HRM589859 IBI589859 ILE589859 IVA589859 JEW589859 JOS589859 JYO589859 KIK589859 KSG589859 LCC589859 LLY589859 LVU589859 MFQ589859 MPM589859 MZI589859 NJE589859 NTA589859 OCW589859 OMS589859 OWO589859 PGK589859 PQG589859 QAC589859 QJY589859 QTU589859 RDQ589859 RNM589859 RXI589859 SHE589859 SRA589859 TAW589859 TKS589859 TUO589859 UEK589859 UOG589859 UYC589859 VHY589859 VRU589859 WBQ589859 WLM589859 WVI589859 B655395 IW655395 SS655395 ACO655395 AMK655395 AWG655395 BGC655395 BPY655395 BZU655395 CJQ655395 CTM655395 DDI655395 DNE655395 DXA655395 EGW655395 EQS655395 FAO655395 FKK655395 FUG655395 GEC655395 GNY655395 GXU655395 HHQ655395 HRM655395 IBI655395 ILE655395 IVA655395 JEW655395 JOS655395 JYO655395 KIK655395 KSG655395 LCC655395 LLY655395 LVU655395 MFQ655395 MPM655395 MZI655395 NJE655395 NTA655395 OCW655395 OMS655395 OWO655395 PGK655395 PQG655395 QAC655395 QJY655395 QTU655395 RDQ655395 RNM655395 RXI655395 SHE655395 SRA655395 TAW655395 TKS655395 TUO655395 UEK655395 UOG655395 UYC655395 VHY655395 VRU655395 WBQ655395 WLM655395 WVI655395 B720931 IW720931 SS720931 ACO720931 AMK720931 AWG720931 BGC720931 BPY720931 BZU720931 CJQ720931 CTM720931 DDI720931 DNE720931 DXA720931 EGW720931 EQS720931 FAO720931 FKK720931 FUG720931 GEC720931 GNY720931 GXU720931 HHQ720931 HRM720931 IBI720931 ILE720931 IVA720931 JEW720931 JOS720931 JYO720931 KIK720931 KSG720931 LCC720931 LLY720931 LVU720931 MFQ720931 MPM720931 MZI720931 NJE720931 NTA720931 OCW720931 OMS720931 OWO720931 PGK720931 PQG720931 QAC720931 QJY720931 QTU720931 RDQ720931 RNM720931 RXI720931 SHE720931 SRA720931 TAW720931 TKS720931 TUO720931 UEK720931 UOG720931 UYC720931 VHY720931 VRU720931 WBQ720931 WLM720931 WVI720931 B786467 IW786467 SS786467 ACO786467 AMK786467 AWG786467 BGC786467 BPY786467 BZU786467 CJQ786467 CTM786467 DDI786467 DNE786467 DXA786467 EGW786467 EQS786467 FAO786467 FKK786467 FUG786467 GEC786467 GNY786467 GXU786467 HHQ786467 HRM786467 IBI786467 ILE786467 IVA786467 JEW786467 JOS786467 JYO786467 KIK786467 KSG786467 LCC786467 LLY786467 LVU786467 MFQ786467 MPM786467 MZI786467 NJE786467 NTA786467 OCW786467 OMS786467 OWO786467 PGK786467 PQG786467 QAC786467 QJY786467 QTU786467 RDQ786467 RNM786467 RXI786467 SHE786467 SRA786467 TAW786467 TKS786467 TUO786467 UEK786467 UOG786467 UYC786467 VHY786467 VRU786467 WBQ786467 WLM786467 WVI786467 B852003 IW852003 SS852003 ACO852003 AMK852003 AWG852003 BGC852003 BPY852003 BZU852003 CJQ852003 CTM852003 DDI852003 DNE852003 DXA852003 EGW852003 EQS852003 FAO852003 FKK852003 FUG852003 GEC852003 GNY852003 GXU852003 HHQ852003 HRM852003 IBI852003 ILE852003 IVA852003 JEW852003 JOS852003 JYO852003 KIK852003 KSG852003 LCC852003 LLY852003 LVU852003 MFQ852003 MPM852003 MZI852003 NJE852003 NTA852003 OCW852003 OMS852003 OWO852003 PGK852003 PQG852003 QAC852003 QJY852003 QTU852003 RDQ852003 RNM852003 RXI852003 SHE852003 SRA852003 TAW852003 TKS852003 TUO852003 UEK852003 UOG852003 UYC852003 VHY852003 VRU852003 WBQ852003 WLM852003 WVI852003 B917539 IW917539 SS917539 ACO917539 AMK917539 AWG917539 BGC917539 BPY917539 BZU917539 CJQ917539 CTM917539 DDI917539 DNE917539 DXA917539 EGW917539 EQS917539 FAO917539 FKK917539 FUG917539 GEC917539 GNY917539 GXU917539 HHQ917539 HRM917539 IBI917539 ILE917539 IVA917539 JEW917539 JOS917539 JYO917539 KIK917539 KSG917539 LCC917539 LLY917539 LVU917539 MFQ917539 MPM917539 MZI917539 NJE917539 NTA917539 OCW917539 OMS917539 OWO917539 PGK917539 PQG917539 QAC917539 QJY917539 QTU917539 RDQ917539 RNM917539 RXI917539 SHE917539 SRA917539 TAW917539 TKS917539 TUO917539 UEK917539 UOG917539 UYC917539 VHY917539 VRU917539 WBQ917539 WLM917539 WVI917539 B983075 IW983075 SS983075 ACO983075 AMK983075 AWG983075 BGC983075 BPY983075 BZU983075 CJQ983075 CTM983075 DDI983075 DNE983075 DXA983075 EGW983075 EQS983075 FAO983075 FKK983075 FUG983075 GEC983075 GNY983075 GXU983075 HHQ983075 HRM983075 IBI983075 ILE983075 IVA983075 JEW983075 JOS983075 JYO983075 KIK983075 KSG983075 LCC983075 LLY983075 LVU983075 MFQ983075 MPM983075 MZI983075 NJE983075 NTA983075 OCW983075 OMS983075 OWO983075 PGK983075 PQG983075 QAC983075 QJY983075 QTU983075 RDQ983075 RNM983075 RXI983075 SHE983075 SRA983075 TAW983075 TKS983075 TUO983075 UEK983075 UOG983075 UYC983075 VHY983075 VRU983075 WBQ983075 WLM983075 B17" xr:uid="{00000000-0002-0000-0200-000002000000}"/>
    <dataValidation allowBlank="1" showInputMessage="1" showErrorMessage="1" prompt="Diligencie con el nombre del supervisor y/o interventor delegado." sqref="WVJ983065:WVJ983066 IX9 ST9 ACP9 AML9 AWH9 BGD9 BPZ9 BZV9 CJR9 CTN9 DDJ9 DNF9 DXB9 EGX9 EQT9 FAP9 FKL9 FUH9 GED9 GNZ9 GXV9 HHR9 HRN9 IBJ9 ILF9 IVB9 JEX9 JOT9 JYP9 KIL9 KSH9 LCD9 LLZ9 LVV9 MFR9 MPN9 MZJ9 NJF9 NTB9 OCX9 OMT9 OWP9 PGL9 PQH9 QAD9 QJZ9 QTV9 RDR9 RNN9 RXJ9 SHF9 SRB9 TAX9 TKT9 TUP9 UEL9 UOH9 UYD9 VHZ9 VRV9 WBR9 WLN9 WVJ9 C65561:C65562 IX65561:IX65562 ST65561:ST65562 ACP65561:ACP65562 AML65561:AML65562 AWH65561:AWH65562 BGD65561:BGD65562 BPZ65561:BPZ65562 BZV65561:BZV65562 CJR65561:CJR65562 CTN65561:CTN65562 DDJ65561:DDJ65562 DNF65561:DNF65562 DXB65561:DXB65562 EGX65561:EGX65562 EQT65561:EQT65562 FAP65561:FAP65562 FKL65561:FKL65562 FUH65561:FUH65562 GED65561:GED65562 GNZ65561:GNZ65562 GXV65561:GXV65562 HHR65561:HHR65562 HRN65561:HRN65562 IBJ65561:IBJ65562 ILF65561:ILF65562 IVB65561:IVB65562 JEX65561:JEX65562 JOT65561:JOT65562 JYP65561:JYP65562 KIL65561:KIL65562 KSH65561:KSH65562 LCD65561:LCD65562 LLZ65561:LLZ65562 LVV65561:LVV65562 MFR65561:MFR65562 MPN65561:MPN65562 MZJ65561:MZJ65562 NJF65561:NJF65562 NTB65561:NTB65562 OCX65561:OCX65562 OMT65561:OMT65562 OWP65561:OWP65562 PGL65561:PGL65562 PQH65561:PQH65562 QAD65561:QAD65562 QJZ65561:QJZ65562 QTV65561:QTV65562 RDR65561:RDR65562 RNN65561:RNN65562 RXJ65561:RXJ65562 SHF65561:SHF65562 SRB65561:SRB65562 TAX65561:TAX65562 TKT65561:TKT65562 TUP65561:TUP65562 UEL65561:UEL65562 UOH65561:UOH65562 UYD65561:UYD65562 VHZ65561:VHZ65562 VRV65561:VRV65562 WBR65561:WBR65562 WLN65561:WLN65562 WVJ65561:WVJ65562 C131097:C131098 IX131097:IX131098 ST131097:ST131098 ACP131097:ACP131098 AML131097:AML131098 AWH131097:AWH131098 BGD131097:BGD131098 BPZ131097:BPZ131098 BZV131097:BZV131098 CJR131097:CJR131098 CTN131097:CTN131098 DDJ131097:DDJ131098 DNF131097:DNF131098 DXB131097:DXB131098 EGX131097:EGX131098 EQT131097:EQT131098 FAP131097:FAP131098 FKL131097:FKL131098 FUH131097:FUH131098 GED131097:GED131098 GNZ131097:GNZ131098 GXV131097:GXV131098 HHR131097:HHR131098 HRN131097:HRN131098 IBJ131097:IBJ131098 ILF131097:ILF131098 IVB131097:IVB131098 JEX131097:JEX131098 JOT131097:JOT131098 JYP131097:JYP131098 KIL131097:KIL131098 KSH131097:KSH131098 LCD131097:LCD131098 LLZ131097:LLZ131098 LVV131097:LVV131098 MFR131097:MFR131098 MPN131097:MPN131098 MZJ131097:MZJ131098 NJF131097:NJF131098 NTB131097:NTB131098 OCX131097:OCX131098 OMT131097:OMT131098 OWP131097:OWP131098 PGL131097:PGL131098 PQH131097:PQH131098 QAD131097:QAD131098 QJZ131097:QJZ131098 QTV131097:QTV131098 RDR131097:RDR131098 RNN131097:RNN131098 RXJ131097:RXJ131098 SHF131097:SHF131098 SRB131097:SRB131098 TAX131097:TAX131098 TKT131097:TKT131098 TUP131097:TUP131098 UEL131097:UEL131098 UOH131097:UOH131098 UYD131097:UYD131098 VHZ131097:VHZ131098 VRV131097:VRV131098 WBR131097:WBR131098 WLN131097:WLN131098 WVJ131097:WVJ131098 C196633:C196634 IX196633:IX196634 ST196633:ST196634 ACP196633:ACP196634 AML196633:AML196634 AWH196633:AWH196634 BGD196633:BGD196634 BPZ196633:BPZ196634 BZV196633:BZV196634 CJR196633:CJR196634 CTN196633:CTN196634 DDJ196633:DDJ196634 DNF196633:DNF196634 DXB196633:DXB196634 EGX196633:EGX196634 EQT196633:EQT196634 FAP196633:FAP196634 FKL196633:FKL196634 FUH196633:FUH196634 GED196633:GED196634 GNZ196633:GNZ196634 GXV196633:GXV196634 HHR196633:HHR196634 HRN196633:HRN196634 IBJ196633:IBJ196634 ILF196633:ILF196634 IVB196633:IVB196634 JEX196633:JEX196634 JOT196633:JOT196634 JYP196633:JYP196634 KIL196633:KIL196634 KSH196633:KSH196634 LCD196633:LCD196634 LLZ196633:LLZ196634 LVV196633:LVV196634 MFR196633:MFR196634 MPN196633:MPN196634 MZJ196633:MZJ196634 NJF196633:NJF196634 NTB196633:NTB196634 OCX196633:OCX196634 OMT196633:OMT196634 OWP196633:OWP196634 PGL196633:PGL196634 PQH196633:PQH196634 QAD196633:QAD196634 QJZ196633:QJZ196634 QTV196633:QTV196634 RDR196633:RDR196634 RNN196633:RNN196634 RXJ196633:RXJ196634 SHF196633:SHF196634 SRB196633:SRB196634 TAX196633:TAX196634 TKT196633:TKT196634 TUP196633:TUP196634 UEL196633:UEL196634 UOH196633:UOH196634 UYD196633:UYD196634 VHZ196633:VHZ196634 VRV196633:VRV196634 WBR196633:WBR196634 WLN196633:WLN196634 WVJ196633:WVJ196634 C262169:C262170 IX262169:IX262170 ST262169:ST262170 ACP262169:ACP262170 AML262169:AML262170 AWH262169:AWH262170 BGD262169:BGD262170 BPZ262169:BPZ262170 BZV262169:BZV262170 CJR262169:CJR262170 CTN262169:CTN262170 DDJ262169:DDJ262170 DNF262169:DNF262170 DXB262169:DXB262170 EGX262169:EGX262170 EQT262169:EQT262170 FAP262169:FAP262170 FKL262169:FKL262170 FUH262169:FUH262170 GED262169:GED262170 GNZ262169:GNZ262170 GXV262169:GXV262170 HHR262169:HHR262170 HRN262169:HRN262170 IBJ262169:IBJ262170 ILF262169:ILF262170 IVB262169:IVB262170 JEX262169:JEX262170 JOT262169:JOT262170 JYP262169:JYP262170 KIL262169:KIL262170 KSH262169:KSH262170 LCD262169:LCD262170 LLZ262169:LLZ262170 LVV262169:LVV262170 MFR262169:MFR262170 MPN262169:MPN262170 MZJ262169:MZJ262170 NJF262169:NJF262170 NTB262169:NTB262170 OCX262169:OCX262170 OMT262169:OMT262170 OWP262169:OWP262170 PGL262169:PGL262170 PQH262169:PQH262170 QAD262169:QAD262170 QJZ262169:QJZ262170 QTV262169:QTV262170 RDR262169:RDR262170 RNN262169:RNN262170 RXJ262169:RXJ262170 SHF262169:SHF262170 SRB262169:SRB262170 TAX262169:TAX262170 TKT262169:TKT262170 TUP262169:TUP262170 UEL262169:UEL262170 UOH262169:UOH262170 UYD262169:UYD262170 VHZ262169:VHZ262170 VRV262169:VRV262170 WBR262169:WBR262170 WLN262169:WLN262170 WVJ262169:WVJ262170 C327705:C327706 IX327705:IX327706 ST327705:ST327706 ACP327705:ACP327706 AML327705:AML327706 AWH327705:AWH327706 BGD327705:BGD327706 BPZ327705:BPZ327706 BZV327705:BZV327706 CJR327705:CJR327706 CTN327705:CTN327706 DDJ327705:DDJ327706 DNF327705:DNF327706 DXB327705:DXB327706 EGX327705:EGX327706 EQT327705:EQT327706 FAP327705:FAP327706 FKL327705:FKL327706 FUH327705:FUH327706 GED327705:GED327706 GNZ327705:GNZ327706 GXV327705:GXV327706 HHR327705:HHR327706 HRN327705:HRN327706 IBJ327705:IBJ327706 ILF327705:ILF327706 IVB327705:IVB327706 JEX327705:JEX327706 JOT327705:JOT327706 JYP327705:JYP327706 KIL327705:KIL327706 KSH327705:KSH327706 LCD327705:LCD327706 LLZ327705:LLZ327706 LVV327705:LVV327706 MFR327705:MFR327706 MPN327705:MPN327706 MZJ327705:MZJ327706 NJF327705:NJF327706 NTB327705:NTB327706 OCX327705:OCX327706 OMT327705:OMT327706 OWP327705:OWP327706 PGL327705:PGL327706 PQH327705:PQH327706 QAD327705:QAD327706 QJZ327705:QJZ327706 QTV327705:QTV327706 RDR327705:RDR327706 RNN327705:RNN327706 RXJ327705:RXJ327706 SHF327705:SHF327706 SRB327705:SRB327706 TAX327705:TAX327706 TKT327705:TKT327706 TUP327705:TUP327706 UEL327705:UEL327706 UOH327705:UOH327706 UYD327705:UYD327706 VHZ327705:VHZ327706 VRV327705:VRV327706 WBR327705:WBR327706 WLN327705:WLN327706 WVJ327705:WVJ327706 C393241:C393242 IX393241:IX393242 ST393241:ST393242 ACP393241:ACP393242 AML393241:AML393242 AWH393241:AWH393242 BGD393241:BGD393242 BPZ393241:BPZ393242 BZV393241:BZV393242 CJR393241:CJR393242 CTN393241:CTN393242 DDJ393241:DDJ393242 DNF393241:DNF393242 DXB393241:DXB393242 EGX393241:EGX393242 EQT393241:EQT393242 FAP393241:FAP393242 FKL393241:FKL393242 FUH393241:FUH393242 GED393241:GED393242 GNZ393241:GNZ393242 GXV393241:GXV393242 HHR393241:HHR393242 HRN393241:HRN393242 IBJ393241:IBJ393242 ILF393241:ILF393242 IVB393241:IVB393242 JEX393241:JEX393242 JOT393241:JOT393242 JYP393241:JYP393242 KIL393241:KIL393242 KSH393241:KSH393242 LCD393241:LCD393242 LLZ393241:LLZ393242 LVV393241:LVV393242 MFR393241:MFR393242 MPN393241:MPN393242 MZJ393241:MZJ393242 NJF393241:NJF393242 NTB393241:NTB393242 OCX393241:OCX393242 OMT393241:OMT393242 OWP393241:OWP393242 PGL393241:PGL393242 PQH393241:PQH393242 QAD393241:QAD393242 QJZ393241:QJZ393242 QTV393241:QTV393242 RDR393241:RDR393242 RNN393241:RNN393242 RXJ393241:RXJ393242 SHF393241:SHF393242 SRB393241:SRB393242 TAX393241:TAX393242 TKT393241:TKT393242 TUP393241:TUP393242 UEL393241:UEL393242 UOH393241:UOH393242 UYD393241:UYD393242 VHZ393241:VHZ393242 VRV393241:VRV393242 WBR393241:WBR393242 WLN393241:WLN393242 WVJ393241:WVJ393242 C458777:C458778 IX458777:IX458778 ST458777:ST458778 ACP458777:ACP458778 AML458777:AML458778 AWH458777:AWH458778 BGD458777:BGD458778 BPZ458777:BPZ458778 BZV458777:BZV458778 CJR458777:CJR458778 CTN458777:CTN458778 DDJ458777:DDJ458778 DNF458777:DNF458778 DXB458777:DXB458778 EGX458777:EGX458778 EQT458777:EQT458778 FAP458777:FAP458778 FKL458777:FKL458778 FUH458777:FUH458778 GED458777:GED458778 GNZ458777:GNZ458778 GXV458777:GXV458778 HHR458777:HHR458778 HRN458777:HRN458778 IBJ458777:IBJ458778 ILF458777:ILF458778 IVB458777:IVB458778 JEX458777:JEX458778 JOT458777:JOT458778 JYP458777:JYP458778 KIL458777:KIL458778 KSH458777:KSH458778 LCD458777:LCD458778 LLZ458777:LLZ458778 LVV458777:LVV458778 MFR458777:MFR458778 MPN458777:MPN458778 MZJ458777:MZJ458778 NJF458777:NJF458778 NTB458777:NTB458778 OCX458777:OCX458778 OMT458777:OMT458778 OWP458777:OWP458778 PGL458777:PGL458778 PQH458777:PQH458778 QAD458777:QAD458778 QJZ458777:QJZ458778 QTV458777:QTV458778 RDR458777:RDR458778 RNN458777:RNN458778 RXJ458777:RXJ458778 SHF458777:SHF458778 SRB458777:SRB458778 TAX458777:TAX458778 TKT458777:TKT458778 TUP458777:TUP458778 UEL458777:UEL458778 UOH458777:UOH458778 UYD458777:UYD458778 VHZ458777:VHZ458778 VRV458777:VRV458778 WBR458777:WBR458778 WLN458777:WLN458778 WVJ458777:WVJ458778 C524313:C524314 IX524313:IX524314 ST524313:ST524314 ACP524313:ACP524314 AML524313:AML524314 AWH524313:AWH524314 BGD524313:BGD524314 BPZ524313:BPZ524314 BZV524313:BZV524314 CJR524313:CJR524314 CTN524313:CTN524314 DDJ524313:DDJ524314 DNF524313:DNF524314 DXB524313:DXB524314 EGX524313:EGX524314 EQT524313:EQT524314 FAP524313:FAP524314 FKL524313:FKL524314 FUH524313:FUH524314 GED524313:GED524314 GNZ524313:GNZ524314 GXV524313:GXV524314 HHR524313:HHR524314 HRN524313:HRN524314 IBJ524313:IBJ524314 ILF524313:ILF524314 IVB524313:IVB524314 JEX524313:JEX524314 JOT524313:JOT524314 JYP524313:JYP524314 KIL524313:KIL524314 KSH524313:KSH524314 LCD524313:LCD524314 LLZ524313:LLZ524314 LVV524313:LVV524314 MFR524313:MFR524314 MPN524313:MPN524314 MZJ524313:MZJ524314 NJF524313:NJF524314 NTB524313:NTB524314 OCX524313:OCX524314 OMT524313:OMT524314 OWP524313:OWP524314 PGL524313:PGL524314 PQH524313:PQH524314 QAD524313:QAD524314 QJZ524313:QJZ524314 QTV524313:QTV524314 RDR524313:RDR524314 RNN524313:RNN524314 RXJ524313:RXJ524314 SHF524313:SHF524314 SRB524313:SRB524314 TAX524313:TAX524314 TKT524313:TKT524314 TUP524313:TUP524314 UEL524313:UEL524314 UOH524313:UOH524314 UYD524313:UYD524314 VHZ524313:VHZ524314 VRV524313:VRV524314 WBR524313:WBR524314 WLN524313:WLN524314 WVJ524313:WVJ524314 C589849:C589850 IX589849:IX589850 ST589849:ST589850 ACP589849:ACP589850 AML589849:AML589850 AWH589849:AWH589850 BGD589849:BGD589850 BPZ589849:BPZ589850 BZV589849:BZV589850 CJR589849:CJR589850 CTN589849:CTN589850 DDJ589849:DDJ589850 DNF589849:DNF589850 DXB589849:DXB589850 EGX589849:EGX589850 EQT589849:EQT589850 FAP589849:FAP589850 FKL589849:FKL589850 FUH589849:FUH589850 GED589849:GED589850 GNZ589849:GNZ589850 GXV589849:GXV589850 HHR589849:HHR589850 HRN589849:HRN589850 IBJ589849:IBJ589850 ILF589849:ILF589850 IVB589849:IVB589850 JEX589849:JEX589850 JOT589849:JOT589850 JYP589849:JYP589850 KIL589849:KIL589850 KSH589849:KSH589850 LCD589849:LCD589850 LLZ589849:LLZ589850 LVV589849:LVV589850 MFR589849:MFR589850 MPN589849:MPN589850 MZJ589849:MZJ589850 NJF589849:NJF589850 NTB589849:NTB589850 OCX589849:OCX589850 OMT589849:OMT589850 OWP589849:OWP589850 PGL589849:PGL589850 PQH589849:PQH589850 QAD589849:QAD589850 QJZ589849:QJZ589850 QTV589849:QTV589850 RDR589849:RDR589850 RNN589849:RNN589850 RXJ589849:RXJ589850 SHF589849:SHF589850 SRB589849:SRB589850 TAX589849:TAX589850 TKT589849:TKT589850 TUP589849:TUP589850 UEL589849:UEL589850 UOH589849:UOH589850 UYD589849:UYD589850 VHZ589849:VHZ589850 VRV589849:VRV589850 WBR589849:WBR589850 WLN589849:WLN589850 WVJ589849:WVJ589850 C655385:C655386 IX655385:IX655386 ST655385:ST655386 ACP655385:ACP655386 AML655385:AML655386 AWH655385:AWH655386 BGD655385:BGD655386 BPZ655385:BPZ655386 BZV655385:BZV655386 CJR655385:CJR655386 CTN655385:CTN655386 DDJ655385:DDJ655386 DNF655385:DNF655386 DXB655385:DXB655386 EGX655385:EGX655386 EQT655385:EQT655386 FAP655385:FAP655386 FKL655385:FKL655386 FUH655385:FUH655386 GED655385:GED655386 GNZ655385:GNZ655386 GXV655385:GXV655386 HHR655385:HHR655386 HRN655385:HRN655386 IBJ655385:IBJ655386 ILF655385:ILF655386 IVB655385:IVB655386 JEX655385:JEX655386 JOT655385:JOT655386 JYP655385:JYP655386 KIL655385:KIL655386 KSH655385:KSH655386 LCD655385:LCD655386 LLZ655385:LLZ655386 LVV655385:LVV655386 MFR655385:MFR655386 MPN655385:MPN655386 MZJ655385:MZJ655386 NJF655385:NJF655386 NTB655385:NTB655386 OCX655385:OCX655386 OMT655385:OMT655386 OWP655385:OWP655386 PGL655385:PGL655386 PQH655385:PQH655386 QAD655385:QAD655386 QJZ655385:QJZ655386 QTV655385:QTV655386 RDR655385:RDR655386 RNN655385:RNN655386 RXJ655385:RXJ655386 SHF655385:SHF655386 SRB655385:SRB655386 TAX655385:TAX655386 TKT655385:TKT655386 TUP655385:TUP655386 UEL655385:UEL655386 UOH655385:UOH655386 UYD655385:UYD655386 VHZ655385:VHZ655386 VRV655385:VRV655386 WBR655385:WBR655386 WLN655385:WLN655386 WVJ655385:WVJ655386 C720921:C720922 IX720921:IX720922 ST720921:ST720922 ACP720921:ACP720922 AML720921:AML720922 AWH720921:AWH720922 BGD720921:BGD720922 BPZ720921:BPZ720922 BZV720921:BZV720922 CJR720921:CJR720922 CTN720921:CTN720922 DDJ720921:DDJ720922 DNF720921:DNF720922 DXB720921:DXB720922 EGX720921:EGX720922 EQT720921:EQT720922 FAP720921:FAP720922 FKL720921:FKL720922 FUH720921:FUH720922 GED720921:GED720922 GNZ720921:GNZ720922 GXV720921:GXV720922 HHR720921:HHR720922 HRN720921:HRN720922 IBJ720921:IBJ720922 ILF720921:ILF720922 IVB720921:IVB720922 JEX720921:JEX720922 JOT720921:JOT720922 JYP720921:JYP720922 KIL720921:KIL720922 KSH720921:KSH720922 LCD720921:LCD720922 LLZ720921:LLZ720922 LVV720921:LVV720922 MFR720921:MFR720922 MPN720921:MPN720922 MZJ720921:MZJ720922 NJF720921:NJF720922 NTB720921:NTB720922 OCX720921:OCX720922 OMT720921:OMT720922 OWP720921:OWP720922 PGL720921:PGL720922 PQH720921:PQH720922 QAD720921:QAD720922 QJZ720921:QJZ720922 QTV720921:QTV720922 RDR720921:RDR720922 RNN720921:RNN720922 RXJ720921:RXJ720922 SHF720921:SHF720922 SRB720921:SRB720922 TAX720921:TAX720922 TKT720921:TKT720922 TUP720921:TUP720922 UEL720921:UEL720922 UOH720921:UOH720922 UYD720921:UYD720922 VHZ720921:VHZ720922 VRV720921:VRV720922 WBR720921:WBR720922 WLN720921:WLN720922 WVJ720921:WVJ720922 C786457:C786458 IX786457:IX786458 ST786457:ST786458 ACP786457:ACP786458 AML786457:AML786458 AWH786457:AWH786458 BGD786457:BGD786458 BPZ786457:BPZ786458 BZV786457:BZV786458 CJR786457:CJR786458 CTN786457:CTN786458 DDJ786457:DDJ786458 DNF786457:DNF786458 DXB786457:DXB786458 EGX786457:EGX786458 EQT786457:EQT786458 FAP786457:FAP786458 FKL786457:FKL786458 FUH786457:FUH786458 GED786457:GED786458 GNZ786457:GNZ786458 GXV786457:GXV786458 HHR786457:HHR786458 HRN786457:HRN786458 IBJ786457:IBJ786458 ILF786457:ILF786458 IVB786457:IVB786458 JEX786457:JEX786458 JOT786457:JOT786458 JYP786457:JYP786458 KIL786457:KIL786458 KSH786457:KSH786458 LCD786457:LCD786458 LLZ786457:LLZ786458 LVV786457:LVV786458 MFR786457:MFR786458 MPN786457:MPN786458 MZJ786457:MZJ786458 NJF786457:NJF786458 NTB786457:NTB786458 OCX786457:OCX786458 OMT786457:OMT786458 OWP786457:OWP786458 PGL786457:PGL786458 PQH786457:PQH786458 QAD786457:QAD786458 QJZ786457:QJZ786458 QTV786457:QTV786458 RDR786457:RDR786458 RNN786457:RNN786458 RXJ786457:RXJ786458 SHF786457:SHF786458 SRB786457:SRB786458 TAX786457:TAX786458 TKT786457:TKT786458 TUP786457:TUP786458 UEL786457:UEL786458 UOH786457:UOH786458 UYD786457:UYD786458 VHZ786457:VHZ786458 VRV786457:VRV786458 WBR786457:WBR786458 WLN786457:WLN786458 WVJ786457:WVJ786458 C851993:C851994 IX851993:IX851994 ST851993:ST851994 ACP851993:ACP851994 AML851993:AML851994 AWH851993:AWH851994 BGD851993:BGD851994 BPZ851993:BPZ851994 BZV851993:BZV851994 CJR851993:CJR851994 CTN851993:CTN851994 DDJ851993:DDJ851994 DNF851993:DNF851994 DXB851993:DXB851994 EGX851993:EGX851994 EQT851993:EQT851994 FAP851993:FAP851994 FKL851993:FKL851994 FUH851993:FUH851994 GED851993:GED851994 GNZ851993:GNZ851994 GXV851993:GXV851994 HHR851993:HHR851994 HRN851993:HRN851994 IBJ851993:IBJ851994 ILF851993:ILF851994 IVB851993:IVB851994 JEX851993:JEX851994 JOT851993:JOT851994 JYP851993:JYP851994 KIL851993:KIL851994 KSH851993:KSH851994 LCD851993:LCD851994 LLZ851993:LLZ851994 LVV851993:LVV851994 MFR851993:MFR851994 MPN851993:MPN851994 MZJ851993:MZJ851994 NJF851993:NJF851994 NTB851993:NTB851994 OCX851993:OCX851994 OMT851993:OMT851994 OWP851993:OWP851994 PGL851993:PGL851994 PQH851993:PQH851994 QAD851993:QAD851994 QJZ851993:QJZ851994 QTV851993:QTV851994 RDR851993:RDR851994 RNN851993:RNN851994 RXJ851993:RXJ851994 SHF851993:SHF851994 SRB851993:SRB851994 TAX851993:TAX851994 TKT851993:TKT851994 TUP851993:TUP851994 UEL851993:UEL851994 UOH851993:UOH851994 UYD851993:UYD851994 VHZ851993:VHZ851994 VRV851993:VRV851994 WBR851993:WBR851994 WLN851993:WLN851994 WVJ851993:WVJ851994 C917529:C917530 IX917529:IX917530 ST917529:ST917530 ACP917529:ACP917530 AML917529:AML917530 AWH917529:AWH917530 BGD917529:BGD917530 BPZ917529:BPZ917530 BZV917529:BZV917530 CJR917529:CJR917530 CTN917529:CTN917530 DDJ917529:DDJ917530 DNF917529:DNF917530 DXB917529:DXB917530 EGX917529:EGX917530 EQT917529:EQT917530 FAP917529:FAP917530 FKL917529:FKL917530 FUH917529:FUH917530 GED917529:GED917530 GNZ917529:GNZ917530 GXV917529:GXV917530 HHR917529:HHR917530 HRN917529:HRN917530 IBJ917529:IBJ917530 ILF917529:ILF917530 IVB917529:IVB917530 JEX917529:JEX917530 JOT917529:JOT917530 JYP917529:JYP917530 KIL917529:KIL917530 KSH917529:KSH917530 LCD917529:LCD917530 LLZ917529:LLZ917530 LVV917529:LVV917530 MFR917529:MFR917530 MPN917529:MPN917530 MZJ917529:MZJ917530 NJF917529:NJF917530 NTB917529:NTB917530 OCX917529:OCX917530 OMT917529:OMT917530 OWP917529:OWP917530 PGL917529:PGL917530 PQH917529:PQH917530 QAD917529:QAD917530 QJZ917529:QJZ917530 QTV917529:QTV917530 RDR917529:RDR917530 RNN917529:RNN917530 RXJ917529:RXJ917530 SHF917529:SHF917530 SRB917529:SRB917530 TAX917529:TAX917530 TKT917529:TKT917530 TUP917529:TUP917530 UEL917529:UEL917530 UOH917529:UOH917530 UYD917529:UYD917530 VHZ917529:VHZ917530 VRV917529:VRV917530 WBR917529:WBR917530 WLN917529:WLN917530 WVJ917529:WVJ917530 C983065:C983066 IX983065:IX983066 ST983065:ST983066 ACP983065:ACP983066 AML983065:AML983066 AWH983065:AWH983066 BGD983065:BGD983066 BPZ983065:BPZ983066 BZV983065:BZV983066 CJR983065:CJR983066 CTN983065:CTN983066 DDJ983065:DDJ983066 DNF983065:DNF983066 DXB983065:DXB983066 EGX983065:EGX983066 EQT983065:EQT983066 FAP983065:FAP983066 FKL983065:FKL983066 FUH983065:FUH983066 GED983065:GED983066 GNZ983065:GNZ983066 GXV983065:GXV983066 HHR983065:HHR983066 HRN983065:HRN983066 IBJ983065:IBJ983066 ILF983065:ILF983066 IVB983065:IVB983066 JEX983065:JEX983066 JOT983065:JOT983066 JYP983065:JYP983066 KIL983065:KIL983066 KSH983065:KSH983066 LCD983065:LCD983066 LLZ983065:LLZ983066 LVV983065:LVV983066 MFR983065:MFR983066 MPN983065:MPN983066 MZJ983065:MZJ983066 NJF983065:NJF983066 NTB983065:NTB983066 OCX983065:OCX983066 OMT983065:OMT983066 OWP983065:OWP983066 PGL983065:PGL983066 PQH983065:PQH983066 QAD983065:QAD983066 QJZ983065:QJZ983066 QTV983065:QTV983066 RDR983065:RDR983066 RNN983065:RNN983066 RXJ983065:RXJ983066 SHF983065:SHF983066 SRB983065:SRB983066 TAX983065:TAX983066 TKT983065:TKT983066 TUP983065:TUP983066 UEL983065:UEL983066 UOH983065:UOH983066 UYD983065:UYD983066 VHZ983065:VHZ983066 VRV983065:VRV983066 WBR983065:WBR983066 WLN983065:WLN983066" xr:uid="{00000000-0002-0000-0200-000003000000}"/>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WVJ983063 IX8 ST8 ACP8 AML8 AWH8 BGD8 BPZ8 BZV8 CJR8 CTN8 DDJ8 DNF8 DXB8 EGX8 EQT8 FAP8 FKL8 FUH8 GED8 GNZ8 GXV8 HHR8 HRN8 IBJ8 ILF8 IVB8 JEX8 JOT8 JYP8 KIL8 KSH8 LCD8 LLZ8 LVV8 MFR8 MPN8 MZJ8 NJF8 NTB8 OCX8 OMT8 OWP8 PGL8 PQH8 QAD8 QJZ8 QTV8 RDR8 RNN8 RXJ8 SHF8 SRB8 TAX8 TKT8 TUP8 UEL8 UOH8 UYD8 VHZ8 VRV8 WBR8 WLN8 WVJ8 C65559 IX65559 ST65559 ACP65559 AML65559 AWH65559 BGD65559 BPZ65559 BZV65559 CJR65559 CTN65559 DDJ65559 DNF65559 DXB65559 EGX65559 EQT65559 FAP65559 FKL65559 FUH65559 GED65559 GNZ65559 GXV65559 HHR65559 HRN65559 IBJ65559 ILF65559 IVB65559 JEX65559 JOT65559 JYP65559 KIL65559 KSH65559 LCD65559 LLZ65559 LVV65559 MFR65559 MPN65559 MZJ65559 NJF65559 NTB65559 OCX65559 OMT65559 OWP65559 PGL65559 PQH65559 QAD65559 QJZ65559 QTV65559 RDR65559 RNN65559 RXJ65559 SHF65559 SRB65559 TAX65559 TKT65559 TUP65559 UEL65559 UOH65559 UYD65559 VHZ65559 VRV65559 WBR65559 WLN65559 WVJ65559 C131095 IX131095 ST131095 ACP131095 AML131095 AWH131095 BGD131095 BPZ131095 BZV131095 CJR131095 CTN131095 DDJ131095 DNF131095 DXB131095 EGX131095 EQT131095 FAP131095 FKL131095 FUH131095 GED131095 GNZ131095 GXV131095 HHR131095 HRN131095 IBJ131095 ILF131095 IVB131095 JEX131095 JOT131095 JYP131095 KIL131095 KSH131095 LCD131095 LLZ131095 LVV131095 MFR131095 MPN131095 MZJ131095 NJF131095 NTB131095 OCX131095 OMT131095 OWP131095 PGL131095 PQH131095 QAD131095 QJZ131095 QTV131095 RDR131095 RNN131095 RXJ131095 SHF131095 SRB131095 TAX131095 TKT131095 TUP131095 UEL131095 UOH131095 UYD131095 VHZ131095 VRV131095 WBR131095 WLN131095 WVJ131095 C196631 IX196631 ST196631 ACP196631 AML196631 AWH196631 BGD196631 BPZ196631 BZV196631 CJR196631 CTN196631 DDJ196631 DNF196631 DXB196631 EGX196631 EQT196631 FAP196631 FKL196631 FUH196631 GED196631 GNZ196631 GXV196631 HHR196631 HRN196631 IBJ196631 ILF196631 IVB196631 JEX196631 JOT196631 JYP196631 KIL196631 KSH196631 LCD196631 LLZ196631 LVV196631 MFR196631 MPN196631 MZJ196631 NJF196631 NTB196631 OCX196631 OMT196631 OWP196631 PGL196631 PQH196631 QAD196631 QJZ196631 QTV196631 RDR196631 RNN196631 RXJ196631 SHF196631 SRB196631 TAX196631 TKT196631 TUP196631 UEL196631 UOH196631 UYD196631 VHZ196631 VRV196631 WBR196631 WLN196631 WVJ196631 C262167 IX262167 ST262167 ACP262167 AML262167 AWH262167 BGD262167 BPZ262167 BZV262167 CJR262167 CTN262167 DDJ262167 DNF262167 DXB262167 EGX262167 EQT262167 FAP262167 FKL262167 FUH262167 GED262167 GNZ262167 GXV262167 HHR262167 HRN262167 IBJ262167 ILF262167 IVB262167 JEX262167 JOT262167 JYP262167 KIL262167 KSH262167 LCD262167 LLZ262167 LVV262167 MFR262167 MPN262167 MZJ262167 NJF262167 NTB262167 OCX262167 OMT262167 OWP262167 PGL262167 PQH262167 QAD262167 QJZ262167 QTV262167 RDR262167 RNN262167 RXJ262167 SHF262167 SRB262167 TAX262167 TKT262167 TUP262167 UEL262167 UOH262167 UYD262167 VHZ262167 VRV262167 WBR262167 WLN262167 WVJ262167 C327703 IX327703 ST327703 ACP327703 AML327703 AWH327703 BGD327703 BPZ327703 BZV327703 CJR327703 CTN327703 DDJ327703 DNF327703 DXB327703 EGX327703 EQT327703 FAP327703 FKL327703 FUH327703 GED327703 GNZ327703 GXV327703 HHR327703 HRN327703 IBJ327703 ILF327703 IVB327703 JEX327703 JOT327703 JYP327703 KIL327703 KSH327703 LCD327703 LLZ327703 LVV327703 MFR327703 MPN327703 MZJ327703 NJF327703 NTB327703 OCX327703 OMT327703 OWP327703 PGL327703 PQH327703 QAD327703 QJZ327703 QTV327703 RDR327703 RNN327703 RXJ327703 SHF327703 SRB327703 TAX327703 TKT327703 TUP327703 UEL327703 UOH327703 UYD327703 VHZ327703 VRV327703 WBR327703 WLN327703 WVJ327703 C393239 IX393239 ST393239 ACP393239 AML393239 AWH393239 BGD393239 BPZ393239 BZV393239 CJR393239 CTN393239 DDJ393239 DNF393239 DXB393239 EGX393239 EQT393239 FAP393239 FKL393239 FUH393239 GED393239 GNZ393239 GXV393239 HHR393239 HRN393239 IBJ393239 ILF393239 IVB393239 JEX393239 JOT393239 JYP393239 KIL393239 KSH393239 LCD393239 LLZ393239 LVV393239 MFR393239 MPN393239 MZJ393239 NJF393239 NTB393239 OCX393239 OMT393239 OWP393239 PGL393239 PQH393239 QAD393239 QJZ393239 QTV393239 RDR393239 RNN393239 RXJ393239 SHF393239 SRB393239 TAX393239 TKT393239 TUP393239 UEL393239 UOH393239 UYD393239 VHZ393239 VRV393239 WBR393239 WLN393239 WVJ393239 C458775 IX458775 ST458775 ACP458775 AML458775 AWH458775 BGD458775 BPZ458775 BZV458775 CJR458775 CTN458775 DDJ458775 DNF458775 DXB458775 EGX458775 EQT458775 FAP458775 FKL458775 FUH458775 GED458775 GNZ458775 GXV458775 HHR458775 HRN458775 IBJ458775 ILF458775 IVB458775 JEX458775 JOT458775 JYP458775 KIL458775 KSH458775 LCD458775 LLZ458775 LVV458775 MFR458775 MPN458775 MZJ458775 NJF458775 NTB458775 OCX458775 OMT458775 OWP458775 PGL458775 PQH458775 QAD458775 QJZ458775 QTV458775 RDR458775 RNN458775 RXJ458775 SHF458775 SRB458775 TAX458775 TKT458775 TUP458775 UEL458775 UOH458775 UYD458775 VHZ458775 VRV458775 WBR458775 WLN458775 WVJ458775 C524311 IX524311 ST524311 ACP524311 AML524311 AWH524311 BGD524311 BPZ524311 BZV524311 CJR524311 CTN524311 DDJ524311 DNF524311 DXB524311 EGX524311 EQT524311 FAP524311 FKL524311 FUH524311 GED524311 GNZ524311 GXV524311 HHR524311 HRN524311 IBJ524311 ILF524311 IVB524311 JEX524311 JOT524311 JYP524311 KIL524311 KSH524311 LCD524311 LLZ524311 LVV524311 MFR524311 MPN524311 MZJ524311 NJF524311 NTB524311 OCX524311 OMT524311 OWP524311 PGL524311 PQH524311 QAD524311 QJZ524311 QTV524311 RDR524311 RNN524311 RXJ524311 SHF524311 SRB524311 TAX524311 TKT524311 TUP524311 UEL524311 UOH524311 UYD524311 VHZ524311 VRV524311 WBR524311 WLN524311 WVJ524311 C589847 IX589847 ST589847 ACP589847 AML589847 AWH589847 BGD589847 BPZ589847 BZV589847 CJR589847 CTN589847 DDJ589847 DNF589847 DXB589847 EGX589847 EQT589847 FAP589847 FKL589847 FUH589847 GED589847 GNZ589847 GXV589847 HHR589847 HRN589847 IBJ589847 ILF589847 IVB589847 JEX589847 JOT589847 JYP589847 KIL589847 KSH589847 LCD589847 LLZ589847 LVV589847 MFR589847 MPN589847 MZJ589847 NJF589847 NTB589847 OCX589847 OMT589847 OWP589847 PGL589847 PQH589847 QAD589847 QJZ589847 QTV589847 RDR589847 RNN589847 RXJ589847 SHF589847 SRB589847 TAX589847 TKT589847 TUP589847 UEL589847 UOH589847 UYD589847 VHZ589847 VRV589847 WBR589847 WLN589847 WVJ589847 C655383 IX655383 ST655383 ACP655383 AML655383 AWH655383 BGD655383 BPZ655383 BZV655383 CJR655383 CTN655383 DDJ655383 DNF655383 DXB655383 EGX655383 EQT655383 FAP655383 FKL655383 FUH655383 GED655383 GNZ655383 GXV655383 HHR655383 HRN655383 IBJ655383 ILF655383 IVB655383 JEX655383 JOT655383 JYP655383 KIL655383 KSH655383 LCD655383 LLZ655383 LVV655383 MFR655383 MPN655383 MZJ655383 NJF655383 NTB655383 OCX655383 OMT655383 OWP655383 PGL655383 PQH655383 QAD655383 QJZ655383 QTV655383 RDR655383 RNN655383 RXJ655383 SHF655383 SRB655383 TAX655383 TKT655383 TUP655383 UEL655383 UOH655383 UYD655383 VHZ655383 VRV655383 WBR655383 WLN655383 WVJ655383 C720919 IX720919 ST720919 ACP720919 AML720919 AWH720919 BGD720919 BPZ720919 BZV720919 CJR720919 CTN720919 DDJ720919 DNF720919 DXB720919 EGX720919 EQT720919 FAP720919 FKL720919 FUH720919 GED720919 GNZ720919 GXV720919 HHR720919 HRN720919 IBJ720919 ILF720919 IVB720919 JEX720919 JOT720919 JYP720919 KIL720919 KSH720919 LCD720919 LLZ720919 LVV720919 MFR720919 MPN720919 MZJ720919 NJF720919 NTB720919 OCX720919 OMT720919 OWP720919 PGL720919 PQH720919 QAD720919 QJZ720919 QTV720919 RDR720919 RNN720919 RXJ720919 SHF720919 SRB720919 TAX720919 TKT720919 TUP720919 UEL720919 UOH720919 UYD720919 VHZ720919 VRV720919 WBR720919 WLN720919 WVJ720919 C786455 IX786455 ST786455 ACP786455 AML786455 AWH786455 BGD786455 BPZ786455 BZV786455 CJR786455 CTN786455 DDJ786455 DNF786455 DXB786455 EGX786455 EQT786455 FAP786455 FKL786455 FUH786455 GED786455 GNZ786455 GXV786455 HHR786455 HRN786455 IBJ786455 ILF786455 IVB786455 JEX786455 JOT786455 JYP786455 KIL786455 KSH786455 LCD786455 LLZ786455 LVV786455 MFR786455 MPN786455 MZJ786455 NJF786455 NTB786455 OCX786455 OMT786455 OWP786455 PGL786455 PQH786455 QAD786455 QJZ786455 QTV786455 RDR786455 RNN786455 RXJ786455 SHF786455 SRB786455 TAX786455 TKT786455 TUP786455 UEL786455 UOH786455 UYD786455 VHZ786455 VRV786455 WBR786455 WLN786455 WVJ786455 C851991 IX851991 ST851991 ACP851991 AML851991 AWH851991 BGD851991 BPZ851991 BZV851991 CJR851991 CTN851991 DDJ851991 DNF851991 DXB851991 EGX851991 EQT851991 FAP851991 FKL851991 FUH851991 GED851991 GNZ851991 GXV851991 HHR851991 HRN851991 IBJ851991 ILF851991 IVB851991 JEX851991 JOT851991 JYP851991 KIL851991 KSH851991 LCD851991 LLZ851991 LVV851991 MFR851991 MPN851991 MZJ851991 NJF851991 NTB851991 OCX851991 OMT851991 OWP851991 PGL851991 PQH851991 QAD851991 QJZ851991 QTV851991 RDR851991 RNN851991 RXJ851991 SHF851991 SRB851991 TAX851991 TKT851991 TUP851991 UEL851991 UOH851991 UYD851991 VHZ851991 VRV851991 WBR851991 WLN851991 WVJ851991 C917527 IX917527 ST917527 ACP917527 AML917527 AWH917527 BGD917527 BPZ917527 BZV917527 CJR917527 CTN917527 DDJ917527 DNF917527 DXB917527 EGX917527 EQT917527 FAP917527 FKL917527 FUH917527 GED917527 GNZ917527 GXV917527 HHR917527 HRN917527 IBJ917527 ILF917527 IVB917527 JEX917527 JOT917527 JYP917527 KIL917527 KSH917527 LCD917527 LLZ917527 LVV917527 MFR917527 MPN917527 MZJ917527 NJF917527 NTB917527 OCX917527 OMT917527 OWP917527 PGL917527 PQH917527 QAD917527 QJZ917527 QTV917527 RDR917527 RNN917527 RXJ917527 SHF917527 SRB917527 TAX917527 TKT917527 TUP917527 UEL917527 UOH917527 UYD917527 VHZ917527 VRV917527 WBR917527 WLN917527 WVJ917527 C983063 IX983063 ST983063 ACP983063 AML983063 AWH983063 BGD983063 BPZ983063 BZV983063 CJR983063 CTN983063 DDJ983063 DNF983063 DXB983063 EGX983063 EQT983063 FAP983063 FKL983063 FUH983063 GED983063 GNZ983063 GXV983063 HHR983063 HRN983063 IBJ983063 ILF983063 IVB983063 JEX983063 JOT983063 JYP983063 KIL983063 KSH983063 LCD983063 LLZ983063 LVV983063 MFR983063 MPN983063 MZJ983063 NJF983063 NTB983063 OCX983063 OMT983063 OWP983063 PGL983063 PQH983063 QAD983063 QJZ983063 QTV983063 RDR983063 RNN983063 RXJ983063 SHF983063 SRB983063 TAX983063 TKT983063 TUP983063 UEL983063 UOH983063 UYD983063 VHZ983063 VRV983063 WBR983063 WLN983063 C8:C11" xr:uid="{00000000-0002-0000-0200-000004000000}"/>
    <dataValidation allowBlank="1" showInputMessage="1" showErrorMessage="1" prompt="Diligencie si es mensual, bimestral, trimestral o semestral." sqref="F65566:H65566 JA65566:JC65566 SW65566:SY65566 ACS65566:ACU65566 AMO65566:AMQ65566 AWK65566:AWM65566 BGG65566:BGI65566 BQC65566:BQE65566 BZY65566:CAA65566 CJU65566:CJW65566 CTQ65566:CTS65566 DDM65566:DDO65566 DNI65566:DNK65566 DXE65566:DXG65566 EHA65566:EHC65566 EQW65566:EQY65566 FAS65566:FAU65566 FKO65566:FKQ65566 FUK65566:FUM65566 GEG65566:GEI65566 GOC65566:GOE65566 GXY65566:GYA65566 HHU65566:HHW65566 HRQ65566:HRS65566 IBM65566:IBO65566 ILI65566:ILK65566 IVE65566:IVG65566 JFA65566:JFC65566 JOW65566:JOY65566 JYS65566:JYU65566 KIO65566:KIQ65566 KSK65566:KSM65566 LCG65566:LCI65566 LMC65566:LME65566 LVY65566:LWA65566 MFU65566:MFW65566 MPQ65566:MPS65566 MZM65566:MZO65566 NJI65566:NJK65566 NTE65566:NTG65566 ODA65566:ODC65566 OMW65566:OMY65566 OWS65566:OWU65566 PGO65566:PGQ65566 PQK65566:PQM65566 QAG65566:QAI65566 QKC65566:QKE65566 QTY65566:QUA65566 RDU65566:RDW65566 RNQ65566:RNS65566 RXM65566:RXO65566 SHI65566:SHK65566 SRE65566:SRG65566 TBA65566:TBC65566 TKW65566:TKY65566 TUS65566:TUU65566 UEO65566:UEQ65566 UOK65566:UOM65566 UYG65566:UYI65566 VIC65566:VIE65566 VRY65566:VSA65566 WBU65566:WBW65566 WLQ65566:WLS65566 WVM65566:WVO65566 F131102:H131102 JA131102:JC131102 SW131102:SY131102 ACS131102:ACU131102 AMO131102:AMQ131102 AWK131102:AWM131102 BGG131102:BGI131102 BQC131102:BQE131102 BZY131102:CAA131102 CJU131102:CJW131102 CTQ131102:CTS131102 DDM131102:DDO131102 DNI131102:DNK131102 DXE131102:DXG131102 EHA131102:EHC131102 EQW131102:EQY131102 FAS131102:FAU131102 FKO131102:FKQ131102 FUK131102:FUM131102 GEG131102:GEI131102 GOC131102:GOE131102 GXY131102:GYA131102 HHU131102:HHW131102 HRQ131102:HRS131102 IBM131102:IBO131102 ILI131102:ILK131102 IVE131102:IVG131102 JFA131102:JFC131102 JOW131102:JOY131102 JYS131102:JYU131102 KIO131102:KIQ131102 KSK131102:KSM131102 LCG131102:LCI131102 LMC131102:LME131102 LVY131102:LWA131102 MFU131102:MFW131102 MPQ131102:MPS131102 MZM131102:MZO131102 NJI131102:NJK131102 NTE131102:NTG131102 ODA131102:ODC131102 OMW131102:OMY131102 OWS131102:OWU131102 PGO131102:PGQ131102 PQK131102:PQM131102 QAG131102:QAI131102 QKC131102:QKE131102 QTY131102:QUA131102 RDU131102:RDW131102 RNQ131102:RNS131102 RXM131102:RXO131102 SHI131102:SHK131102 SRE131102:SRG131102 TBA131102:TBC131102 TKW131102:TKY131102 TUS131102:TUU131102 UEO131102:UEQ131102 UOK131102:UOM131102 UYG131102:UYI131102 VIC131102:VIE131102 VRY131102:VSA131102 WBU131102:WBW131102 WLQ131102:WLS131102 WVM131102:WVO131102 F196638:H196638 JA196638:JC196638 SW196638:SY196638 ACS196638:ACU196638 AMO196638:AMQ196638 AWK196638:AWM196638 BGG196638:BGI196638 BQC196638:BQE196638 BZY196638:CAA196638 CJU196638:CJW196638 CTQ196638:CTS196638 DDM196638:DDO196638 DNI196638:DNK196638 DXE196638:DXG196638 EHA196638:EHC196638 EQW196638:EQY196638 FAS196638:FAU196638 FKO196638:FKQ196638 FUK196638:FUM196638 GEG196638:GEI196638 GOC196638:GOE196638 GXY196638:GYA196638 HHU196638:HHW196638 HRQ196638:HRS196638 IBM196638:IBO196638 ILI196638:ILK196638 IVE196638:IVG196638 JFA196638:JFC196638 JOW196638:JOY196638 JYS196638:JYU196638 KIO196638:KIQ196638 KSK196638:KSM196638 LCG196638:LCI196638 LMC196638:LME196638 LVY196638:LWA196638 MFU196638:MFW196638 MPQ196638:MPS196638 MZM196638:MZO196638 NJI196638:NJK196638 NTE196638:NTG196638 ODA196638:ODC196638 OMW196638:OMY196638 OWS196638:OWU196638 PGO196638:PGQ196638 PQK196638:PQM196638 QAG196638:QAI196638 QKC196638:QKE196638 QTY196638:QUA196638 RDU196638:RDW196638 RNQ196638:RNS196638 RXM196638:RXO196638 SHI196638:SHK196638 SRE196638:SRG196638 TBA196638:TBC196638 TKW196638:TKY196638 TUS196638:TUU196638 UEO196638:UEQ196638 UOK196638:UOM196638 UYG196638:UYI196638 VIC196638:VIE196638 VRY196638:VSA196638 WBU196638:WBW196638 WLQ196638:WLS196638 WVM196638:WVO196638 F262174:H262174 JA262174:JC262174 SW262174:SY262174 ACS262174:ACU262174 AMO262174:AMQ262174 AWK262174:AWM262174 BGG262174:BGI262174 BQC262174:BQE262174 BZY262174:CAA262174 CJU262174:CJW262174 CTQ262174:CTS262174 DDM262174:DDO262174 DNI262174:DNK262174 DXE262174:DXG262174 EHA262174:EHC262174 EQW262174:EQY262174 FAS262174:FAU262174 FKO262174:FKQ262174 FUK262174:FUM262174 GEG262174:GEI262174 GOC262174:GOE262174 GXY262174:GYA262174 HHU262174:HHW262174 HRQ262174:HRS262174 IBM262174:IBO262174 ILI262174:ILK262174 IVE262174:IVG262174 JFA262174:JFC262174 JOW262174:JOY262174 JYS262174:JYU262174 KIO262174:KIQ262174 KSK262174:KSM262174 LCG262174:LCI262174 LMC262174:LME262174 LVY262174:LWA262174 MFU262174:MFW262174 MPQ262174:MPS262174 MZM262174:MZO262174 NJI262174:NJK262174 NTE262174:NTG262174 ODA262174:ODC262174 OMW262174:OMY262174 OWS262174:OWU262174 PGO262174:PGQ262174 PQK262174:PQM262174 QAG262174:QAI262174 QKC262174:QKE262174 QTY262174:QUA262174 RDU262174:RDW262174 RNQ262174:RNS262174 RXM262174:RXO262174 SHI262174:SHK262174 SRE262174:SRG262174 TBA262174:TBC262174 TKW262174:TKY262174 TUS262174:TUU262174 UEO262174:UEQ262174 UOK262174:UOM262174 UYG262174:UYI262174 VIC262174:VIE262174 VRY262174:VSA262174 WBU262174:WBW262174 WLQ262174:WLS262174 WVM262174:WVO262174 F327710:H327710 JA327710:JC327710 SW327710:SY327710 ACS327710:ACU327710 AMO327710:AMQ327710 AWK327710:AWM327710 BGG327710:BGI327710 BQC327710:BQE327710 BZY327710:CAA327710 CJU327710:CJW327710 CTQ327710:CTS327710 DDM327710:DDO327710 DNI327710:DNK327710 DXE327710:DXG327710 EHA327710:EHC327710 EQW327710:EQY327710 FAS327710:FAU327710 FKO327710:FKQ327710 FUK327710:FUM327710 GEG327710:GEI327710 GOC327710:GOE327710 GXY327710:GYA327710 HHU327710:HHW327710 HRQ327710:HRS327710 IBM327710:IBO327710 ILI327710:ILK327710 IVE327710:IVG327710 JFA327710:JFC327710 JOW327710:JOY327710 JYS327710:JYU327710 KIO327710:KIQ327710 KSK327710:KSM327710 LCG327710:LCI327710 LMC327710:LME327710 LVY327710:LWA327710 MFU327710:MFW327710 MPQ327710:MPS327710 MZM327710:MZO327710 NJI327710:NJK327710 NTE327710:NTG327710 ODA327710:ODC327710 OMW327710:OMY327710 OWS327710:OWU327710 PGO327710:PGQ327710 PQK327710:PQM327710 QAG327710:QAI327710 QKC327710:QKE327710 QTY327710:QUA327710 RDU327710:RDW327710 RNQ327710:RNS327710 RXM327710:RXO327710 SHI327710:SHK327710 SRE327710:SRG327710 TBA327710:TBC327710 TKW327710:TKY327710 TUS327710:TUU327710 UEO327710:UEQ327710 UOK327710:UOM327710 UYG327710:UYI327710 VIC327710:VIE327710 VRY327710:VSA327710 WBU327710:WBW327710 WLQ327710:WLS327710 WVM327710:WVO327710 F393246:H393246 JA393246:JC393246 SW393246:SY393246 ACS393246:ACU393246 AMO393246:AMQ393246 AWK393246:AWM393246 BGG393246:BGI393246 BQC393246:BQE393246 BZY393246:CAA393246 CJU393246:CJW393246 CTQ393246:CTS393246 DDM393246:DDO393246 DNI393246:DNK393246 DXE393246:DXG393246 EHA393246:EHC393246 EQW393246:EQY393246 FAS393246:FAU393246 FKO393246:FKQ393246 FUK393246:FUM393246 GEG393246:GEI393246 GOC393246:GOE393246 GXY393246:GYA393246 HHU393246:HHW393246 HRQ393246:HRS393246 IBM393246:IBO393246 ILI393246:ILK393246 IVE393246:IVG393246 JFA393246:JFC393246 JOW393246:JOY393246 JYS393246:JYU393246 KIO393246:KIQ393246 KSK393246:KSM393246 LCG393246:LCI393246 LMC393246:LME393246 LVY393246:LWA393246 MFU393246:MFW393246 MPQ393246:MPS393246 MZM393246:MZO393246 NJI393246:NJK393246 NTE393246:NTG393246 ODA393246:ODC393246 OMW393246:OMY393246 OWS393246:OWU393246 PGO393246:PGQ393246 PQK393246:PQM393246 QAG393246:QAI393246 QKC393246:QKE393246 QTY393246:QUA393246 RDU393246:RDW393246 RNQ393246:RNS393246 RXM393246:RXO393246 SHI393246:SHK393246 SRE393246:SRG393246 TBA393246:TBC393246 TKW393246:TKY393246 TUS393246:TUU393246 UEO393246:UEQ393246 UOK393246:UOM393246 UYG393246:UYI393246 VIC393246:VIE393246 VRY393246:VSA393246 WBU393246:WBW393246 WLQ393246:WLS393246 WVM393246:WVO393246 F458782:H458782 JA458782:JC458782 SW458782:SY458782 ACS458782:ACU458782 AMO458782:AMQ458782 AWK458782:AWM458782 BGG458782:BGI458782 BQC458782:BQE458782 BZY458782:CAA458782 CJU458782:CJW458782 CTQ458782:CTS458782 DDM458782:DDO458782 DNI458782:DNK458782 DXE458782:DXG458782 EHA458782:EHC458782 EQW458782:EQY458782 FAS458782:FAU458782 FKO458782:FKQ458782 FUK458782:FUM458782 GEG458782:GEI458782 GOC458782:GOE458782 GXY458782:GYA458782 HHU458782:HHW458782 HRQ458782:HRS458782 IBM458782:IBO458782 ILI458782:ILK458782 IVE458782:IVG458782 JFA458782:JFC458782 JOW458782:JOY458782 JYS458782:JYU458782 KIO458782:KIQ458782 KSK458782:KSM458782 LCG458782:LCI458782 LMC458782:LME458782 LVY458782:LWA458782 MFU458782:MFW458782 MPQ458782:MPS458782 MZM458782:MZO458782 NJI458782:NJK458782 NTE458782:NTG458782 ODA458782:ODC458782 OMW458782:OMY458782 OWS458782:OWU458782 PGO458782:PGQ458782 PQK458782:PQM458782 QAG458782:QAI458782 QKC458782:QKE458782 QTY458782:QUA458782 RDU458782:RDW458782 RNQ458782:RNS458782 RXM458782:RXO458782 SHI458782:SHK458782 SRE458782:SRG458782 TBA458782:TBC458782 TKW458782:TKY458782 TUS458782:TUU458782 UEO458782:UEQ458782 UOK458782:UOM458782 UYG458782:UYI458782 VIC458782:VIE458782 VRY458782:VSA458782 WBU458782:WBW458782 WLQ458782:WLS458782 WVM458782:WVO458782 F524318:H524318 JA524318:JC524318 SW524318:SY524318 ACS524318:ACU524318 AMO524318:AMQ524318 AWK524318:AWM524318 BGG524318:BGI524318 BQC524318:BQE524318 BZY524318:CAA524318 CJU524318:CJW524318 CTQ524318:CTS524318 DDM524318:DDO524318 DNI524318:DNK524318 DXE524318:DXG524318 EHA524318:EHC524318 EQW524318:EQY524318 FAS524318:FAU524318 FKO524318:FKQ524318 FUK524318:FUM524318 GEG524318:GEI524318 GOC524318:GOE524318 GXY524318:GYA524318 HHU524318:HHW524318 HRQ524318:HRS524318 IBM524318:IBO524318 ILI524318:ILK524318 IVE524318:IVG524318 JFA524318:JFC524318 JOW524318:JOY524318 JYS524318:JYU524318 KIO524318:KIQ524318 KSK524318:KSM524318 LCG524318:LCI524318 LMC524318:LME524318 LVY524318:LWA524318 MFU524318:MFW524318 MPQ524318:MPS524318 MZM524318:MZO524318 NJI524318:NJK524318 NTE524318:NTG524318 ODA524318:ODC524318 OMW524318:OMY524318 OWS524318:OWU524318 PGO524318:PGQ524318 PQK524318:PQM524318 QAG524318:QAI524318 QKC524318:QKE524318 QTY524318:QUA524318 RDU524318:RDW524318 RNQ524318:RNS524318 RXM524318:RXO524318 SHI524318:SHK524318 SRE524318:SRG524318 TBA524318:TBC524318 TKW524318:TKY524318 TUS524318:TUU524318 UEO524318:UEQ524318 UOK524318:UOM524318 UYG524318:UYI524318 VIC524318:VIE524318 VRY524318:VSA524318 WBU524318:WBW524318 WLQ524318:WLS524318 WVM524318:WVO524318 F589854:H589854 JA589854:JC589854 SW589854:SY589854 ACS589854:ACU589854 AMO589854:AMQ589854 AWK589854:AWM589854 BGG589854:BGI589854 BQC589854:BQE589854 BZY589854:CAA589854 CJU589854:CJW589854 CTQ589854:CTS589854 DDM589854:DDO589854 DNI589854:DNK589854 DXE589854:DXG589854 EHA589854:EHC589854 EQW589854:EQY589854 FAS589854:FAU589854 FKO589854:FKQ589854 FUK589854:FUM589854 GEG589854:GEI589854 GOC589854:GOE589854 GXY589854:GYA589854 HHU589854:HHW589854 HRQ589854:HRS589854 IBM589854:IBO589854 ILI589854:ILK589854 IVE589854:IVG589854 JFA589854:JFC589854 JOW589854:JOY589854 JYS589854:JYU589854 KIO589854:KIQ589854 KSK589854:KSM589854 LCG589854:LCI589854 LMC589854:LME589854 LVY589854:LWA589854 MFU589854:MFW589854 MPQ589854:MPS589854 MZM589854:MZO589854 NJI589854:NJK589854 NTE589854:NTG589854 ODA589854:ODC589854 OMW589854:OMY589854 OWS589854:OWU589854 PGO589854:PGQ589854 PQK589854:PQM589854 QAG589854:QAI589854 QKC589854:QKE589854 QTY589854:QUA589854 RDU589854:RDW589854 RNQ589854:RNS589854 RXM589854:RXO589854 SHI589854:SHK589854 SRE589854:SRG589854 TBA589854:TBC589854 TKW589854:TKY589854 TUS589854:TUU589854 UEO589854:UEQ589854 UOK589854:UOM589854 UYG589854:UYI589854 VIC589854:VIE589854 VRY589854:VSA589854 WBU589854:WBW589854 WLQ589854:WLS589854 WVM589854:WVO589854 F655390:H655390 JA655390:JC655390 SW655390:SY655390 ACS655390:ACU655390 AMO655390:AMQ655390 AWK655390:AWM655390 BGG655390:BGI655390 BQC655390:BQE655390 BZY655390:CAA655390 CJU655390:CJW655390 CTQ655390:CTS655390 DDM655390:DDO655390 DNI655390:DNK655390 DXE655390:DXG655390 EHA655390:EHC655390 EQW655390:EQY655390 FAS655390:FAU655390 FKO655390:FKQ655390 FUK655390:FUM655390 GEG655390:GEI655390 GOC655390:GOE655390 GXY655390:GYA655390 HHU655390:HHW655390 HRQ655390:HRS655390 IBM655390:IBO655390 ILI655390:ILK655390 IVE655390:IVG655390 JFA655390:JFC655390 JOW655390:JOY655390 JYS655390:JYU655390 KIO655390:KIQ655390 KSK655390:KSM655390 LCG655390:LCI655390 LMC655390:LME655390 LVY655390:LWA655390 MFU655390:MFW655390 MPQ655390:MPS655390 MZM655390:MZO655390 NJI655390:NJK655390 NTE655390:NTG655390 ODA655390:ODC655390 OMW655390:OMY655390 OWS655390:OWU655390 PGO655390:PGQ655390 PQK655390:PQM655390 QAG655390:QAI655390 QKC655390:QKE655390 QTY655390:QUA655390 RDU655390:RDW655390 RNQ655390:RNS655390 RXM655390:RXO655390 SHI655390:SHK655390 SRE655390:SRG655390 TBA655390:TBC655390 TKW655390:TKY655390 TUS655390:TUU655390 UEO655390:UEQ655390 UOK655390:UOM655390 UYG655390:UYI655390 VIC655390:VIE655390 VRY655390:VSA655390 WBU655390:WBW655390 WLQ655390:WLS655390 WVM655390:WVO655390 F720926:H720926 JA720926:JC720926 SW720926:SY720926 ACS720926:ACU720926 AMO720926:AMQ720926 AWK720926:AWM720926 BGG720926:BGI720926 BQC720926:BQE720926 BZY720926:CAA720926 CJU720926:CJW720926 CTQ720926:CTS720926 DDM720926:DDO720926 DNI720926:DNK720926 DXE720926:DXG720926 EHA720926:EHC720926 EQW720926:EQY720926 FAS720926:FAU720926 FKO720926:FKQ720926 FUK720926:FUM720926 GEG720926:GEI720926 GOC720926:GOE720926 GXY720926:GYA720926 HHU720926:HHW720926 HRQ720926:HRS720926 IBM720926:IBO720926 ILI720926:ILK720926 IVE720926:IVG720926 JFA720926:JFC720926 JOW720926:JOY720926 JYS720926:JYU720926 KIO720926:KIQ720926 KSK720926:KSM720926 LCG720926:LCI720926 LMC720926:LME720926 LVY720926:LWA720926 MFU720926:MFW720926 MPQ720926:MPS720926 MZM720926:MZO720926 NJI720926:NJK720926 NTE720926:NTG720926 ODA720926:ODC720926 OMW720926:OMY720926 OWS720926:OWU720926 PGO720926:PGQ720926 PQK720926:PQM720926 QAG720926:QAI720926 QKC720926:QKE720926 QTY720926:QUA720926 RDU720926:RDW720926 RNQ720926:RNS720926 RXM720926:RXO720926 SHI720926:SHK720926 SRE720926:SRG720926 TBA720926:TBC720926 TKW720926:TKY720926 TUS720926:TUU720926 UEO720926:UEQ720926 UOK720926:UOM720926 UYG720926:UYI720926 VIC720926:VIE720926 VRY720926:VSA720926 WBU720926:WBW720926 WLQ720926:WLS720926 WVM720926:WVO720926 F786462:H786462 JA786462:JC786462 SW786462:SY786462 ACS786462:ACU786462 AMO786462:AMQ786462 AWK786462:AWM786462 BGG786462:BGI786462 BQC786462:BQE786462 BZY786462:CAA786462 CJU786462:CJW786462 CTQ786462:CTS786462 DDM786462:DDO786462 DNI786462:DNK786462 DXE786462:DXG786462 EHA786462:EHC786462 EQW786462:EQY786462 FAS786462:FAU786462 FKO786462:FKQ786462 FUK786462:FUM786462 GEG786462:GEI786462 GOC786462:GOE786462 GXY786462:GYA786462 HHU786462:HHW786462 HRQ786462:HRS786462 IBM786462:IBO786462 ILI786462:ILK786462 IVE786462:IVG786462 JFA786462:JFC786462 JOW786462:JOY786462 JYS786462:JYU786462 KIO786462:KIQ786462 KSK786462:KSM786462 LCG786462:LCI786462 LMC786462:LME786462 LVY786462:LWA786462 MFU786462:MFW786462 MPQ786462:MPS786462 MZM786462:MZO786462 NJI786462:NJK786462 NTE786462:NTG786462 ODA786462:ODC786462 OMW786462:OMY786462 OWS786462:OWU786462 PGO786462:PGQ786462 PQK786462:PQM786462 QAG786462:QAI786462 QKC786462:QKE786462 QTY786462:QUA786462 RDU786462:RDW786462 RNQ786462:RNS786462 RXM786462:RXO786462 SHI786462:SHK786462 SRE786462:SRG786462 TBA786462:TBC786462 TKW786462:TKY786462 TUS786462:TUU786462 UEO786462:UEQ786462 UOK786462:UOM786462 UYG786462:UYI786462 VIC786462:VIE786462 VRY786462:VSA786462 WBU786462:WBW786462 WLQ786462:WLS786462 WVM786462:WVO786462 F851998:H851998 JA851998:JC851998 SW851998:SY851998 ACS851998:ACU851998 AMO851998:AMQ851998 AWK851998:AWM851998 BGG851998:BGI851998 BQC851998:BQE851998 BZY851998:CAA851998 CJU851998:CJW851998 CTQ851998:CTS851998 DDM851998:DDO851998 DNI851998:DNK851998 DXE851998:DXG851998 EHA851998:EHC851998 EQW851998:EQY851998 FAS851998:FAU851998 FKO851998:FKQ851998 FUK851998:FUM851998 GEG851998:GEI851998 GOC851998:GOE851998 GXY851998:GYA851998 HHU851998:HHW851998 HRQ851998:HRS851998 IBM851998:IBO851998 ILI851998:ILK851998 IVE851998:IVG851998 JFA851998:JFC851998 JOW851998:JOY851998 JYS851998:JYU851998 KIO851998:KIQ851998 KSK851998:KSM851998 LCG851998:LCI851998 LMC851998:LME851998 LVY851998:LWA851998 MFU851998:MFW851998 MPQ851998:MPS851998 MZM851998:MZO851998 NJI851998:NJK851998 NTE851998:NTG851998 ODA851998:ODC851998 OMW851998:OMY851998 OWS851998:OWU851998 PGO851998:PGQ851998 PQK851998:PQM851998 QAG851998:QAI851998 QKC851998:QKE851998 QTY851998:QUA851998 RDU851998:RDW851998 RNQ851998:RNS851998 RXM851998:RXO851998 SHI851998:SHK851998 SRE851998:SRG851998 TBA851998:TBC851998 TKW851998:TKY851998 TUS851998:TUU851998 UEO851998:UEQ851998 UOK851998:UOM851998 UYG851998:UYI851998 VIC851998:VIE851998 VRY851998:VSA851998 WBU851998:WBW851998 WLQ851998:WLS851998 WVM851998:WVO851998 F917534:H917534 JA917534:JC917534 SW917534:SY917534 ACS917534:ACU917534 AMO917534:AMQ917534 AWK917534:AWM917534 BGG917534:BGI917534 BQC917534:BQE917534 BZY917534:CAA917534 CJU917534:CJW917534 CTQ917534:CTS917534 DDM917534:DDO917534 DNI917534:DNK917534 DXE917534:DXG917534 EHA917534:EHC917534 EQW917534:EQY917534 FAS917534:FAU917534 FKO917534:FKQ917534 FUK917534:FUM917534 GEG917534:GEI917534 GOC917534:GOE917534 GXY917534:GYA917534 HHU917534:HHW917534 HRQ917534:HRS917534 IBM917534:IBO917534 ILI917534:ILK917534 IVE917534:IVG917534 JFA917534:JFC917534 JOW917534:JOY917534 JYS917534:JYU917534 KIO917534:KIQ917534 KSK917534:KSM917534 LCG917534:LCI917534 LMC917534:LME917534 LVY917534:LWA917534 MFU917534:MFW917534 MPQ917534:MPS917534 MZM917534:MZO917534 NJI917534:NJK917534 NTE917534:NTG917534 ODA917534:ODC917534 OMW917534:OMY917534 OWS917534:OWU917534 PGO917534:PGQ917534 PQK917534:PQM917534 QAG917534:QAI917534 QKC917534:QKE917534 QTY917534:QUA917534 RDU917534:RDW917534 RNQ917534:RNS917534 RXM917534:RXO917534 SHI917534:SHK917534 SRE917534:SRG917534 TBA917534:TBC917534 TKW917534:TKY917534 TUS917534:TUU917534 UEO917534:UEQ917534 UOK917534:UOM917534 UYG917534:UYI917534 VIC917534:VIE917534 VRY917534:VSA917534 WBU917534:WBW917534 WLQ917534:WLS917534 WVM917534:WVO917534 F983070:H983070 JA983070:JC983070 SW983070:SY983070 ACS983070:ACU983070 AMO983070:AMQ983070 AWK983070:AWM983070 BGG983070:BGI983070 BQC983070:BQE983070 BZY983070:CAA983070 CJU983070:CJW983070 CTQ983070:CTS983070 DDM983070:DDO983070 DNI983070:DNK983070 DXE983070:DXG983070 EHA983070:EHC983070 EQW983070:EQY983070 FAS983070:FAU983070 FKO983070:FKQ983070 FUK983070:FUM983070 GEG983070:GEI983070 GOC983070:GOE983070 GXY983070:GYA983070 HHU983070:HHW983070 HRQ983070:HRS983070 IBM983070:IBO983070 ILI983070:ILK983070 IVE983070:IVG983070 JFA983070:JFC983070 JOW983070:JOY983070 JYS983070:JYU983070 KIO983070:KIQ983070 KSK983070:KSM983070 LCG983070:LCI983070 LMC983070:LME983070 LVY983070:LWA983070 MFU983070:MFW983070 MPQ983070:MPS983070 MZM983070:MZO983070 NJI983070:NJK983070 NTE983070:NTG983070 ODA983070:ODC983070 OMW983070:OMY983070 OWS983070:OWU983070 PGO983070:PGQ983070 PQK983070:PQM983070 QAG983070:QAI983070 QKC983070:QKE983070 QTY983070:QUA983070 RDU983070:RDW983070 RNQ983070:RNS983070 RXM983070:RXO983070 SHI983070:SHK983070 SRE983070:SRG983070 TBA983070:TBC983070 TKW983070:TKY983070 TUS983070:TUU983070 UEO983070:UEQ983070 UOK983070:UOM983070 UYG983070:UYI983070 VIC983070:VIE983070 VRY983070:VSA983070 WBU983070:WBW983070 WLQ983070:WLS983070 WVM983070:WVO983070 IX11:IZ11 ST11:SV11 ACP11:ACR11 AML11:AMN11 AWH11:AWJ11 BGD11:BGF11 BPZ11:BQB11 BZV11:BZX11 CJR11:CJT11 CTN11:CTP11 DDJ11:DDL11 DNF11:DNH11 DXB11:DXD11 EGX11:EGZ11 EQT11:EQV11 FAP11:FAR11 FKL11:FKN11 FUH11:FUJ11 GED11:GEF11 GNZ11:GOB11 GXV11:GXX11 HHR11:HHT11 HRN11:HRP11 IBJ11:IBL11 ILF11:ILH11 IVB11:IVD11 JEX11:JEZ11 JOT11:JOV11 JYP11:JYR11 KIL11:KIN11 KSH11:KSJ11 LCD11:LCF11 LLZ11:LMB11 LVV11:LVX11 MFR11:MFT11 MPN11:MPP11 MZJ11:MZL11 NJF11:NJH11 NTB11:NTD11 OCX11:OCZ11 OMT11:OMV11 OWP11:OWR11 PGL11:PGN11 PQH11:PQJ11 QAD11:QAF11 QJZ11:QKB11 QTV11:QTX11 RDR11:RDT11 RNN11:RNP11 RXJ11:RXL11 SHF11:SHH11 SRB11:SRD11 TAX11:TAZ11 TKT11:TKV11 TUP11:TUR11 UEL11:UEN11 UOH11:UOJ11 UYD11:UYF11 VHZ11:VIB11 VRV11:VRX11 WBR11:WBT11 WLN11:WLP11 WVJ11:WVL11 IX65565:IZ65565 ST65565:SV65565 ACP65565:ACR65565 AML65565:AMN65565 AWH65565:AWJ65565 BGD65565:BGF65565 BPZ65565:BQB65565 BZV65565:BZX65565 CJR65565:CJT65565 CTN65565:CTP65565 DDJ65565:DDL65565 DNF65565:DNH65565 DXB65565:DXD65565 EGX65565:EGZ65565 EQT65565:EQV65565 FAP65565:FAR65565 FKL65565:FKN65565 FUH65565:FUJ65565 GED65565:GEF65565 GNZ65565:GOB65565 GXV65565:GXX65565 HHR65565:HHT65565 HRN65565:HRP65565 IBJ65565:IBL65565 ILF65565:ILH65565 IVB65565:IVD65565 JEX65565:JEZ65565 JOT65565:JOV65565 JYP65565:JYR65565 KIL65565:KIN65565 KSH65565:KSJ65565 LCD65565:LCF65565 LLZ65565:LMB65565 LVV65565:LVX65565 MFR65565:MFT65565 MPN65565:MPP65565 MZJ65565:MZL65565 NJF65565:NJH65565 NTB65565:NTD65565 OCX65565:OCZ65565 OMT65565:OMV65565 OWP65565:OWR65565 PGL65565:PGN65565 PQH65565:PQJ65565 QAD65565:QAF65565 QJZ65565:QKB65565 QTV65565:QTX65565 RDR65565:RDT65565 RNN65565:RNP65565 RXJ65565:RXL65565 SHF65565:SHH65565 SRB65565:SRD65565 TAX65565:TAZ65565 TKT65565:TKV65565 TUP65565:TUR65565 UEL65565:UEN65565 UOH65565:UOJ65565 UYD65565:UYF65565 VHZ65565:VIB65565 VRV65565:VRX65565 WBR65565:WBT65565 WLN65565:WLP65565 WVJ65565:WVL65565 IX131101:IZ131101 ST131101:SV131101 ACP131101:ACR131101 AML131101:AMN131101 AWH131101:AWJ131101 BGD131101:BGF131101 BPZ131101:BQB131101 BZV131101:BZX131101 CJR131101:CJT131101 CTN131101:CTP131101 DDJ131101:DDL131101 DNF131101:DNH131101 DXB131101:DXD131101 EGX131101:EGZ131101 EQT131101:EQV131101 FAP131101:FAR131101 FKL131101:FKN131101 FUH131101:FUJ131101 GED131101:GEF131101 GNZ131101:GOB131101 GXV131101:GXX131101 HHR131101:HHT131101 HRN131101:HRP131101 IBJ131101:IBL131101 ILF131101:ILH131101 IVB131101:IVD131101 JEX131101:JEZ131101 JOT131101:JOV131101 JYP131101:JYR131101 KIL131101:KIN131101 KSH131101:KSJ131101 LCD131101:LCF131101 LLZ131101:LMB131101 LVV131101:LVX131101 MFR131101:MFT131101 MPN131101:MPP131101 MZJ131101:MZL131101 NJF131101:NJH131101 NTB131101:NTD131101 OCX131101:OCZ131101 OMT131101:OMV131101 OWP131101:OWR131101 PGL131101:PGN131101 PQH131101:PQJ131101 QAD131101:QAF131101 QJZ131101:QKB131101 QTV131101:QTX131101 RDR131101:RDT131101 RNN131101:RNP131101 RXJ131101:RXL131101 SHF131101:SHH131101 SRB131101:SRD131101 TAX131101:TAZ131101 TKT131101:TKV131101 TUP131101:TUR131101 UEL131101:UEN131101 UOH131101:UOJ131101 UYD131101:UYF131101 VHZ131101:VIB131101 VRV131101:VRX131101 WBR131101:WBT131101 WLN131101:WLP131101 WVJ131101:WVL131101 IX196637:IZ196637 ST196637:SV196637 ACP196637:ACR196637 AML196637:AMN196637 AWH196637:AWJ196637 BGD196637:BGF196637 BPZ196637:BQB196637 BZV196637:BZX196637 CJR196637:CJT196637 CTN196637:CTP196637 DDJ196637:DDL196637 DNF196637:DNH196637 DXB196637:DXD196637 EGX196637:EGZ196637 EQT196637:EQV196637 FAP196637:FAR196637 FKL196637:FKN196637 FUH196637:FUJ196637 GED196637:GEF196637 GNZ196637:GOB196637 GXV196637:GXX196637 HHR196637:HHT196637 HRN196637:HRP196637 IBJ196637:IBL196637 ILF196637:ILH196637 IVB196637:IVD196637 JEX196637:JEZ196637 JOT196637:JOV196637 JYP196637:JYR196637 KIL196637:KIN196637 KSH196637:KSJ196637 LCD196637:LCF196637 LLZ196637:LMB196637 LVV196637:LVX196637 MFR196637:MFT196637 MPN196637:MPP196637 MZJ196637:MZL196637 NJF196637:NJH196637 NTB196637:NTD196637 OCX196637:OCZ196637 OMT196637:OMV196637 OWP196637:OWR196637 PGL196637:PGN196637 PQH196637:PQJ196637 QAD196637:QAF196637 QJZ196637:QKB196637 QTV196637:QTX196637 RDR196637:RDT196637 RNN196637:RNP196637 RXJ196637:RXL196637 SHF196637:SHH196637 SRB196637:SRD196637 TAX196637:TAZ196637 TKT196637:TKV196637 TUP196637:TUR196637 UEL196637:UEN196637 UOH196637:UOJ196637 UYD196637:UYF196637 VHZ196637:VIB196637 VRV196637:VRX196637 WBR196637:WBT196637 WLN196637:WLP196637 WVJ196637:WVL196637 IX262173:IZ262173 ST262173:SV262173 ACP262173:ACR262173 AML262173:AMN262173 AWH262173:AWJ262173 BGD262173:BGF262173 BPZ262173:BQB262173 BZV262173:BZX262173 CJR262173:CJT262173 CTN262173:CTP262173 DDJ262173:DDL262173 DNF262173:DNH262173 DXB262173:DXD262173 EGX262173:EGZ262173 EQT262173:EQV262173 FAP262173:FAR262173 FKL262173:FKN262173 FUH262173:FUJ262173 GED262173:GEF262173 GNZ262173:GOB262173 GXV262173:GXX262173 HHR262173:HHT262173 HRN262173:HRP262173 IBJ262173:IBL262173 ILF262173:ILH262173 IVB262173:IVD262173 JEX262173:JEZ262173 JOT262173:JOV262173 JYP262173:JYR262173 KIL262173:KIN262173 KSH262173:KSJ262173 LCD262173:LCF262173 LLZ262173:LMB262173 LVV262173:LVX262173 MFR262173:MFT262173 MPN262173:MPP262173 MZJ262173:MZL262173 NJF262173:NJH262173 NTB262173:NTD262173 OCX262173:OCZ262173 OMT262173:OMV262173 OWP262173:OWR262173 PGL262173:PGN262173 PQH262173:PQJ262173 QAD262173:QAF262173 QJZ262173:QKB262173 QTV262173:QTX262173 RDR262173:RDT262173 RNN262173:RNP262173 RXJ262173:RXL262173 SHF262173:SHH262173 SRB262173:SRD262173 TAX262173:TAZ262173 TKT262173:TKV262173 TUP262173:TUR262173 UEL262173:UEN262173 UOH262173:UOJ262173 UYD262173:UYF262173 VHZ262173:VIB262173 VRV262173:VRX262173 WBR262173:WBT262173 WLN262173:WLP262173 WVJ262173:WVL262173 IX327709:IZ327709 ST327709:SV327709 ACP327709:ACR327709 AML327709:AMN327709 AWH327709:AWJ327709 BGD327709:BGF327709 BPZ327709:BQB327709 BZV327709:BZX327709 CJR327709:CJT327709 CTN327709:CTP327709 DDJ327709:DDL327709 DNF327709:DNH327709 DXB327709:DXD327709 EGX327709:EGZ327709 EQT327709:EQV327709 FAP327709:FAR327709 FKL327709:FKN327709 FUH327709:FUJ327709 GED327709:GEF327709 GNZ327709:GOB327709 GXV327709:GXX327709 HHR327709:HHT327709 HRN327709:HRP327709 IBJ327709:IBL327709 ILF327709:ILH327709 IVB327709:IVD327709 JEX327709:JEZ327709 JOT327709:JOV327709 JYP327709:JYR327709 KIL327709:KIN327709 KSH327709:KSJ327709 LCD327709:LCF327709 LLZ327709:LMB327709 LVV327709:LVX327709 MFR327709:MFT327709 MPN327709:MPP327709 MZJ327709:MZL327709 NJF327709:NJH327709 NTB327709:NTD327709 OCX327709:OCZ327709 OMT327709:OMV327709 OWP327709:OWR327709 PGL327709:PGN327709 PQH327709:PQJ327709 QAD327709:QAF327709 QJZ327709:QKB327709 QTV327709:QTX327709 RDR327709:RDT327709 RNN327709:RNP327709 RXJ327709:RXL327709 SHF327709:SHH327709 SRB327709:SRD327709 TAX327709:TAZ327709 TKT327709:TKV327709 TUP327709:TUR327709 UEL327709:UEN327709 UOH327709:UOJ327709 UYD327709:UYF327709 VHZ327709:VIB327709 VRV327709:VRX327709 WBR327709:WBT327709 WLN327709:WLP327709 WVJ327709:WVL327709 IX393245:IZ393245 ST393245:SV393245 ACP393245:ACR393245 AML393245:AMN393245 AWH393245:AWJ393245 BGD393245:BGF393245 BPZ393245:BQB393245 BZV393245:BZX393245 CJR393245:CJT393245 CTN393245:CTP393245 DDJ393245:DDL393245 DNF393245:DNH393245 DXB393245:DXD393245 EGX393245:EGZ393245 EQT393245:EQV393245 FAP393245:FAR393245 FKL393245:FKN393245 FUH393245:FUJ393245 GED393245:GEF393245 GNZ393245:GOB393245 GXV393245:GXX393245 HHR393245:HHT393245 HRN393245:HRP393245 IBJ393245:IBL393245 ILF393245:ILH393245 IVB393245:IVD393245 JEX393245:JEZ393245 JOT393245:JOV393245 JYP393245:JYR393245 KIL393245:KIN393245 KSH393245:KSJ393245 LCD393245:LCF393245 LLZ393245:LMB393245 LVV393245:LVX393245 MFR393245:MFT393245 MPN393245:MPP393245 MZJ393245:MZL393245 NJF393245:NJH393245 NTB393245:NTD393245 OCX393245:OCZ393245 OMT393245:OMV393245 OWP393245:OWR393245 PGL393245:PGN393245 PQH393245:PQJ393245 QAD393245:QAF393245 QJZ393245:QKB393245 QTV393245:QTX393245 RDR393245:RDT393245 RNN393245:RNP393245 RXJ393245:RXL393245 SHF393245:SHH393245 SRB393245:SRD393245 TAX393245:TAZ393245 TKT393245:TKV393245 TUP393245:TUR393245 UEL393245:UEN393245 UOH393245:UOJ393245 UYD393245:UYF393245 VHZ393245:VIB393245 VRV393245:VRX393245 WBR393245:WBT393245 WLN393245:WLP393245 WVJ393245:WVL393245 IX458781:IZ458781 ST458781:SV458781 ACP458781:ACR458781 AML458781:AMN458781 AWH458781:AWJ458781 BGD458781:BGF458781 BPZ458781:BQB458781 BZV458781:BZX458781 CJR458781:CJT458781 CTN458781:CTP458781 DDJ458781:DDL458781 DNF458781:DNH458781 DXB458781:DXD458781 EGX458781:EGZ458781 EQT458781:EQV458781 FAP458781:FAR458781 FKL458781:FKN458781 FUH458781:FUJ458781 GED458781:GEF458781 GNZ458781:GOB458781 GXV458781:GXX458781 HHR458781:HHT458781 HRN458781:HRP458781 IBJ458781:IBL458781 ILF458781:ILH458781 IVB458781:IVD458781 JEX458781:JEZ458781 JOT458781:JOV458781 JYP458781:JYR458781 KIL458781:KIN458781 KSH458781:KSJ458781 LCD458781:LCF458781 LLZ458781:LMB458781 LVV458781:LVX458781 MFR458781:MFT458781 MPN458781:MPP458781 MZJ458781:MZL458781 NJF458781:NJH458781 NTB458781:NTD458781 OCX458781:OCZ458781 OMT458781:OMV458781 OWP458781:OWR458781 PGL458781:PGN458781 PQH458781:PQJ458781 QAD458781:QAF458781 QJZ458781:QKB458781 QTV458781:QTX458781 RDR458781:RDT458781 RNN458781:RNP458781 RXJ458781:RXL458781 SHF458781:SHH458781 SRB458781:SRD458781 TAX458781:TAZ458781 TKT458781:TKV458781 TUP458781:TUR458781 UEL458781:UEN458781 UOH458781:UOJ458781 UYD458781:UYF458781 VHZ458781:VIB458781 VRV458781:VRX458781 WBR458781:WBT458781 WLN458781:WLP458781 WVJ458781:WVL458781 IX524317:IZ524317 ST524317:SV524317 ACP524317:ACR524317 AML524317:AMN524317 AWH524317:AWJ524317 BGD524317:BGF524317 BPZ524317:BQB524317 BZV524317:BZX524317 CJR524317:CJT524317 CTN524317:CTP524317 DDJ524317:DDL524317 DNF524317:DNH524317 DXB524317:DXD524317 EGX524317:EGZ524317 EQT524317:EQV524317 FAP524317:FAR524317 FKL524317:FKN524317 FUH524317:FUJ524317 GED524317:GEF524317 GNZ524317:GOB524317 GXV524317:GXX524317 HHR524317:HHT524317 HRN524317:HRP524317 IBJ524317:IBL524317 ILF524317:ILH524317 IVB524317:IVD524317 JEX524317:JEZ524317 JOT524317:JOV524317 JYP524317:JYR524317 KIL524317:KIN524317 KSH524317:KSJ524317 LCD524317:LCF524317 LLZ524317:LMB524317 LVV524317:LVX524317 MFR524317:MFT524317 MPN524317:MPP524317 MZJ524317:MZL524317 NJF524317:NJH524317 NTB524317:NTD524317 OCX524317:OCZ524317 OMT524317:OMV524317 OWP524317:OWR524317 PGL524317:PGN524317 PQH524317:PQJ524317 QAD524317:QAF524317 QJZ524317:QKB524317 QTV524317:QTX524317 RDR524317:RDT524317 RNN524317:RNP524317 RXJ524317:RXL524317 SHF524317:SHH524317 SRB524317:SRD524317 TAX524317:TAZ524317 TKT524317:TKV524317 TUP524317:TUR524317 UEL524317:UEN524317 UOH524317:UOJ524317 UYD524317:UYF524317 VHZ524317:VIB524317 VRV524317:VRX524317 WBR524317:WBT524317 WLN524317:WLP524317 WVJ524317:WVL524317 IX589853:IZ589853 ST589853:SV589853 ACP589853:ACR589853 AML589853:AMN589853 AWH589853:AWJ589853 BGD589853:BGF589853 BPZ589853:BQB589853 BZV589853:BZX589853 CJR589853:CJT589853 CTN589853:CTP589853 DDJ589853:DDL589853 DNF589853:DNH589853 DXB589853:DXD589853 EGX589853:EGZ589853 EQT589853:EQV589853 FAP589853:FAR589853 FKL589853:FKN589853 FUH589853:FUJ589853 GED589853:GEF589853 GNZ589853:GOB589853 GXV589853:GXX589853 HHR589853:HHT589853 HRN589853:HRP589853 IBJ589853:IBL589853 ILF589853:ILH589853 IVB589853:IVD589853 JEX589853:JEZ589853 JOT589853:JOV589853 JYP589853:JYR589853 KIL589853:KIN589853 KSH589853:KSJ589853 LCD589853:LCF589853 LLZ589853:LMB589853 LVV589853:LVX589853 MFR589853:MFT589853 MPN589853:MPP589853 MZJ589853:MZL589853 NJF589853:NJH589853 NTB589853:NTD589853 OCX589853:OCZ589853 OMT589853:OMV589853 OWP589853:OWR589853 PGL589853:PGN589853 PQH589853:PQJ589853 QAD589853:QAF589853 QJZ589853:QKB589853 QTV589853:QTX589853 RDR589853:RDT589853 RNN589853:RNP589853 RXJ589853:RXL589853 SHF589853:SHH589853 SRB589853:SRD589853 TAX589853:TAZ589853 TKT589853:TKV589853 TUP589853:TUR589853 UEL589853:UEN589853 UOH589853:UOJ589853 UYD589853:UYF589853 VHZ589853:VIB589853 VRV589853:VRX589853 WBR589853:WBT589853 WLN589853:WLP589853 WVJ589853:WVL589853 IX655389:IZ655389 ST655389:SV655389 ACP655389:ACR655389 AML655389:AMN655389 AWH655389:AWJ655389 BGD655389:BGF655389 BPZ655389:BQB655389 BZV655389:BZX655389 CJR655389:CJT655389 CTN655389:CTP655389 DDJ655389:DDL655389 DNF655389:DNH655389 DXB655389:DXD655389 EGX655389:EGZ655389 EQT655389:EQV655389 FAP655389:FAR655389 FKL655389:FKN655389 FUH655389:FUJ655389 GED655389:GEF655389 GNZ655389:GOB655389 GXV655389:GXX655389 HHR655389:HHT655389 HRN655389:HRP655389 IBJ655389:IBL655389 ILF655389:ILH655389 IVB655389:IVD655389 JEX655389:JEZ655389 JOT655389:JOV655389 JYP655389:JYR655389 KIL655389:KIN655389 KSH655389:KSJ655389 LCD655389:LCF655389 LLZ655389:LMB655389 LVV655389:LVX655389 MFR655389:MFT655389 MPN655389:MPP655389 MZJ655389:MZL655389 NJF655389:NJH655389 NTB655389:NTD655389 OCX655389:OCZ655389 OMT655389:OMV655389 OWP655389:OWR655389 PGL655389:PGN655389 PQH655389:PQJ655389 QAD655389:QAF655389 QJZ655389:QKB655389 QTV655389:QTX655389 RDR655389:RDT655389 RNN655389:RNP655389 RXJ655389:RXL655389 SHF655389:SHH655389 SRB655389:SRD655389 TAX655389:TAZ655389 TKT655389:TKV655389 TUP655389:TUR655389 UEL655389:UEN655389 UOH655389:UOJ655389 UYD655389:UYF655389 VHZ655389:VIB655389 VRV655389:VRX655389 WBR655389:WBT655389 WLN655389:WLP655389 WVJ655389:WVL655389 IX720925:IZ720925 ST720925:SV720925 ACP720925:ACR720925 AML720925:AMN720925 AWH720925:AWJ720925 BGD720925:BGF720925 BPZ720925:BQB720925 BZV720925:BZX720925 CJR720925:CJT720925 CTN720925:CTP720925 DDJ720925:DDL720925 DNF720925:DNH720925 DXB720925:DXD720925 EGX720925:EGZ720925 EQT720925:EQV720925 FAP720925:FAR720925 FKL720925:FKN720925 FUH720925:FUJ720925 GED720925:GEF720925 GNZ720925:GOB720925 GXV720925:GXX720925 HHR720925:HHT720925 HRN720925:HRP720925 IBJ720925:IBL720925 ILF720925:ILH720925 IVB720925:IVD720925 JEX720925:JEZ720925 JOT720925:JOV720925 JYP720925:JYR720925 KIL720925:KIN720925 KSH720925:KSJ720925 LCD720925:LCF720925 LLZ720925:LMB720925 LVV720925:LVX720925 MFR720925:MFT720925 MPN720925:MPP720925 MZJ720925:MZL720925 NJF720925:NJH720925 NTB720925:NTD720925 OCX720925:OCZ720925 OMT720925:OMV720925 OWP720925:OWR720925 PGL720925:PGN720925 PQH720925:PQJ720925 QAD720925:QAF720925 QJZ720925:QKB720925 QTV720925:QTX720925 RDR720925:RDT720925 RNN720925:RNP720925 RXJ720925:RXL720925 SHF720925:SHH720925 SRB720925:SRD720925 TAX720925:TAZ720925 TKT720925:TKV720925 TUP720925:TUR720925 UEL720925:UEN720925 UOH720925:UOJ720925 UYD720925:UYF720925 VHZ720925:VIB720925 VRV720925:VRX720925 WBR720925:WBT720925 WLN720925:WLP720925 WVJ720925:WVL720925 IX786461:IZ786461 ST786461:SV786461 ACP786461:ACR786461 AML786461:AMN786461 AWH786461:AWJ786461 BGD786461:BGF786461 BPZ786461:BQB786461 BZV786461:BZX786461 CJR786461:CJT786461 CTN786461:CTP786461 DDJ786461:DDL786461 DNF786461:DNH786461 DXB786461:DXD786461 EGX786461:EGZ786461 EQT786461:EQV786461 FAP786461:FAR786461 FKL786461:FKN786461 FUH786461:FUJ786461 GED786461:GEF786461 GNZ786461:GOB786461 GXV786461:GXX786461 HHR786461:HHT786461 HRN786461:HRP786461 IBJ786461:IBL786461 ILF786461:ILH786461 IVB786461:IVD786461 JEX786461:JEZ786461 JOT786461:JOV786461 JYP786461:JYR786461 KIL786461:KIN786461 KSH786461:KSJ786461 LCD786461:LCF786461 LLZ786461:LMB786461 LVV786461:LVX786461 MFR786461:MFT786461 MPN786461:MPP786461 MZJ786461:MZL786461 NJF786461:NJH786461 NTB786461:NTD786461 OCX786461:OCZ786461 OMT786461:OMV786461 OWP786461:OWR786461 PGL786461:PGN786461 PQH786461:PQJ786461 QAD786461:QAF786461 QJZ786461:QKB786461 QTV786461:QTX786461 RDR786461:RDT786461 RNN786461:RNP786461 RXJ786461:RXL786461 SHF786461:SHH786461 SRB786461:SRD786461 TAX786461:TAZ786461 TKT786461:TKV786461 TUP786461:TUR786461 UEL786461:UEN786461 UOH786461:UOJ786461 UYD786461:UYF786461 VHZ786461:VIB786461 VRV786461:VRX786461 WBR786461:WBT786461 WLN786461:WLP786461 WVJ786461:WVL786461 IX851997:IZ851997 ST851997:SV851997 ACP851997:ACR851997 AML851997:AMN851997 AWH851997:AWJ851997 BGD851997:BGF851997 BPZ851997:BQB851997 BZV851997:BZX851997 CJR851997:CJT851997 CTN851997:CTP851997 DDJ851997:DDL851997 DNF851997:DNH851997 DXB851997:DXD851997 EGX851997:EGZ851997 EQT851997:EQV851997 FAP851997:FAR851997 FKL851997:FKN851997 FUH851997:FUJ851997 GED851997:GEF851997 GNZ851997:GOB851997 GXV851997:GXX851997 HHR851997:HHT851997 HRN851997:HRP851997 IBJ851997:IBL851997 ILF851997:ILH851997 IVB851997:IVD851997 JEX851997:JEZ851997 JOT851997:JOV851997 JYP851997:JYR851997 KIL851997:KIN851997 KSH851997:KSJ851997 LCD851997:LCF851997 LLZ851997:LMB851997 LVV851997:LVX851997 MFR851997:MFT851997 MPN851997:MPP851997 MZJ851997:MZL851997 NJF851997:NJH851997 NTB851997:NTD851997 OCX851997:OCZ851997 OMT851997:OMV851997 OWP851997:OWR851997 PGL851997:PGN851997 PQH851997:PQJ851997 QAD851997:QAF851997 QJZ851997:QKB851997 QTV851997:QTX851997 RDR851997:RDT851997 RNN851997:RNP851997 RXJ851997:RXL851997 SHF851997:SHH851997 SRB851997:SRD851997 TAX851997:TAZ851997 TKT851997:TKV851997 TUP851997:TUR851997 UEL851997:UEN851997 UOH851997:UOJ851997 UYD851997:UYF851997 VHZ851997:VIB851997 VRV851997:VRX851997 WBR851997:WBT851997 WLN851997:WLP851997 WVJ851997:WVL851997 IX917533:IZ917533 ST917533:SV917533 ACP917533:ACR917533 AML917533:AMN917533 AWH917533:AWJ917533 BGD917533:BGF917533 BPZ917533:BQB917533 BZV917533:BZX917533 CJR917533:CJT917533 CTN917533:CTP917533 DDJ917533:DDL917533 DNF917533:DNH917533 DXB917533:DXD917533 EGX917533:EGZ917533 EQT917533:EQV917533 FAP917533:FAR917533 FKL917533:FKN917533 FUH917533:FUJ917533 GED917533:GEF917533 GNZ917533:GOB917533 GXV917533:GXX917533 HHR917533:HHT917533 HRN917533:HRP917533 IBJ917533:IBL917533 ILF917533:ILH917533 IVB917533:IVD917533 JEX917533:JEZ917533 JOT917533:JOV917533 JYP917533:JYR917533 KIL917533:KIN917533 KSH917533:KSJ917533 LCD917533:LCF917533 LLZ917533:LMB917533 LVV917533:LVX917533 MFR917533:MFT917533 MPN917533:MPP917533 MZJ917533:MZL917533 NJF917533:NJH917533 NTB917533:NTD917533 OCX917533:OCZ917533 OMT917533:OMV917533 OWP917533:OWR917533 PGL917533:PGN917533 PQH917533:PQJ917533 QAD917533:QAF917533 QJZ917533:QKB917533 QTV917533:QTX917533 RDR917533:RDT917533 RNN917533:RNP917533 RXJ917533:RXL917533 SHF917533:SHH917533 SRB917533:SRD917533 TAX917533:TAZ917533 TKT917533:TKV917533 TUP917533:TUR917533 UEL917533:UEN917533 UOH917533:UOJ917533 UYD917533:UYF917533 VHZ917533:VIB917533 VRV917533:VRX917533 WBR917533:WBT917533 WLN917533:WLP917533 WVJ917533:WVL917533 IX983069:IZ983069 ST983069:SV983069 ACP983069:ACR983069 AML983069:AMN983069 AWH983069:AWJ983069 BGD983069:BGF983069 BPZ983069:BQB983069 BZV983069:BZX983069 CJR983069:CJT983069 CTN983069:CTP983069 DDJ983069:DDL983069 DNF983069:DNH983069 DXB983069:DXD983069 EGX983069:EGZ983069 EQT983069:EQV983069 FAP983069:FAR983069 FKL983069:FKN983069 FUH983069:FUJ983069 GED983069:GEF983069 GNZ983069:GOB983069 GXV983069:GXX983069 HHR983069:HHT983069 HRN983069:HRP983069 IBJ983069:IBL983069 ILF983069:ILH983069 IVB983069:IVD983069 JEX983069:JEZ983069 JOT983069:JOV983069 JYP983069:JYR983069 KIL983069:KIN983069 KSH983069:KSJ983069 LCD983069:LCF983069 LLZ983069:LMB983069 LVV983069:LVX983069 MFR983069:MFT983069 MPN983069:MPP983069 MZJ983069:MZL983069 NJF983069:NJH983069 NTB983069:NTD983069 OCX983069:OCZ983069 OMT983069:OMV983069 OWP983069:OWR983069 PGL983069:PGN983069 PQH983069:PQJ983069 QAD983069:QAF983069 QJZ983069:QKB983069 QTV983069:QTX983069 RDR983069:RDT983069 RNN983069:RNP983069 RXJ983069:RXL983069 SHF983069:SHH983069 SRB983069:SRD983069 TAX983069:TAZ983069 TKT983069:TKV983069 TUP983069:TUR983069 UEL983069:UEN983069 UOH983069:UOJ983069 UYD983069:UYF983069 VHZ983069:VIB983069 VRV983069:VRX983069 WBR983069:WBT983069 WLN983069:WLP983069 WVJ983069:WVL983069 WVM12:WVO12 WLQ12:WLS12 WBU12:WBW12 VRY12:VSA12 VIC12:VIE12 UYG12:UYI12 UOK12:UOM12 UEO12:UEQ12 TUS12:TUU12 TKW12:TKY12 TBA12:TBC12 SRE12:SRG12 SHI12:SHK12 RXM12:RXO12 RNQ12:RNS12 RDU12:RDW12 QTY12:QUA12 QKC12:QKE12 QAG12:QAI12 PQK12:PQM12 PGO12:PGQ12 OWS12:OWU12 OMW12:OMY12 ODA12:ODC12 NTE12:NTG12 NJI12:NJK12 MZM12:MZO12 MPQ12:MPS12 MFU12:MFW12 LVY12:LWA12 LMC12:LME12 LCG12:LCI12 KSK12:KSM12 KIO12:KIQ12 JYS12:JYU12 JOW12:JOY12 JFA12:JFC12 IVE12:IVG12 ILI12:ILK12 IBM12:IBO12 HRQ12:HRS12 HHU12:HHW12 GXY12:GYA12 GOC12:GOE12 GEG12:GEI12 FUK12:FUM12 FKO12:FKQ12 FAS12:FAU12 EQW12:EQY12 EHA12:EHC12 DXE12:DXG12 DNI12:DNK12 DDM12:DDO12 CTQ12:CTS12 CJU12:CJW12 BZY12:CAA12 BQC12:BQE12 BGG12:BGI12 AWK12:AWM12 AMO12:AMQ12 ACS12:ACU12 SW12:SY12 JA12:JC12 F12:H12 C983069:E983069 C917533:E917533 C851997:E851997 C786461:E786461 C720925:E720925 C655389:E655389 C589853:E589853 C524317:E524317 C458781:E458781 C393245:E393245 C327709:E327709 C262173:E262173 C196637:E196637 C131101:E131101 C65565:E65565" xr:uid="{00000000-0002-0000-0200-000005000000}"/>
    <dataValidation allowBlank="1" showInputMessage="1" showErrorMessage="1" prompt="Ingrese el valor a pagar segun la forma de pago establecida en los estudios previos" sqref="JA25:JM25 SW25:TI25 ACS25:ADE25 AMO25:ANA25 AWK25:AWW25 BGG25:BGS25 BQC25:BQO25 BZY25:CAK25 CJU25:CKG25 CTQ25:CUC25 DDM25:DDY25 DNI25:DNU25 DXE25:DXQ25 EHA25:EHM25 EQW25:ERI25 FAS25:FBE25 FKO25:FLA25 FUK25:FUW25 GEG25:GES25 GOC25:GOO25 GXY25:GYK25 HHU25:HIG25 HRQ25:HSC25 IBM25:IBY25 ILI25:ILU25 IVE25:IVQ25 JFA25:JFM25 JOW25:JPI25 JYS25:JZE25 KIO25:KJA25 KSK25:KSW25 LCG25:LCS25 LMC25:LMO25 LVY25:LWK25 MFU25:MGG25 MPQ25:MQC25 MZM25:MZY25 NJI25:NJU25 NTE25:NTQ25 ODA25:ODM25 OMW25:ONI25 OWS25:OXE25 PGO25:PHA25 PQK25:PQW25 QAG25:QAS25 QKC25:QKO25 QTY25:QUK25 RDU25:REG25 RNQ25:ROC25 RXM25:RXY25 SHI25:SHU25 SRE25:SRQ25 TBA25:TBM25 TKW25:TLI25 TUS25:TVE25 UEO25:UFA25 UOK25:UOW25 UYG25:UYS25 VIC25:VIO25 VRY25:VSK25 WBU25:WCG25 WLQ25:WMC25 WVM25:WVY25 F65578:Q65578 JA65578:JM65578 SW65578:TI65578 ACS65578:ADE65578 AMO65578:ANA65578 AWK65578:AWW65578 BGG65578:BGS65578 BQC65578:BQO65578 BZY65578:CAK65578 CJU65578:CKG65578 CTQ65578:CUC65578 DDM65578:DDY65578 DNI65578:DNU65578 DXE65578:DXQ65578 EHA65578:EHM65578 EQW65578:ERI65578 FAS65578:FBE65578 FKO65578:FLA65578 FUK65578:FUW65578 GEG65578:GES65578 GOC65578:GOO65578 GXY65578:GYK65578 HHU65578:HIG65578 HRQ65578:HSC65578 IBM65578:IBY65578 ILI65578:ILU65578 IVE65578:IVQ65578 JFA65578:JFM65578 JOW65578:JPI65578 JYS65578:JZE65578 KIO65578:KJA65578 KSK65578:KSW65578 LCG65578:LCS65578 LMC65578:LMO65578 LVY65578:LWK65578 MFU65578:MGG65578 MPQ65578:MQC65578 MZM65578:MZY65578 NJI65578:NJU65578 NTE65578:NTQ65578 ODA65578:ODM65578 OMW65578:ONI65578 OWS65578:OXE65578 PGO65578:PHA65578 PQK65578:PQW65578 QAG65578:QAS65578 QKC65578:QKO65578 QTY65578:QUK65578 RDU65578:REG65578 RNQ65578:ROC65578 RXM65578:RXY65578 SHI65578:SHU65578 SRE65578:SRQ65578 TBA65578:TBM65578 TKW65578:TLI65578 TUS65578:TVE65578 UEO65578:UFA65578 UOK65578:UOW65578 UYG65578:UYS65578 VIC65578:VIO65578 VRY65578:VSK65578 WBU65578:WCG65578 WLQ65578:WMC65578 WVM65578:WVY65578 F131114:Q131114 JA131114:JM131114 SW131114:TI131114 ACS131114:ADE131114 AMO131114:ANA131114 AWK131114:AWW131114 BGG131114:BGS131114 BQC131114:BQO131114 BZY131114:CAK131114 CJU131114:CKG131114 CTQ131114:CUC131114 DDM131114:DDY131114 DNI131114:DNU131114 DXE131114:DXQ131114 EHA131114:EHM131114 EQW131114:ERI131114 FAS131114:FBE131114 FKO131114:FLA131114 FUK131114:FUW131114 GEG131114:GES131114 GOC131114:GOO131114 GXY131114:GYK131114 HHU131114:HIG131114 HRQ131114:HSC131114 IBM131114:IBY131114 ILI131114:ILU131114 IVE131114:IVQ131114 JFA131114:JFM131114 JOW131114:JPI131114 JYS131114:JZE131114 KIO131114:KJA131114 KSK131114:KSW131114 LCG131114:LCS131114 LMC131114:LMO131114 LVY131114:LWK131114 MFU131114:MGG131114 MPQ131114:MQC131114 MZM131114:MZY131114 NJI131114:NJU131114 NTE131114:NTQ131114 ODA131114:ODM131114 OMW131114:ONI131114 OWS131114:OXE131114 PGO131114:PHA131114 PQK131114:PQW131114 QAG131114:QAS131114 QKC131114:QKO131114 QTY131114:QUK131114 RDU131114:REG131114 RNQ131114:ROC131114 RXM131114:RXY131114 SHI131114:SHU131114 SRE131114:SRQ131114 TBA131114:TBM131114 TKW131114:TLI131114 TUS131114:TVE131114 UEO131114:UFA131114 UOK131114:UOW131114 UYG131114:UYS131114 VIC131114:VIO131114 VRY131114:VSK131114 WBU131114:WCG131114 WLQ131114:WMC131114 WVM131114:WVY131114 F196650:Q196650 JA196650:JM196650 SW196650:TI196650 ACS196650:ADE196650 AMO196650:ANA196650 AWK196650:AWW196650 BGG196650:BGS196650 BQC196650:BQO196650 BZY196650:CAK196650 CJU196650:CKG196650 CTQ196650:CUC196650 DDM196650:DDY196650 DNI196650:DNU196650 DXE196650:DXQ196650 EHA196650:EHM196650 EQW196650:ERI196650 FAS196650:FBE196650 FKO196650:FLA196650 FUK196650:FUW196650 GEG196650:GES196650 GOC196650:GOO196650 GXY196650:GYK196650 HHU196650:HIG196650 HRQ196650:HSC196650 IBM196650:IBY196650 ILI196650:ILU196650 IVE196650:IVQ196650 JFA196650:JFM196650 JOW196650:JPI196650 JYS196650:JZE196650 KIO196650:KJA196650 KSK196650:KSW196650 LCG196650:LCS196650 LMC196650:LMO196650 LVY196650:LWK196650 MFU196650:MGG196650 MPQ196650:MQC196650 MZM196650:MZY196650 NJI196650:NJU196650 NTE196650:NTQ196650 ODA196650:ODM196650 OMW196650:ONI196650 OWS196650:OXE196650 PGO196650:PHA196650 PQK196650:PQW196650 QAG196650:QAS196650 QKC196650:QKO196650 QTY196650:QUK196650 RDU196650:REG196650 RNQ196650:ROC196650 RXM196650:RXY196650 SHI196650:SHU196650 SRE196650:SRQ196650 TBA196650:TBM196650 TKW196650:TLI196650 TUS196650:TVE196650 UEO196650:UFA196650 UOK196650:UOW196650 UYG196650:UYS196650 VIC196650:VIO196650 VRY196650:VSK196650 WBU196650:WCG196650 WLQ196650:WMC196650 WVM196650:WVY196650 F262186:Q262186 JA262186:JM262186 SW262186:TI262186 ACS262186:ADE262186 AMO262186:ANA262186 AWK262186:AWW262186 BGG262186:BGS262186 BQC262186:BQO262186 BZY262186:CAK262186 CJU262186:CKG262186 CTQ262186:CUC262186 DDM262186:DDY262186 DNI262186:DNU262186 DXE262186:DXQ262186 EHA262186:EHM262186 EQW262186:ERI262186 FAS262186:FBE262186 FKO262186:FLA262186 FUK262186:FUW262186 GEG262186:GES262186 GOC262186:GOO262186 GXY262186:GYK262186 HHU262186:HIG262186 HRQ262186:HSC262186 IBM262186:IBY262186 ILI262186:ILU262186 IVE262186:IVQ262186 JFA262186:JFM262186 JOW262186:JPI262186 JYS262186:JZE262186 KIO262186:KJA262186 KSK262186:KSW262186 LCG262186:LCS262186 LMC262186:LMO262186 LVY262186:LWK262186 MFU262186:MGG262186 MPQ262186:MQC262186 MZM262186:MZY262186 NJI262186:NJU262186 NTE262186:NTQ262186 ODA262186:ODM262186 OMW262186:ONI262186 OWS262186:OXE262186 PGO262186:PHA262186 PQK262186:PQW262186 QAG262186:QAS262186 QKC262186:QKO262186 QTY262186:QUK262186 RDU262186:REG262186 RNQ262186:ROC262186 RXM262186:RXY262186 SHI262186:SHU262186 SRE262186:SRQ262186 TBA262186:TBM262186 TKW262186:TLI262186 TUS262186:TVE262186 UEO262186:UFA262186 UOK262186:UOW262186 UYG262186:UYS262186 VIC262186:VIO262186 VRY262186:VSK262186 WBU262186:WCG262186 WLQ262186:WMC262186 WVM262186:WVY262186 F327722:Q327722 JA327722:JM327722 SW327722:TI327722 ACS327722:ADE327722 AMO327722:ANA327722 AWK327722:AWW327722 BGG327722:BGS327722 BQC327722:BQO327722 BZY327722:CAK327722 CJU327722:CKG327722 CTQ327722:CUC327722 DDM327722:DDY327722 DNI327722:DNU327722 DXE327722:DXQ327722 EHA327722:EHM327722 EQW327722:ERI327722 FAS327722:FBE327722 FKO327722:FLA327722 FUK327722:FUW327722 GEG327722:GES327722 GOC327722:GOO327722 GXY327722:GYK327722 HHU327722:HIG327722 HRQ327722:HSC327722 IBM327722:IBY327722 ILI327722:ILU327722 IVE327722:IVQ327722 JFA327722:JFM327722 JOW327722:JPI327722 JYS327722:JZE327722 KIO327722:KJA327722 KSK327722:KSW327722 LCG327722:LCS327722 LMC327722:LMO327722 LVY327722:LWK327722 MFU327722:MGG327722 MPQ327722:MQC327722 MZM327722:MZY327722 NJI327722:NJU327722 NTE327722:NTQ327722 ODA327722:ODM327722 OMW327722:ONI327722 OWS327722:OXE327722 PGO327722:PHA327722 PQK327722:PQW327722 QAG327722:QAS327722 QKC327722:QKO327722 QTY327722:QUK327722 RDU327722:REG327722 RNQ327722:ROC327722 RXM327722:RXY327722 SHI327722:SHU327722 SRE327722:SRQ327722 TBA327722:TBM327722 TKW327722:TLI327722 TUS327722:TVE327722 UEO327722:UFA327722 UOK327722:UOW327722 UYG327722:UYS327722 VIC327722:VIO327722 VRY327722:VSK327722 WBU327722:WCG327722 WLQ327722:WMC327722 WVM327722:WVY327722 F393258:Q393258 JA393258:JM393258 SW393258:TI393258 ACS393258:ADE393258 AMO393258:ANA393258 AWK393258:AWW393258 BGG393258:BGS393258 BQC393258:BQO393258 BZY393258:CAK393258 CJU393258:CKG393258 CTQ393258:CUC393258 DDM393258:DDY393258 DNI393258:DNU393258 DXE393258:DXQ393258 EHA393258:EHM393258 EQW393258:ERI393258 FAS393258:FBE393258 FKO393258:FLA393258 FUK393258:FUW393258 GEG393258:GES393258 GOC393258:GOO393258 GXY393258:GYK393258 HHU393258:HIG393258 HRQ393258:HSC393258 IBM393258:IBY393258 ILI393258:ILU393258 IVE393258:IVQ393258 JFA393258:JFM393258 JOW393258:JPI393258 JYS393258:JZE393258 KIO393258:KJA393258 KSK393258:KSW393258 LCG393258:LCS393258 LMC393258:LMO393258 LVY393258:LWK393258 MFU393258:MGG393258 MPQ393258:MQC393258 MZM393258:MZY393258 NJI393258:NJU393258 NTE393258:NTQ393258 ODA393258:ODM393258 OMW393258:ONI393258 OWS393258:OXE393258 PGO393258:PHA393258 PQK393258:PQW393258 QAG393258:QAS393258 QKC393258:QKO393258 QTY393258:QUK393258 RDU393258:REG393258 RNQ393258:ROC393258 RXM393258:RXY393258 SHI393258:SHU393258 SRE393258:SRQ393258 TBA393258:TBM393258 TKW393258:TLI393258 TUS393258:TVE393258 UEO393258:UFA393258 UOK393258:UOW393258 UYG393258:UYS393258 VIC393258:VIO393258 VRY393258:VSK393258 WBU393258:WCG393258 WLQ393258:WMC393258 WVM393258:WVY393258 F458794:Q458794 JA458794:JM458794 SW458794:TI458794 ACS458794:ADE458794 AMO458794:ANA458794 AWK458794:AWW458794 BGG458794:BGS458794 BQC458794:BQO458794 BZY458794:CAK458794 CJU458794:CKG458794 CTQ458794:CUC458794 DDM458794:DDY458794 DNI458794:DNU458794 DXE458794:DXQ458794 EHA458794:EHM458794 EQW458794:ERI458794 FAS458794:FBE458794 FKO458794:FLA458794 FUK458794:FUW458794 GEG458794:GES458794 GOC458794:GOO458794 GXY458794:GYK458794 HHU458794:HIG458794 HRQ458794:HSC458794 IBM458794:IBY458794 ILI458794:ILU458794 IVE458794:IVQ458794 JFA458794:JFM458794 JOW458794:JPI458794 JYS458794:JZE458794 KIO458794:KJA458794 KSK458794:KSW458794 LCG458794:LCS458794 LMC458794:LMO458794 LVY458794:LWK458794 MFU458794:MGG458794 MPQ458794:MQC458794 MZM458794:MZY458794 NJI458794:NJU458794 NTE458794:NTQ458794 ODA458794:ODM458794 OMW458794:ONI458794 OWS458794:OXE458794 PGO458794:PHA458794 PQK458794:PQW458794 QAG458794:QAS458794 QKC458794:QKO458794 QTY458794:QUK458794 RDU458794:REG458794 RNQ458794:ROC458794 RXM458794:RXY458794 SHI458794:SHU458794 SRE458794:SRQ458794 TBA458794:TBM458794 TKW458794:TLI458794 TUS458794:TVE458794 UEO458794:UFA458794 UOK458794:UOW458794 UYG458794:UYS458794 VIC458794:VIO458794 VRY458794:VSK458794 WBU458794:WCG458794 WLQ458794:WMC458794 WVM458794:WVY458794 F524330:Q524330 JA524330:JM524330 SW524330:TI524330 ACS524330:ADE524330 AMO524330:ANA524330 AWK524330:AWW524330 BGG524330:BGS524330 BQC524330:BQO524330 BZY524330:CAK524330 CJU524330:CKG524330 CTQ524330:CUC524330 DDM524330:DDY524330 DNI524330:DNU524330 DXE524330:DXQ524330 EHA524330:EHM524330 EQW524330:ERI524330 FAS524330:FBE524330 FKO524330:FLA524330 FUK524330:FUW524330 GEG524330:GES524330 GOC524330:GOO524330 GXY524330:GYK524330 HHU524330:HIG524330 HRQ524330:HSC524330 IBM524330:IBY524330 ILI524330:ILU524330 IVE524330:IVQ524330 JFA524330:JFM524330 JOW524330:JPI524330 JYS524330:JZE524330 KIO524330:KJA524330 KSK524330:KSW524330 LCG524330:LCS524330 LMC524330:LMO524330 LVY524330:LWK524330 MFU524330:MGG524330 MPQ524330:MQC524330 MZM524330:MZY524330 NJI524330:NJU524330 NTE524330:NTQ524330 ODA524330:ODM524330 OMW524330:ONI524330 OWS524330:OXE524330 PGO524330:PHA524330 PQK524330:PQW524330 QAG524330:QAS524330 QKC524330:QKO524330 QTY524330:QUK524330 RDU524330:REG524330 RNQ524330:ROC524330 RXM524330:RXY524330 SHI524330:SHU524330 SRE524330:SRQ524330 TBA524330:TBM524330 TKW524330:TLI524330 TUS524330:TVE524330 UEO524330:UFA524330 UOK524330:UOW524330 UYG524330:UYS524330 VIC524330:VIO524330 VRY524330:VSK524330 WBU524330:WCG524330 WLQ524330:WMC524330 WVM524330:WVY524330 F589866:Q589866 JA589866:JM589866 SW589866:TI589866 ACS589866:ADE589866 AMO589866:ANA589866 AWK589866:AWW589866 BGG589866:BGS589866 BQC589866:BQO589866 BZY589866:CAK589866 CJU589866:CKG589866 CTQ589866:CUC589866 DDM589866:DDY589866 DNI589866:DNU589866 DXE589866:DXQ589866 EHA589866:EHM589866 EQW589866:ERI589866 FAS589866:FBE589866 FKO589866:FLA589866 FUK589866:FUW589866 GEG589866:GES589866 GOC589866:GOO589866 GXY589866:GYK589866 HHU589866:HIG589866 HRQ589866:HSC589866 IBM589866:IBY589866 ILI589866:ILU589866 IVE589866:IVQ589866 JFA589866:JFM589866 JOW589866:JPI589866 JYS589866:JZE589866 KIO589866:KJA589866 KSK589866:KSW589866 LCG589866:LCS589866 LMC589866:LMO589866 LVY589866:LWK589866 MFU589866:MGG589866 MPQ589866:MQC589866 MZM589866:MZY589866 NJI589866:NJU589866 NTE589866:NTQ589866 ODA589866:ODM589866 OMW589866:ONI589866 OWS589866:OXE589866 PGO589866:PHA589866 PQK589866:PQW589866 QAG589866:QAS589866 QKC589866:QKO589866 QTY589866:QUK589866 RDU589866:REG589866 RNQ589866:ROC589866 RXM589866:RXY589866 SHI589866:SHU589866 SRE589866:SRQ589866 TBA589866:TBM589866 TKW589866:TLI589866 TUS589866:TVE589866 UEO589866:UFA589866 UOK589866:UOW589866 UYG589866:UYS589866 VIC589866:VIO589866 VRY589866:VSK589866 WBU589866:WCG589866 WLQ589866:WMC589866 WVM589866:WVY589866 F655402:Q655402 JA655402:JM655402 SW655402:TI655402 ACS655402:ADE655402 AMO655402:ANA655402 AWK655402:AWW655402 BGG655402:BGS655402 BQC655402:BQO655402 BZY655402:CAK655402 CJU655402:CKG655402 CTQ655402:CUC655402 DDM655402:DDY655402 DNI655402:DNU655402 DXE655402:DXQ655402 EHA655402:EHM655402 EQW655402:ERI655402 FAS655402:FBE655402 FKO655402:FLA655402 FUK655402:FUW655402 GEG655402:GES655402 GOC655402:GOO655402 GXY655402:GYK655402 HHU655402:HIG655402 HRQ655402:HSC655402 IBM655402:IBY655402 ILI655402:ILU655402 IVE655402:IVQ655402 JFA655402:JFM655402 JOW655402:JPI655402 JYS655402:JZE655402 KIO655402:KJA655402 KSK655402:KSW655402 LCG655402:LCS655402 LMC655402:LMO655402 LVY655402:LWK655402 MFU655402:MGG655402 MPQ655402:MQC655402 MZM655402:MZY655402 NJI655402:NJU655402 NTE655402:NTQ655402 ODA655402:ODM655402 OMW655402:ONI655402 OWS655402:OXE655402 PGO655402:PHA655402 PQK655402:PQW655402 QAG655402:QAS655402 QKC655402:QKO655402 QTY655402:QUK655402 RDU655402:REG655402 RNQ655402:ROC655402 RXM655402:RXY655402 SHI655402:SHU655402 SRE655402:SRQ655402 TBA655402:TBM655402 TKW655402:TLI655402 TUS655402:TVE655402 UEO655402:UFA655402 UOK655402:UOW655402 UYG655402:UYS655402 VIC655402:VIO655402 VRY655402:VSK655402 WBU655402:WCG655402 WLQ655402:WMC655402 WVM655402:WVY655402 F720938:Q720938 JA720938:JM720938 SW720938:TI720938 ACS720938:ADE720938 AMO720938:ANA720938 AWK720938:AWW720938 BGG720938:BGS720938 BQC720938:BQO720938 BZY720938:CAK720938 CJU720938:CKG720938 CTQ720938:CUC720938 DDM720938:DDY720938 DNI720938:DNU720938 DXE720938:DXQ720938 EHA720938:EHM720938 EQW720938:ERI720938 FAS720938:FBE720938 FKO720938:FLA720938 FUK720938:FUW720938 GEG720938:GES720938 GOC720938:GOO720938 GXY720938:GYK720938 HHU720938:HIG720938 HRQ720938:HSC720938 IBM720938:IBY720938 ILI720938:ILU720938 IVE720938:IVQ720938 JFA720938:JFM720938 JOW720938:JPI720938 JYS720938:JZE720938 KIO720938:KJA720938 KSK720938:KSW720938 LCG720938:LCS720938 LMC720938:LMO720938 LVY720938:LWK720938 MFU720938:MGG720938 MPQ720938:MQC720938 MZM720938:MZY720938 NJI720938:NJU720938 NTE720938:NTQ720938 ODA720938:ODM720938 OMW720938:ONI720938 OWS720938:OXE720938 PGO720938:PHA720938 PQK720938:PQW720938 QAG720938:QAS720938 QKC720938:QKO720938 QTY720938:QUK720938 RDU720938:REG720938 RNQ720938:ROC720938 RXM720938:RXY720938 SHI720938:SHU720938 SRE720938:SRQ720938 TBA720938:TBM720938 TKW720938:TLI720938 TUS720938:TVE720938 UEO720938:UFA720938 UOK720938:UOW720938 UYG720938:UYS720938 VIC720938:VIO720938 VRY720938:VSK720938 WBU720938:WCG720938 WLQ720938:WMC720938 WVM720938:WVY720938 F786474:Q786474 JA786474:JM786474 SW786474:TI786474 ACS786474:ADE786474 AMO786474:ANA786474 AWK786474:AWW786474 BGG786474:BGS786474 BQC786474:BQO786474 BZY786474:CAK786474 CJU786474:CKG786474 CTQ786474:CUC786474 DDM786474:DDY786474 DNI786474:DNU786474 DXE786474:DXQ786474 EHA786474:EHM786474 EQW786474:ERI786474 FAS786474:FBE786474 FKO786474:FLA786474 FUK786474:FUW786474 GEG786474:GES786474 GOC786474:GOO786474 GXY786474:GYK786474 HHU786474:HIG786474 HRQ786474:HSC786474 IBM786474:IBY786474 ILI786474:ILU786474 IVE786474:IVQ786474 JFA786474:JFM786474 JOW786474:JPI786474 JYS786474:JZE786474 KIO786474:KJA786474 KSK786474:KSW786474 LCG786474:LCS786474 LMC786474:LMO786474 LVY786474:LWK786474 MFU786474:MGG786474 MPQ786474:MQC786474 MZM786474:MZY786474 NJI786474:NJU786474 NTE786474:NTQ786474 ODA786474:ODM786474 OMW786474:ONI786474 OWS786474:OXE786474 PGO786474:PHA786474 PQK786474:PQW786474 QAG786474:QAS786474 QKC786474:QKO786474 QTY786474:QUK786474 RDU786474:REG786474 RNQ786474:ROC786474 RXM786474:RXY786474 SHI786474:SHU786474 SRE786474:SRQ786474 TBA786474:TBM786474 TKW786474:TLI786474 TUS786474:TVE786474 UEO786474:UFA786474 UOK786474:UOW786474 UYG786474:UYS786474 VIC786474:VIO786474 VRY786474:VSK786474 WBU786474:WCG786474 WLQ786474:WMC786474 WVM786474:WVY786474 F852010:Q852010 JA852010:JM852010 SW852010:TI852010 ACS852010:ADE852010 AMO852010:ANA852010 AWK852010:AWW852010 BGG852010:BGS852010 BQC852010:BQO852010 BZY852010:CAK852010 CJU852010:CKG852010 CTQ852010:CUC852010 DDM852010:DDY852010 DNI852010:DNU852010 DXE852010:DXQ852010 EHA852010:EHM852010 EQW852010:ERI852010 FAS852010:FBE852010 FKO852010:FLA852010 FUK852010:FUW852010 GEG852010:GES852010 GOC852010:GOO852010 GXY852010:GYK852010 HHU852010:HIG852010 HRQ852010:HSC852010 IBM852010:IBY852010 ILI852010:ILU852010 IVE852010:IVQ852010 JFA852010:JFM852010 JOW852010:JPI852010 JYS852010:JZE852010 KIO852010:KJA852010 KSK852010:KSW852010 LCG852010:LCS852010 LMC852010:LMO852010 LVY852010:LWK852010 MFU852010:MGG852010 MPQ852010:MQC852010 MZM852010:MZY852010 NJI852010:NJU852010 NTE852010:NTQ852010 ODA852010:ODM852010 OMW852010:ONI852010 OWS852010:OXE852010 PGO852010:PHA852010 PQK852010:PQW852010 QAG852010:QAS852010 QKC852010:QKO852010 QTY852010:QUK852010 RDU852010:REG852010 RNQ852010:ROC852010 RXM852010:RXY852010 SHI852010:SHU852010 SRE852010:SRQ852010 TBA852010:TBM852010 TKW852010:TLI852010 TUS852010:TVE852010 UEO852010:UFA852010 UOK852010:UOW852010 UYG852010:UYS852010 VIC852010:VIO852010 VRY852010:VSK852010 WBU852010:WCG852010 WLQ852010:WMC852010 WVM852010:WVY852010 F917546:Q917546 JA917546:JM917546 SW917546:TI917546 ACS917546:ADE917546 AMO917546:ANA917546 AWK917546:AWW917546 BGG917546:BGS917546 BQC917546:BQO917546 BZY917546:CAK917546 CJU917546:CKG917546 CTQ917546:CUC917546 DDM917546:DDY917546 DNI917546:DNU917546 DXE917546:DXQ917546 EHA917546:EHM917546 EQW917546:ERI917546 FAS917546:FBE917546 FKO917546:FLA917546 FUK917546:FUW917546 GEG917546:GES917546 GOC917546:GOO917546 GXY917546:GYK917546 HHU917546:HIG917546 HRQ917546:HSC917546 IBM917546:IBY917546 ILI917546:ILU917546 IVE917546:IVQ917546 JFA917546:JFM917546 JOW917546:JPI917546 JYS917546:JZE917546 KIO917546:KJA917546 KSK917546:KSW917546 LCG917546:LCS917546 LMC917546:LMO917546 LVY917546:LWK917546 MFU917546:MGG917546 MPQ917546:MQC917546 MZM917546:MZY917546 NJI917546:NJU917546 NTE917546:NTQ917546 ODA917546:ODM917546 OMW917546:ONI917546 OWS917546:OXE917546 PGO917546:PHA917546 PQK917546:PQW917546 QAG917546:QAS917546 QKC917546:QKO917546 QTY917546:QUK917546 RDU917546:REG917546 RNQ917546:ROC917546 RXM917546:RXY917546 SHI917546:SHU917546 SRE917546:SRQ917546 TBA917546:TBM917546 TKW917546:TLI917546 TUS917546:TVE917546 UEO917546:UFA917546 UOK917546:UOW917546 UYG917546:UYS917546 VIC917546:VIO917546 VRY917546:VSK917546 WBU917546:WCG917546 WLQ917546:WMC917546 WVM917546:WVY917546 F983082:Q983082 JA983082:JM983082 SW983082:TI983082 ACS983082:ADE983082 AMO983082:ANA983082 AWK983082:AWW983082 BGG983082:BGS983082 BQC983082:BQO983082 BZY983082:CAK983082 CJU983082:CKG983082 CTQ983082:CUC983082 DDM983082:DDY983082 DNI983082:DNU983082 DXE983082:DXQ983082 EHA983082:EHM983082 EQW983082:ERI983082 FAS983082:FBE983082 FKO983082:FLA983082 FUK983082:FUW983082 GEG983082:GES983082 GOC983082:GOO983082 GXY983082:GYK983082 HHU983082:HIG983082 HRQ983082:HSC983082 IBM983082:IBY983082 ILI983082:ILU983082 IVE983082:IVQ983082 JFA983082:JFM983082 JOW983082:JPI983082 JYS983082:JZE983082 KIO983082:KJA983082 KSK983082:KSW983082 LCG983082:LCS983082 LMC983082:LMO983082 LVY983082:LWK983082 MFU983082:MGG983082 MPQ983082:MQC983082 MZM983082:MZY983082 NJI983082:NJU983082 NTE983082:NTQ983082 ODA983082:ODM983082 OMW983082:ONI983082 OWS983082:OXE983082 PGO983082:PHA983082 PQK983082:PQW983082 QAG983082:QAS983082 QKC983082:QKO983082 QTY983082:QUK983082 RDU983082:REG983082 RNQ983082:ROC983082 RXM983082:RXY983082 SHI983082:SHU983082 SRE983082:SRQ983082 TBA983082:TBM983082 TKW983082:TLI983082 TUS983082:TVE983082 UEO983082:UFA983082 UOK983082:UOW983082 UYG983082:UYS983082 VIC983082:VIO983082 VRY983082:VSK983082 WBU983082:WCG983082 WLQ983082:WMC983082 WVM983082:WVY983082 F25:Q25" xr:uid="{00000000-0002-0000-0200-000006000000}"/>
  </dataValidations>
  <hyperlinks>
    <hyperlink ref="R1" location="ins" display="Instructivo" xr:uid="{00000000-0004-0000-0200-000000000000}"/>
    <hyperlink ref="Q21" location="ANTI" display="Información anticipos" xr:uid="{00000000-0004-0000-0200-000001000000}"/>
    <hyperlink ref="R2" location="PPTOPSP" display="Presupuesto - modalidad contrato - prestación de servicios personales" xr:uid="{00000000-0004-0000-0200-000002000000}"/>
  </hyperlinks>
  <printOptions horizontalCentered="1"/>
  <pageMargins left="0" right="0" top="0" bottom="0" header="0.39370078740157483" footer="0"/>
  <pageSetup scale="38" fitToHeight="0" orientation="landscape" verticalDpi="4294967295" r:id="rId1"/>
  <headerFooter alignWithMargins="0">
    <oddFooter>&amp;R&amp;"Arial,Normal"&amp;K01+000Página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AB17E-B996-4884-B221-D180E8C7F592}">
  <sheetPr>
    <tabColor theme="5" tint="0.39997558519241921"/>
    <pageSetUpPr fitToPage="1"/>
  </sheetPr>
  <dimension ref="A1:AQ236"/>
  <sheetViews>
    <sheetView showGridLines="0" zoomScale="70" zoomScaleNormal="70" zoomScaleSheetLayoutView="80" workbookViewId="0">
      <selection activeCell="E210" sqref="E210"/>
    </sheetView>
  </sheetViews>
  <sheetFormatPr defaultColWidth="12" defaultRowHeight="18" customHeight="1"/>
  <cols>
    <col min="1" max="1" width="30.1640625" style="65" customWidth="1"/>
    <col min="2" max="2" width="52.5" style="65" customWidth="1"/>
    <col min="3" max="3" width="20.33203125" style="65" customWidth="1"/>
    <col min="4" max="4" width="19.6640625" style="91" customWidth="1"/>
    <col min="5" max="6" width="22.83203125" style="65" customWidth="1"/>
    <col min="7" max="7" width="20.5" style="65" customWidth="1"/>
    <col min="8" max="8" width="27.33203125" style="65" customWidth="1"/>
    <col min="9" max="10" width="22.83203125" style="65" customWidth="1"/>
    <col min="11" max="30" width="22.83203125" style="65" hidden="1" customWidth="1"/>
    <col min="31" max="31" width="22.83203125" style="65" customWidth="1"/>
    <col min="32" max="32" width="15.33203125" style="65" customWidth="1"/>
    <col min="33" max="33" width="35.1640625" style="65" customWidth="1"/>
    <col min="34" max="268" width="12" style="65"/>
    <col min="269" max="269" width="16.33203125" style="65" customWidth="1"/>
    <col min="270" max="270" width="30.83203125" style="65" customWidth="1"/>
    <col min="271" max="271" width="15.1640625" style="65" customWidth="1"/>
    <col min="272" max="272" width="17" style="65" customWidth="1"/>
    <col min="273" max="273" width="16.33203125" style="65" customWidth="1"/>
    <col min="274" max="277" width="13" style="65" bestFit="1" customWidth="1"/>
    <col min="278" max="284" width="13" style="65" customWidth="1"/>
    <col min="285" max="285" width="13" style="65" bestFit="1" customWidth="1"/>
    <col min="286" max="286" width="17.5" style="65" customWidth="1"/>
    <col min="287" max="524" width="12" style="65"/>
    <col min="525" max="525" width="16.33203125" style="65" customWidth="1"/>
    <col min="526" max="526" width="30.83203125" style="65" customWidth="1"/>
    <col min="527" max="527" width="15.1640625" style="65" customWidth="1"/>
    <col min="528" max="528" width="17" style="65" customWidth="1"/>
    <col min="529" max="529" width="16.33203125" style="65" customWidth="1"/>
    <col min="530" max="533" width="13" style="65" bestFit="1" customWidth="1"/>
    <col min="534" max="540" width="13" style="65" customWidth="1"/>
    <col min="541" max="541" width="13" style="65" bestFit="1" customWidth="1"/>
    <col min="542" max="542" width="17.5" style="65" customWidth="1"/>
    <col min="543" max="780" width="12" style="65"/>
    <col min="781" max="781" width="16.33203125" style="65" customWidth="1"/>
    <col min="782" max="782" width="30.83203125" style="65" customWidth="1"/>
    <col min="783" max="783" width="15.1640625" style="65" customWidth="1"/>
    <col min="784" max="784" width="17" style="65" customWidth="1"/>
    <col min="785" max="785" width="16.33203125" style="65" customWidth="1"/>
    <col min="786" max="789" width="13" style="65" bestFit="1" customWidth="1"/>
    <col min="790" max="796" width="13" style="65" customWidth="1"/>
    <col min="797" max="797" width="13" style="65" bestFit="1" customWidth="1"/>
    <col min="798" max="798" width="17.5" style="65" customWidth="1"/>
    <col min="799" max="1036" width="12" style="65"/>
    <col min="1037" max="1037" width="16.33203125" style="65" customWidth="1"/>
    <col min="1038" max="1038" width="30.83203125" style="65" customWidth="1"/>
    <col min="1039" max="1039" width="15.1640625" style="65" customWidth="1"/>
    <col min="1040" max="1040" width="17" style="65" customWidth="1"/>
    <col min="1041" max="1041" width="16.33203125" style="65" customWidth="1"/>
    <col min="1042" max="1045" width="13" style="65" bestFit="1" customWidth="1"/>
    <col min="1046" max="1052" width="13" style="65" customWidth="1"/>
    <col min="1053" max="1053" width="13" style="65" bestFit="1" customWidth="1"/>
    <col min="1054" max="1054" width="17.5" style="65" customWidth="1"/>
    <col min="1055" max="1292" width="12" style="65"/>
    <col min="1293" max="1293" width="16.33203125" style="65" customWidth="1"/>
    <col min="1294" max="1294" width="30.83203125" style="65" customWidth="1"/>
    <col min="1295" max="1295" width="15.1640625" style="65" customWidth="1"/>
    <col min="1296" max="1296" width="17" style="65" customWidth="1"/>
    <col min="1297" max="1297" width="16.33203125" style="65" customWidth="1"/>
    <col min="1298" max="1301" width="13" style="65" bestFit="1" customWidth="1"/>
    <col min="1302" max="1308" width="13" style="65" customWidth="1"/>
    <col min="1309" max="1309" width="13" style="65" bestFit="1" customWidth="1"/>
    <col min="1310" max="1310" width="17.5" style="65" customWidth="1"/>
    <col min="1311" max="1548" width="12" style="65"/>
    <col min="1549" max="1549" width="16.33203125" style="65" customWidth="1"/>
    <col min="1550" max="1550" width="30.83203125" style="65" customWidth="1"/>
    <col min="1551" max="1551" width="15.1640625" style="65" customWidth="1"/>
    <col min="1552" max="1552" width="17" style="65" customWidth="1"/>
    <col min="1553" max="1553" width="16.33203125" style="65" customWidth="1"/>
    <col min="1554" max="1557" width="13" style="65" bestFit="1" customWidth="1"/>
    <col min="1558" max="1564" width="13" style="65" customWidth="1"/>
    <col min="1565" max="1565" width="13" style="65" bestFit="1" customWidth="1"/>
    <col min="1566" max="1566" width="17.5" style="65" customWidth="1"/>
    <col min="1567" max="1804" width="12" style="65"/>
    <col min="1805" max="1805" width="16.33203125" style="65" customWidth="1"/>
    <col min="1806" max="1806" width="30.83203125" style="65" customWidth="1"/>
    <col min="1807" max="1807" width="15.1640625" style="65" customWidth="1"/>
    <col min="1808" max="1808" width="17" style="65" customWidth="1"/>
    <col min="1809" max="1809" width="16.33203125" style="65" customWidth="1"/>
    <col min="1810" max="1813" width="13" style="65" bestFit="1" customWidth="1"/>
    <col min="1814" max="1820" width="13" style="65" customWidth="1"/>
    <col min="1821" max="1821" width="13" style="65" bestFit="1" customWidth="1"/>
    <col min="1822" max="1822" width="17.5" style="65" customWidth="1"/>
    <col min="1823" max="2060" width="12" style="65"/>
    <col min="2061" max="2061" width="16.33203125" style="65" customWidth="1"/>
    <col min="2062" max="2062" width="30.83203125" style="65" customWidth="1"/>
    <col min="2063" max="2063" width="15.1640625" style="65" customWidth="1"/>
    <col min="2064" max="2064" width="17" style="65" customWidth="1"/>
    <col min="2065" max="2065" width="16.33203125" style="65" customWidth="1"/>
    <col min="2066" max="2069" width="13" style="65" bestFit="1" customWidth="1"/>
    <col min="2070" max="2076" width="13" style="65" customWidth="1"/>
    <col min="2077" max="2077" width="13" style="65" bestFit="1" customWidth="1"/>
    <col min="2078" max="2078" width="17.5" style="65" customWidth="1"/>
    <col min="2079" max="2316" width="12" style="65"/>
    <col min="2317" max="2317" width="16.33203125" style="65" customWidth="1"/>
    <col min="2318" max="2318" width="30.83203125" style="65" customWidth="1"/>
    <col min="2319" max="2319" width="15.1640625" style="65" customWidth="1"/>
    <col min="2320" max="2320" width="17" style="65" customWidth="1"/>
    <col min="2321" max="2321" width="16.33203125" style="65" customWidth="1"/>
    <col min="2322" max="2325" width="13" style="65" bestFit="1" customWidth="1"/>
    <col min="2326" max="2332" width="13" style="65" customWidth="1"/>
    <col min="2333" max="2333" width="13" style="65" bestFit="1" customWidth="1"/>
    <col min="2334" max="2334" width="17.5" style="65" customWidth="1"/>
    <col min="2335" max="2572" width="12" style="65"/>
    <col min="2573" max="2573" width="16.33203125" style="65" customWidth="1"/>
    <col min="2574" max="2574" width="30.83203125" style="65" customWidth="1"/>
    <col min="2575" max="2575" width="15.1640625" style="65" customWidth="1"/>
    <col min="2576" max="2576" width="17" style="65" customWidth="1"/>
    <col min="2577" max="2577" width="16.33203125" style="65" customWidth="1"/>
    <col min="2578" max="2581" width="13" style="65" bestFit="1" customWidth="1"/>
    <col min="2582" max="2588" width="13" style="65" customWidth="1"/>
    <col min="2589" max="2589" width="13" style="65" bestFit="1" customWidth="1"/>
    <col min="2590" max="2590" width="17.5" style="65" customWidth="1"/>
    <col min="2591" max="2828" width="12" style="65"/>
    <col min="2829" max="2829" width="16.33203125" style="65" customWidth="1"/>
    <col min="2830" max="2830" width="30.83203125" style="65" customWidth="1"/>
    <col min="2831" max="2831" width="15.1640625" style="65" customWidth="1"/>
    <col min="2832" max="2832" width="17" style="65" customWidth="1"/>
    <col min="2833" max="2833" width="16.33203125" style="65" customWidth="1"/>
    <col min="2834" max="2837" width="13" style="65" bestFit="1" customWidth="1"/>
    <col min="2838" max="2844" width="13" style="65" customWidth="1"/>
    <col min="2845" max="2845" width="13" style="65" bestFit="1" customWidth="1"/>
    <col min="2846" max="2846" width="17.5" style="65" customWidth="1"/>
    <col min="2847" max="3084" width="12" style="65"/>
    <col min="3085" max="3085" width="16.33203125" style="65" customWidth="1"/>
    <col min="3086" max="3086" width="30.83203125" style="65" customWidth="1"/>
    <col min="3087" max="3087" width="15.1640625" style="65" customWidth="1"/>
    <col min="3088" max="3088" width="17" style="65" customWidth="1"/>
    <col min="3089" max="3089" width="16.33203125" style="65" customWidth="1"/>
    <col min="3090" max="3093" width="13" style="65" bestFit="1" customWidth="1"/>
    <col min="3094" max="3100" width="13" style="65" customWidth="1"/>
    <col min="3101" max="3101" width="13" style="65" bestFit="1" customWidth="1"/>
    <col min="3102" max="3102" width="17.5" style="65" customWidth="1"/>
    <col min="3103" max="3340" width="12" style="65"/>
    <col min="3341" max="3341" width="16.33203125" style="65" customWidth="1"/>
    <col min="3342" max="3342" width="30.83203125" style="65" customWidth="1"/>
    <col min="3343" max="3343" width="15.1640625" style="65" customWidth="1"/>
    <col min="3344" max="3344" width="17" style="65" customWidth="1"/>
    <col min="3345" max="3345" width="16.33203125" style="65" customWidth="1"/>
    <col min="3346" max="3349" width="13" style="65" bestFit="1" customWidth="1"/>
    <col min="3350" max="3356" width="13" style="65" customWidth="1"/>
    <col min="3357" max="3357" width="13" style="65" bestFit="1" customWidth="1"/>
    <col min="3358" max="3358" width="17.5" style="65" customWidth="1"/>
    <col min="3359" max="3596" width="12" style="65"/>
    <col min="3597" max="3597" width="16.33203125" style="65" customWidth="1"/>
    <col min="3598" max="3598" width="30.83203125" style="65" customWidth="1"/>
    <col min="3599" max="3599" width="15.1640625" style="65" customWidth="1"/>
    <col min="3600" max="3600" width="17" style="65" customWidth="1"/>
    <col min="3601" max="3601" width="16.33203125" style="65" customWidth="1"/>
    <col min="3602" max="3605" width="13" style="65" bestFit="1" customWidth="1"/>
    <col min="3606" max="3612" width="13" style="65" customWidth="1"/>
    <col min="3613" max="3613" width="13" style="65" bestFit="1" customWidth="1"/>
    <col min="3614" max="3614" width="17.5" style="65" customWidth="1"/>
    <col min="3615" max="3852" width="12" style="65"/>
    <col min="3853" max="3853" width="16.33203125" style="65" customWidth="1"/>
    <col min="3854" max="3854" width="30.83203125" style="65" customWidth="1"/>
    <col min="3855" max="3855" width="15.1640625" style="65" customWidth="1"/>
    <col min="3856" max="3856" width="17" style="65" customWidth="1"/>
    <col min="3857" max="3857" width="16.33203125" style="65" customWidth="1"/>
    <col min="3858" max="3861" width="13" style="65" bestFit="1" customWidth="1"/>
    <col min="3862" max="3868" width="13" style="65" customWidth="1"/>
    <col min="3869" max="3869" width="13" style="65" bestFit="1" customWidth="1"/>
    <col min="3870" max="3870" width="17.5" style="65" customWidth="1"/>
    <col min="3871" max="4108" width="12" style="65"/>
    <col min="4109" max="4109" width="16.33203125" style="65" customWidth="1"/>
    <col min="4110" max="4110" width="30.83203125" style="65" customWidth="1"/>
    <col min="4111" max="4111" width="15.1640625" style="65" customWidth="1"/>
    <col min="4112" max="4112" width="17" style="65" customWidth="1"/>
    <col min="4113" max="4113" width="16.33203125" style="65" customWidth="1"/>
    <col min="4114" max="4117" width="13" style="65" bestFit="1" customWidth="1"/>
    <col min="4118" max="4124" width="13" style="65" customWidth="1"/>
    <col min="4125" max="4125" width="13" style="65" bestFit="1" customWidth="1"/>
    <col min="4126" max="4126" width="17.5" style="65" customWidth="1"/>
    <col min="4127" max="4364" width="12" style="65"/>
    <col min="4365" max="4365" width="16.33203125" style="65" customWidth="1"/>
    <col min="4366" max="4366" width="30.83203125" style="65" customWidth="1"/>
    <col min="4367" max="4367" width="15.1640625" style="65" customWidth="1"/>
    <col min="4368" max="4368" width="17" style="65" customWidth="1"/>
    <col min="4369" max="4369" width="16.33203125" style="65" customWidth="1"/>
    <col min="4370" max="4373" width="13" style="65" bestFit="1" customWidth="1"/>
    <col min="4374" max="4380" width="13" style="65" customWidth="1"/>
    <col min="4381" max="4381" width="13" style="65" bestFit="1" customWidth="1"/>
    <col min="4382" max="4382" width="17.5" style="65" customWidth="1"/>
    <col min="4383" max="4620" width="12" style="65"/>
    <col min="4621" max="4621" width="16.33203125" style="65" customWidth="1"/>
    <col min="4622" max="4622" width="30.83203125" style="65" customWidth="1"/>
    <col min="4623" max="4623" width="15.1640625" style="65" customWidth="1"/>
    <col min="4624" max="4624" width="17" style="65" customWidth="1"/>
    <col min="4625" max="4625" width="16.33203125" style="65" customWidth="1"/>
    <col min="4626" max="4629" width="13" style="65" bestFit="1" customWidth="1"/>
    <col min="4630" max="4636" width="13" style="65" customWidth="1"/>
    <col min="4637" max="4637" width="13" style="65" bestFit="1" customWidth="1"/>
    <col min="4638" max="4638" width="17.5" style="65" customWidth="1"/>
    <col min="4639" max="4876" width="12" style="65"/>
    <col min="4877" max="4877" width="16.33203125" style="65" customWidth="1"/>
    <col min="4878" max="4878" width="30.83203125" style="65" customWidth="1"/>
    <col min="4879" max="4879" width="15.1640625" style="65" customWidth="1"/>
    <col min="4880" max="4880" width="17" style="65" customWidth="1"/>
    <col min="4881" max="4881" width="16.33203125" style="65" customWidth="1"/>
    <col min="4882" max="4885" width="13" style="65" bestFit="1" customWidth="1"/>
    <col min="4886" max="4892" width="13" style="65" customWidth="1"/>
    <col min="4893" max="4893" width="13" style="65" bestFit="1" customWidth="1"/>
    <col min="4894" max="4894" width="17.5" style="65" customWidth="1"/>
    <col min="4895" max="5132" width="12" style="65"/>
    <col min="5133" max="5133" width="16.33203125" style="65" customWidth="1"/>
    <col min="5134" max="5134" width="30.83203125" style="65" customWidth="1"/>
    <col min="5135" max="5135" width="15.1640625" style="65" customWidth="1"/>
    <col min="5136" max="5136" width="17" style="65" customWidth="1"/>
    <col min="5137" max="5137" width="16.33203125" style="65" customWidth="1"/>
    <col min="5138" max="5141" width="13" style="65" bestFit="1" customWidth="1"/>
    <col min="5142" max="5148" width="13" style="65" customWidth="1"/>
    <col min="5149" max="5149" width="13" style="65" bestFit="1" customWidth="1"/>
    <col min="5150" max="5150" width="17.5" style="65" customWidth="1"/>
    <col min="5151" max="5388" width="12" style="65"/>
    <col min="5389" max="5389" width="16.33203125" style="65" customWidth="1"/>
    <col min="5390" max="5390" width="30.83203125" style="65" customWidth="1"/>
    <col min="5391" max="5391" width="15.1640625" style="65" customWidth="1"/>
    <col min="5392" max="5392" width="17" style="65" customWidth="1"/>
    <col min="5393" max="5393" width="16.33203125" style="65" customWidth="1"/>
    <col min="5394" max="5397" width="13" style="65" bestFit="1" customWidth="1"/>
    <col min="5398" max="5404" width="13" style="65" customWidth="1"/>
    <col min="5405" max="5405" width="13" style="65" bestFit="1" customWidth="1"/>
    <col min="5406" max="5406" width="17.5" style="65" customWidth="1"/>
    <col min="5407" max="5644" width="12" style="65"/>
    <col min="5645" max="5645" width="16.33203125" style="65" customWidth="1"/>
    <col min="5646" max="5646" width="30.83203125" style="65" customWidth="1"/>
    <col min="5647" max="5647" width="15.1640625" style="65" customWidth="1"/>
    <col min="5648" max="5648" width="17" style="65" customWidth="1"/>
    <col min="5649" max="5649" width="16.33203125" style="65" customWidth="1"/>
    <col min="5650" max="5653" width="13" style="65" bestFit="1" customWidth="1"/>
    <col min="5654" max="5660" width="13" style="65" customWidth="1"/>
    <col min="5661" max="5661" width="13" style="65" bestFit="1" customWidth="1"/>
    <col min="5662" max="5662" width="17.5" style="65" customWidth="1"/>
    <col min="5663" max="5900" width="12" style="65"/>
    <col min="5901" max="5901" width="16.33203125" style="65" customWidth="1"/>
    <col min="5902" max="5902" width="30.83203125" style="65" customWidth="1"/>
    <col min="5903" max="5903" width="15.1640625" style="65" customWidth="1"/>
    <col min="5904" max="5904" width="17" style="65" customWidth="1"/>
    <col min="5905" max="5905" width="16.33203125" style="65" customWidth="1"/>
    <col min="5906" max="5909" width="13" style="65" bestFit="1" customWidth="1"/>
    <col min="5910" max="5916" width="13" style="65" customWidth="1"/>
    <col min="5917" max="5917" width="13" style="65" bestFit="1" customWidth="1"/>
    <col min="5918" max="5918" width="17.5" style="65" customWidth="1"/>
    <col min="5919" max="6156" width="12" style="65"/>
    <col min="6157" max="6157" width="16.33203125" style="65" customWidth="1"/>
    <col min="6158" max="6158" width="30.83203125" style="65" customWidth="1"/>
    <col min="6159" max="6159" width="15.1640625" style="65" customWidth="1"/>
    <col min="6160" max="6160" width="17" style="65" customWidth="1"/>
    <col min="6161" max="6161" width="16.33203125" style="65" customWidth="1"/>
    <col min="6162" max="6165" width="13" style="65" bestFit="1" customWidth="1"/>
    <col min="6166" max="6172" width="13" style="65" customWidth="1"/>
    <col min="6173" max="6173" width="13" style="65" bestFit="1" customWidth="1"/>
    <col min="6174" max="6174" width="17.5" style="65" customWidth="1"/>
    <col min="6175" max="6412" width="12" style="65"/>
    <col min="6413" max="6413" width="16.33203125" style="65" customWidth="1"/>
    <col min="6414" max="6414" width="30.83203125" style="65" customWidth="1"/>
    <col min="6415" max="6415" width="15.1640625" style="65" customWidth="1"/>
    <col min="6416" max="6416" width="17" style="65" customWidth="1"/>
    <col min="6417" max="6417" width="16.33203125" style="65" customWidth="1"/>
    <col min="6418" max="6421" width="13" style="65" bestFit="1" customWidth="1"/>
    <col min="6422" max="6428" width="13" style="65" customWidth="1"/>
    <col min="6429" max="6429" width="13" style="65" bestFit="1" customWidth="1"/>
    <col min="6430" max="6430" width="17.5" style="65" customWidth="1"/>
    <col min="6431" max="6668" width="12" style="65"/>
    <col min="6669" max="6669" width="16.33203125" style="65" customWidth="1"/>
    <col min="6670" max="6670" width="30.83203125" style="65" customWidth="1"/>
    <col min="6671" max="6671" width="15.1640625" style="65" customWidth="1"/>
    <col min="6672" max="6672" width="17" style="65" customWidth="1"/>
    <col min="6673" max="6673" width="16.33203125" style="65" customWidth="1"/>
    <col min="6674" max="6677" width="13" style="65" bestFit="1" customWidth="1"/>
    <col min="6678" max="6684" width="13" style="65" customWidth="1"/>
    <col min="6685" max="6685" width="13" style="65" bestFit="1" customWidth="1"/>
    <col min="6686" max="6686" width="17.5" style="65" customWidth="1"/>
    <col min="6687" max="6924" width="12" style="65"/>
    <col min="6925" max="6925" width="16.33203125" style="65" customWidth="1"/>
    <col min="6926" max="6926" width="30.83203125" style="65" customWidth="1"/>
    <col min="6927" max="6927" width="15.1640625" style="65" customWidth="1"/>
    <col min="6928" max="6928" width="17" style="65" customWidth="1"/>
    <col min="6929" max="6929" width="16.33203125" style="65" customWidth="1"/>
    <col min="6930" max="6933" width="13" style="65" bestFit="1" customWidth="1"/>
    <col min="6934" max="6940" width="13" style="65" customWidth="1"/>
    <col min="6941" max="6941" width="13" style="65" bestFit="1" customWidth="1"/>
    <col min="6942" max="6942" width="17.5" style="65" customWidth="1"/>
    <col min="6943" max="7180" width="12" style="65"/>
    <col min="7181" max="7181" width="16.33203125" style="65" customWidth="1"/>
    <col min="7182" max="7182" width="30.83203125" style="65" customWidth="1"/>
    <col min="7183" max="7183" width="15.1640625" style="65" customWidth="1"/>
    <col min="7184" max="7184" width="17" style="65" customWidth="1"/>
    <col min="7185" max="7185" width="16.33203125" style="65" customWidth="1"/>
    <col min="7186" max="7189" width="13" style="65" bestFit="1" customWidth="1"/>
    <col min="7190" max="7196" width="13" style="65" customWidth="1"/>
    <col min="7197" max="7197" width="13" style="65" bestFit="1" customWidth="1"/>
    <col min="7198" max="7198" width="17.5" style="65" customWidth="1"/>
    <col min="7199" max="7436" width="12" style="65"/>
    <col min="7437" max="7437" width="16.33203125" style="65" customWidth="1"/>
    <col min="7438" max="7438" width="30.83203125" style="65" customWidth="1"/>
    <col min="7439" max="7439" width="15.1640625" style="65" customWidth="1"/>
    <col min="7440" max="7440" width="17" style="65" customWidth="1"/>
    <col min="7441" max="7441" width="16.33203125" style="65" customWidth="1"/>
    <col min="7442" max="7445" width="13" style="65" bestFit="1" customWidth="1"/>
    <col min="7446" max="7452" width="13" style="65" customWidth="1"/>
    <col min="7453" max="7453" width="13" style="65" bestFit="1" customWidth="1"/>
    <col min="7454" max="7454" width="17.5" style="65" customWidth="1"/>
    <col min="7455" max="7692" width="12" style="65"/>
    <col min="7693" max="7693" width="16.33203125" style="65" customWidth="1"/>
    <col min="7694" max="7694" width="30.83203125" style="65" customWidth="1"/>
    <col min="7695" max="7695" width="15.1640625" style="65" customWidth="1"/>
    <col min="7696" max="7696" width="17" style="65" customWidth="1"/>
    <col min="7697" max="7697" width="16.33203125" style="65" customWidth="1"/>
    <col min="7698" max="7701" width="13" style="65" bestFit="1" customWidth="1"/>
    <col min="7702" max="7708" width="13" style="65" customWidth="1"/>
    <col min="7709" max="7709" width="13" style="65" bestFit="1" customWidth="1"/>
    <col min="7710" max="7710" width="17.5" style="65" customWidth="1"/>
    <col min="7711" max="7948" width="12" style="65"/>
    <col min="7949" max="7949" width="16.33203125" style="65" customWidth="1"/>
    <col min="7950" max="7950" width="30.83203125" style="65" customWidth="1"/>
    <col min="7951" max="7951" width="15.1640625" style="65" customWidth="1"/>
    <col min="7952" max="7952" width="17" style="65" customWidth="1"/>
    <col min="7953" max="7953" width="16.33203125" style="65" customWidth="1"/>
    <col min="7954" max="7957" width="13" style="65" bestFit="1" customWidth="1"/>
    <col min="7958" max="7964" width="13" style="65" customWidth="1"/>
    <col min="7965" max="7965" width="13" style="65" bestFit="1" customWidth="1"/>
    <col min="7966" max="7966" width="17.5" style="65" customWidth="1"/>
    <col min="7967" max="8204" width="12" style="65"/>
    <col min="8205" max="8205" width="16.33203125" style="65" customWidth="1"/>
    <col min="8206" max="8206" width="30.83203125" style="65" customWidth="1"/>
    <col min="8207" max="8207" width="15.1640625" style="65" customWidth="1"/>
    <col min="8208" max="8208" width="17" style="65" customWidth="1"/>
    <col min="8209" max="8209" width="16.33203125" style="65" customWidth="1"/>
    <col min="8210" max="8213" width="13" style="65" bestFit="1" customWidth="1"/>
    <col min="8214" max="8220" width="13" style="65" customWidth="1"/>
    <col min="8221" max="8221" width="13" style="65" bestFit="1" customWidth="1"/>
    <col min="8222" max="8222" width="17.5" style="65" customWidth="1"/>
    <col min="8223" max="8460" width="12" style="65"/>
    <col min="8461" max="8461" width="16.33203125" style="65" customWidth="1"/>
    <col min="8462" max="8462" width="30.83203125" style="65" customWidth="1"/>
    <col min="8463" max="8463" width="15.1640625" style="65" customWidth="1"/>
    <col min="8464" max="8464" width="17" style="65" customWidth="1"/>
    <col min="8465" max="8465" width="16.33203125" style="65" customWidth="1"/>
    <col min="8466" max="8469" width="13" style="65" bestFit="1" customWidth="1"/>
    <col min="8470" max="8476" width="13" style="65" customWidth="1"/>
    <col min="8477" max="8477" width="13" style="65" bestFit="1" customWidth="1"/>
    <col min="8478" max="8478" width="17.5" style="65" customWidth="1"/>
    <col min="8479" max="8716" width="12" style="65"/>
    <col min="8717" max="8717" width="16.33203125" style="65" customWidth="1"/>
    <col min="8718" max="8718" width="30.83203125" style="65" customWidth="1"/>
    <col min="8719" max="8719" width="15.1640625" style="65" customWidth="1"/>
    <col min="8720" max="8720" width="17" style="65" customWidth="1"/>
    <col min="8721" max="8721" width="16.33203125" style="65" customWidth="1"/>
    <col min="8722" max="8725" width="13" style="65" bestFit="1" customWidth="1"/>
    <col min="8726" max="8732" width="13" style="65" customWidth="1"/>
    <col min="8733" max="8733" width="13" style="65" bestFit="1" customWidth="1"/>
    <col min="8734" max="8734" width="17.5" style="65" customWidth="1"/>
    <col min="8735" max="8972" width="12" style="65"/>
    <col min="8973" max="8973" width="16.33203125" style="65" customWidth="1"/>
    <col min="8974" max="8974" width="30.83203125" style="65" customWidth="1"/>
    <col min="8975" max="8975" width="15.1640625" style="65" customWidth="1"/>
    <col min="8976" max="8976" width="17" style="65" customWidth="1"/>
    <col min="8977" max="8977" width="16.33203125" style="65" customWidth="1"/>
    <col min="8978" max="8981" width="13" style="65" bestFit="1" customWidth="1"/>
    <col min="8982" max="8988" width="13" style="65" customWidth="1"/>
    <col min="8989" max="8989" width="13" style="65" bestFit="1" customWidth="1"/>
    <col min="8990" max="8990" width="17.5" style="65" customWidth="1"/>
    <col min="8991" max="9228" width="12" style="65"/>
    <col min="9229" max="9229" width="16.33203125" style="65" customWidth="1"/>
    <col min="9230" max="9230" width="30.83203125" style="65" customWidth="1"/>
    <col min="9231" max="9231" width="15.1640625" style="65" customWidth="1"/>
    <col min="9232" max="9232" width="17" style="65" customWidth="1"/>
    <col min="9233" max="9233" width="16.33203125" style="65" customWidth="1"/>
    <col min="9234" max="9237" width="13" style="65" bestFit="1" customWidth="1"/>
    <col min="9238" max="9244" width="13" style="65" customWidth="1"/>
    <col min="9245" max="9245" width="13" style="65" bestFit="1" customWidth="1"/>
    <col min="9246" max="9246" width="17.5" style="65" customWidth="1"/>
    <col min="9247" max="9484" width="12" style="65"/>
    <col min="9485" max="9485" width="16.33203125" style="65" customWidth="1"/>
    <col min="9486" max="9486" width="30.83203125" style="65" customWidth="1"/>
    <col min="9487" max="9487" width="15.1640625" style="65" customWidth="1"/>
    <col min="9488" max="9488" width="17" style="65" customWidth="1"/>
    <col min="9489" max="9489" width="16.33203125" style="65" customWidth="1"/>
    <col min="9490" max="9493" width="13" style="65" bestFit="1" customWidth="1"/>
    <col min="9494" max="9500" width="13" style="65" customWidth="1"/>
    <col min="9501" max="9501" width="13" style="65" bestFit="1" customWidth="1"/>
    <col min="9502" max="9502" width="17.5" style="65" customWidth="1"/>
    <col min="9503" max="9740" width="12" style="65"/>
    <col min="9741" max="9741" width="16.33203125" style="65" customWidth="1"/>
    <col min="9742" max="9742" width="30.83203125" style="65" customWidth="1"/>
    <col min="9743" max="9743" width="15.1640625" style="65" customWidth="1"/>
    <col min="9744" max="9744" width="17" style="65" customWidth="1"/>
    <col min="9745" max="9745" width="16.33203125" style="65" customWidth="1"/>
    <col min="9746" max="9749" width="13" style="65" bestFit="1" customWidth="1"/>
    <col min="9750" max="9756" width="13" style="65" customWidth="1"/>
    <col min="9757" max="9757" width="13" style="65" bestFit="1" customWidth="1"/>
    <col min="9758" max="9758" width="17.5" style="65" customWidth="1"/>
    <col min="9759" max="9996" width="12" style="65"/>
    <col min="9997" max="9997" width="16.33203125" style="65" customWidth="1"/>
    <col min="9998" max="9998" width="30.83203125" style="65" customWidth="1"/>
    <col min="9999" max="9999" width="15.1640625" style="65" customWidth="1"/>
    <col min="10000" max="10000" width="17" style="65" customWidth="1"/>
    <col min="10001" max="10001" width="16.33203125" style="65" customWidth="1"/>
    <col min="10002" max="10005" width="13" style="65" bestFit="1" customWidth="1"/>
    <col min="10006" max="10012" width="13" style="65" customWidth="1"/>
    <col min="10013" max="10013" width="13" style="65" bestFit="1" customWidth="1"/>
    <col min="10014" max="10014" width="17.5" style="65" customWidth="1"/>
    <col min="10015" max="10252" width="12" style="65"/>
    <col min="10253" max="10253" width="16.33203125" style="65" customWidth="1"/>
    <col min="10254" max="10254" width="30.83203125" style="65" customWidth="1"/>
    <col min="10255" max="10255" width="15.1640625" style="65" customWidth="1"/>
    <col min="10256" max="10256" width="17" style="65" customWidth="1"/>
    <col min="10257" max="10257" width="16.33203125" style="65" customWidth="1"/>
    <col min="10258" max="10261" width="13" style="65" bestFit="1" customWidth="1"/>
    <col min="10262" max="10268" width="13" style="65" customWidth="1"/>
    <col min="10269" max="10269" width="13" style="65" bestFit="1" customWidth="1"/>
    <col min="10270" max="10270" width="17.5" style="65" customWidth="1"/>
    <col min="10271" max="10508" width="12" style="65"/>
    <col min="10509" max="10509" width="16.33203125" style="65" customWidth="1"/>
    <col min="10510" max="10510" width="30.83203125" style="65" customWidth="1"/>
    <col min="10511" max="10511" width="15.1640625" style="65" customWidth="1"/>
    <col min="10512" max="10512" width="17" style="65" customWidth="1"/>
    <col min="10513" max="10513" width="16.33203125" style="65" customWidth="1"/>
    <col min="10514" max="10517" width="13" style="65" bestFit="1" customWidth="1"/>
    <col min="10518" max="10524" width="13" style="65" customWidth="1"/>
    <col min="10525" max="10525" width="13" style="65" bestFit="1" customWidth="1"/>
    <col min="10526" max="10526" width="17.5" style="65" customWidth="1"/>
    <col min="10527" max="10764" width="12" style="65"/>
    <col min="10765" max="10765" width="16.33203125" style="65" customWidth="1"/>
    <col min="10766" max="10766" width="30.83203125" style="65" customWidth="1"/>
    <col min="10767" max="10767" width="15.1640625" style="65" customWidth="1"/>
    <col min="10768" max="10768" width="17" style="65" customWidth="1"/>
    <col min="10769" max="10769" width="16.33203125" style="65" customWidth="1"/>
    <col min="10770" max="10773" width="13" style="65" bestFit="1" customWidth="1"/>
    <col min="10774" max="10780" width="13" style="65" customWidth="1"/>
    <col min="10781" max="10781" width="13" style="65" bestFit="1" customWidth="1"/>
    <col min="10782" max="10782" width="17.5" style="65" customWidth="1"/>
    <col min="10783" max="11020" width="12" style="65"/>
    <col min="11021" max="11021" width="16.33203125" style="65" customWidth="1"/>
    <col min="11022" max="11022" width="30.83203125" style="65" customWidth="1"/>
    <col min="11023" max="11023" width="15.1640625" style="65" customWidth="1"/>
    <col min="11024" max="11024" width="17" style="65" customWidth="1"/>
    <col min="11025" max="11025" width="16.33203125" style="65" customWidth="1"/>
    <col min="11026" max="11029" width="13" style="65" bestFit="1" customWidth="1"/>
    <col min="11030" max="11036" width="13" style="65" customWidth="1"/>
    <col min="11037" max="11037" width="13" style="65" bestFit="1" customWidth="1"/>
    <col min="11038" max="11038" width="17.5" style="65" customWidth="1"/>
    <col min="11039" max="11276" width="12" style="65"/>
    <col min="11277" max="11277" width="16.33203125" style="65" customWidth="1"/>
    <col min="11278" max="11278" width="30.83203125" style="65" customWidth="1"/>
    <col min="11279" max="11279" width="15.1640625" style="65" customWidth="1"/>
    <col min="11280" max="11280" width="17" style="65" customWidth="1"/>
    <col min="11281" max="11281" width="16.33203125" style="65" customWidth="1"/>
    <col min="11282" max="11285" width="13" style="65" bestFit="1" customWidth="1"/>
    <col min="11286" max="11292" width="13" style="65" customWidth="1"/>
    <col min="11293" max="11293" width="13" style="65" bestFit="1" customWidth="1"/>
    <col min="11294" max="11294" width="17.5" style="65" customWidth="1"/>
    <col min="11295" max="11532" width="12" style="65"/>
    <col min="11533" max="11533" width="16.33203125" style="65" customWidth="1"/>
    <col min="11534" max="11534" width="30.83203125" style="65" customWidth="1"/>
    <col min="11535" max="11535" width="15.1640625" style="65" customWidth="1"/>
    <col min="11536" max="11536" width="17" style="65" customWidth="1"/>
    <col min="11537" max="11537" width="16.33203125" style="65" customWidth="1"/>
    <col min="11538" max="11541" width="13" style="65" bestFit="1" customWidth="1"/>
    <col min="11542" max="11548" width="13" style="65" customWidth="1"/>
    <col min="11549" max="11549" width="13" style="65" bestFit="1" customWidth="1"/>
    <col min="11550" max="11550" width="17.5" style="65" customWidth="1"/>
    <col min="11551" max="11788" width="12" style="65"/>
    <col min="11789" max="11789" width="16.33203125" style="65" customWidth="1"/>
    <col min="11790" max="11790" width="30.83203125" style="65" customWidth="1"/>
    <col min="11791" max="11791" width="15.1640625" style="65" customWidth="1"/>
    <col min="11792" max="11792" width="17" style="65" customWidth="1"/>
    <col min="11793" max="11793" width="16.33203125" style="65" customWidth="1"/>
    <col min="11794" max="11797" width="13" style="65" bestFit="1" customWidth="1"/>
    <col min="11798" max="11804" width="13" style="65" customWidth="1"/>
    <col min="11805" max="11805" width="13" style="65" bestFit="1" customWidth="1"/>
    <col min="11806" max="11806" width="17.5" style="65" customWidth="1"/>
    <col min="11807" max="12044" width="12" style="65"/>
    <col min="12045" max="12045" width="16.33203125" style="65" customWidth="1"/>
    <col min="12046" max="12046" width="30.83203125" style="65" customWidth="1"/>
    <col min="12047" max="12047" width="15.1640625" style="65" customWidth="1"/>
    <col min="12048" max="12048" width="17" style="65" customWidth="1"/>
    <col min="12049" max="12049" width="16.33203125" style="65" customWidth="1"/>
    <col min="12050" max="12053" width="13" style="65" bestFit="1" customWidth="1"/>
    <col min="12054" max="12060" width="13" style="65" customWidth="1"/>
    <col min="12061" max="12061" width="13" style="65" bestFit="1" customWidth="1"/>
    <col min="12062" max="12062" width="17.5" style="65" customWidth="1"/>
    <col min="12063" max="12300" width="12" style="65"/>
    <col min="12301" max="12301" width="16.33203125" style="65" customWidth="1"/>
    <col min="12302" max="12302" width="30.83203125" style="65" customWidth="1"/>
    <col min="12303" max="12303" width="15.1640625" style="65" customWidth="1"/>
    <col min="12304" max="12304" width="17" style="65" customWidth="1"/>
    <col min="12305" max="12305" width="16.33203125" style="65" customWidth="1"/>
    <col min="12306" max="12309" width="13" style="65" bestFit="1" customWidth="1"/>
    <col min="12310" max="12316" width="13" style="65" customWidth="1"/>
    <col min="12317" max="12317" width="13" style="65" bestFit="1" customWidth="1"/>
    <col min="12318" max="12318" width="17.5" style="65" customWidth="1"/>
    <col min="12319" max="12556" width="12" style="65"/>
    <col min="12557" max="12557" width="16.33203125" style="65" customWidth="1"/>
    <col min="12558" max="12558" width="30.83203125" style="65" customWidth="1"/>
    <col min="12559" max="12559" width="15.1640625" style="65" customWidth="1"/>
    <col min="12560" max="12560" width="17" style="65" customWidth="1"/>
    <col min="12561" max="12561" width="16.33203125" style="65" customWidth="1"/>
    <col min="12562" max="12565" width="13" style="65" bestFit="1" customWidth="1"/>
    <col min="12566" max="12572" width="13" style="65" customWidth="1"/>
    <col min="12573" max="12573" width="13" style="65" bestFit="1" customWidth="1"/>
    <col min="12574" max="12574" width="17.5" style="65" customWidth="1"/>
    <col min="12575" max="12812" width="12" style="65"/>
    <col min="12813" max="12813" width="16.33203125" style="65" customWidth="1"/>
    <col min="12814" max="12814" width="30.83203125" style="65" customWidth="1"/>
    <col min="12815" max="12815" width="15.1640625" style="65" customWidth="1"/>
    <col min="12816" max="12816" width="17" style="65" customWidth="1"/>
    <col min="12817" max="12817" width="16.33203125" style="65" customWidth="1"/>
    <col min="12818" max="12821" width="13" style="65" bestFit="1" customWidth="1"/>
    <col min="12822" max="12828" width="13" style="65" customWidth="1"/>
    <col min="12829" max="12829" width="13" style="65" bestFit="1" customWidth="1"/>
    <col min="12830" max="12830" width="17.5" style="65" customWidth="1"/>
    <col min="12831" max="13068" width="12" style="65"/>
    <col min="13069" max="13069" width="16.33203125" style="65" customWidth="1"/>
    <col min="13070" max="13070" width="30.83203125" style="65" customWidth="1"/>
    <col min="13071" max="13071" width="15.1640625" style="65" customWidth="1"/>
    <col min="13072" max="13072" width="17" style="65" customWidth="1"/>
    <col min="13073" max="13073" width="16.33203125" style="65" customWidth="1"/>
    <col min="13074" max="13077" width="13" style="65" bestFit="1" customWidth="1"/>
    <col min="13078" max="13084" width="13" style="65" customWidth="1"/>
    <col min="13085" max="13085" width="13" style="65" bestFit="1" customWidth="1"/>
    <col min="13086" max="13086" width="17.5" style="65" customWidth="1"/>
    <col min="13087" max="13324" width="12" style="65"/>
    <col min="13325" max="13325" width="16.33203125" style="65" customWidth="1"/>
    <col min="13326" max="13326" width="30.83203125" style="65" customWidth="1"/>
    <col min="13327" max="13327" width="15.1640625" style="65" customWidth="1"/>
    <col min="13328" max="13328" width="17" style="65" customWidth="1"/>
    <col min="13329" max="13329" width="16.33203125" style="65" customWidth="1"/>
    <col min="13330" max="13333" width="13" style="65" bestFit="1" customWidth="1"/>
    <col min="13334" max="13340" width="13" style="65" customWidth="1"/>
    <col min="13341" max="13341" width="13" style="65" bestFit="1" customWidth="1"/>
    <col min="13342" max="13342" width="17.5" style="65" customWidth="1"/>
    <col min="13343" max="13580" width="12" style="65"/>
    <col min="13581" max="13581" width="16.33203125" style="65" customWidth="1"/>
    <col min="13582" max="13582" width="30.83203125" style="65" customWidth="1"/>
    <col min="13583" max="13583" width="15.1640625" style="65" customWidth="1"/>
    <col min="13584" max="13584" width="17" style="65" customWidth="1"/>
    <col min="13585" max="13585" width="16.33203125" style="65" customWidth="1"/>
    <col min="13586" max="13589" width="13" style="65" bestFit="1" customWidth="1"/>
    <col min="13590" max="13596" width="13" style="65" customWidth="1"/>
    <col min="13597" max="13597" width="13" style="65" bestFit="1" customWidth="1"/>
    <col min="13598" max="13598" width="17.5" style="65" customWidth="1"/>
    <col min="13599" max="13836" width="12" style="65"/>
    <col min="13837" max="13837" width="16.33203125" style="65" customWidth="1"/>
    <col min="13838" max="13838" width="30.83203125" style="65" customWidth="1"/>
    <col min="13839" max="13839" width="15.1640625" style="65" customWidth="1"/>
    <col min="13840" max="13840" width="17" style="65" customWidth="1"/>
    <col min="13841" max="13841" width="16.33203125" style="65" customWidth="1"/>
    <col min="13842" max="13845" width="13" style="65" bestFit="1" customWidth="1"/>
    <col min="13846" max="13852" width="13" style="65" customWidth="1"/>
    <col min="13853" max="13853" width="13" style="65" bestFit="1" customWidth="1"/>
    <col min="13854" max="13854" width="17.5" style="65" customWidth="1"/>
    <col min="13855" max="14092" width="12" style="65"/>
    <col min="14093" max="14093" width="16.33203125" style="65" customWidth="1"/>
    <col min="14094" max="14094" width="30.83203125" style="65" customWidth="1"/>
    <col min="14095" max="14095" width="15.1640625" style="65" customWidth="1"/>
    <col min="14096" max="14096" width="17" style="65" customWidth="1"/>
    <col min="14097" max="14097" width="16.33203125" style="65" customWidth="1"/>
    <col min="14098" max="14101" width="13" style="65" bestFit="1" customWidth="1"/>
    <col min="14102" max="14108" width="13" style="65" customWidth="1"/>
    <col min="14109" max="14109" width="13" style="65" bestFit="1" customWidth="1"/>
    <col min="14110" max="14110" width="17.5" style="65" customWidth="1"/>
    <col min="14111" max="14348" width="12" style="65"/>
    <col min="14349" max="14349" width="16.33203125" style="65" customWidth="1"/>
    <col min="14350" max="14350" width="30.83203125" style="65" customWidth="1"/>
    <col min="14351" max="14351" width="15.1640625" style="65" customWidth="1"/>
    <col min="14352" max="14352" width="17" style="65" customWidth="1"/>
    <col min="14353" max="14353" width="16.33203125" style="65" customWidth="1"/>
    <col min="14354" max="14357" width="13" style="65" bestFit="1" customWidth="1"/>
    <col min="14358" max="14364" width="13" style="65" customWidth="1"/>
    <col min="14365" max="14365" width="13" style="65" bestFit="1" customWidth="1"/>
    <col min="14366" max="14366" width="17.5" style="65" customWidth="1"/>
    <col min="14367" max="14604" width="12" style="65"/>
    <col min="14605" max="14605" width="16.33203125" style="65" customWidth="1"/>
    <col min="14606" max="14606" width="30.83203125" style="65" customWidth="1"/>
    <col min="14607" max="14607" width="15.1640625" style="65" customWidth="1"/>
    <col min="14608" max="14608" width="17" style="65" customWidth="1"/>
    <col min="14609" max="14609" width="16.33203125" style="65" customWidth="1"/>
    <col min="14610" max="14613" width="13" style="65" bestFit="1" customWidth="1"/>
    <col min="14614" max="14620" width="13" style="65" customWidth="1"/>
    <col min="14621" max="14621" width="13" style="65" bestFit="1" customWidth="1"/>
    <col min="14622" max="14622" width="17.5" style="65" customWidth="1"/>
    <col min="14623" max="14860" width="12" style="65"/>
    <col min="14861" max="14861" width="16.33203125" style="65" customWidth="1"/>
    <col min="14862" max="14862" width="30.83203125" style="65" customWidth="1"/>
    <col min="14863" max="14863" width="15.1640625" style="65" customWidth="1"/>
    <col min="14864" max="14864" width="17" style="65" customWidth="1"/>
    <col min="14865" max="14865" width="16.33203125" style="65" customWidth="1"/>
    <col min="14866" max="14869" width="13" style="65" bestFit="1" customWidth="1"/>
    <col min="14870" max="14876" width="13" style="65" customWidth="1"/>
    <col min="14877" max="14877" width="13" style="65" bestFit="1" customWidth="1"/>
    <col min="14878" max="14878" width="17.5" style="65" customWidth="1"/>
    <col min="14879" max="15116" width="12" style="65"/>
    <col min="15117" max="15117" width="16.33203125" style="65" customWidth="1"/>
    <col min="15118" max="15118" width="30.83203125" style="65" customWidth="1"/>
    <col min="15119" max="15119" width="15.1640625" style="65" customWidth="1"/>
    <col min="15120" max="15120" width="17" style="65" customWidth="1"/>
    <col min="15121" max="15121" width="16.33203125" style="65" customWidth="1"/>
    <col min="15122" max="15125" width="13" style="65" bestFit="1" customWidth="1"/>
    <col min="15126" max="15132" width="13" style="65" customWidth="1"/>
    <col min="15133" max="15133" width="13" style="65" bestFit="1" customWidth="1"/>
    <col min="15134" max="15134" width="17.5" style="65" customWidth="1"/>
    <col min="15135" max="15372" width="12" style="65"/>
    <col min="15373" max="15373" width="16.33203125" style="65" customWidth="1"/>
    <col min="15374" max="15374" width="30.83203125" style="65" customWidth="1"/>
    <col min="15375" max="15375" width="15.1640625" style="65" customWidth="1"/>
    <col min="15376" max="15376" width="17" style="65" customWidth="1"/>
    <col min="15377" max="15377" width="16.33203125" style="65" customWidth="1"/>
    <col min="15378" max="15381" width="13" style="65" bestFit="1" customWidth="1"/>
    <col min="15382" max="15388" width="13" style="65" customWidth="1"/>
    <col min="15389" max="15389" width="13" style="65" bestFit="1" customWidth="1"/>
    <col min="15390" max="15390" width="17.5" style="65" customWidth="1"/>
    <col min="15391" max="15628" width="12" style="65"/>
    <col min="15629" max="15629" width="16.33203125" style="65" customWidth="1"/>
    <col min="15630" max="15630" width="30.83203125" style="65" customWidth="1"/>
    <col min="15631" max="15631" width="15.1640625" style="65" customWidth="1"/>
    <col min="15632" max="15632" width="17" style="65" customWidth="1"/>
    <col min="15633" max="15633" width="16.33203125" style="65" customWidth="1"/>
    <col min="15634" max="15637" width="13" style="65" bestFit="1" customWidth="1"/>
    <col min="15638" max="15644" width="13" style="65" customWidth="1"/>
    <col min="15645" max="15645" width="13" style="65" bestFit="1" customWidth="1"/>
    <col min="15646" max="15646" width="17.5" style="65" customWidth="1"/>
    <col min="15647" max="15884" width="12" style="65"/>
    <col min="15885" max="15885" width="16.33203125" style="65" customWidth="1"/>
    <col min="15886" max="15886" width="30.83203125" style="65" customWidth="1"/>
    <col min="15887" max="15887" width="15.1640625" style="65" customWidth="1"/>
    <col min="15888" max="15888" width="17" style="65" customWidth="1"/>
    <col min="15889" max="15889" width="16.33203125" style="65" customWidth="1"/>
    <col min="15890" max="15893" width="13" style="65" bestFit="1" customWidth="1"/>
    <col min="15894" max="15900" width="13" style="65" customWidth="1"/>
    <col min="15901" max="15901" width="13" style="65" bestFit="1" customWidth="1"/>
    <col min="15902" max="15902" width="17.5" style="65" customWidth="1"/>
    <col min="15903" max="16140" width="12" style="65"/>
    <col min="16141" max="16141" width="16.33203125" style="65" customWidth="1"/>
    <col min="16142" max="16142" width="30.83203125" style="65" customWidth="1"/>
    <col min="16143" max="16143" width="15.1640625" style="65" customWidth="1"/>
    <col min="16144" max="16144" width="17" style="65" customWidth="1"/>
    <col min="16145" max="16145" width="16.33203125" style="65" customWidth="1"/>
    <col min="16146" max="16149" width="13" style="65" bestFit="1" customWidth="1"/>
    <col min="16150" max="16156" width="13" style="65" customWidth="1"/>
    <col min="16157" max="16157" width="13" style="65" bestFit="1" customWidth="1"/>
    <col min="16158" max="16158" width="17.5" style="65" customWidth="1"/>
    <col min="16159" max="16384" width="12" style="65"/>
  </cols>
  <sheetData>
    <row r="1" spans="1:31" ht="18" customHeight="1">
      <c r="A1" s="903"/>
      <c r="B1" s="904"/>
      <c r="C1" s="904" t="s">
        <v>0</v>
      </c>
      <c r="D1" s="904"/>
      <c r="E1" s="904"/>
      <c r="F1" s="904"/>
      <c r="G1" s="904"/>
      <c r="H1" s="904"/>
      <c r="I1" s="904"/>
      <c r="J1" s="904"/>
      <c r="K1" s="904"/>
      <c r="L1" s="904"/>
      <c r="M1" s="904"/>
      <c r="N1" s="904"/>
      <c r="O1" s="904"/>
      <c r="P1" s="904"/>
      <c r="Q1" s="904"/>
      <c r="R1" s="994"/>
      <c r="S1" s="994"/>
      <c r="T1" s="994"/>
      <c r="U1" s="994"/>
      <c r="V1" s="994"/>
      <c r="W1" s="994"/>
      <c r="X1" s="994"/>
      <c r="Y1" s="994"/>
      <c r="Z1" s="994"/>
      <c r="AA1" s="994"/>
      <c r="AB1" s="994"/>
      <c r="AC1" s="994"/>
      <c r="AD1" s="912"/>
      <c r="AE1" s="366" t="s">
        <v>104</v>
      </c>
    </row>
    <row r="2" spans="1:31" ht="23.25" customHeight="1">
      <c r="A2" s="905"/>
      <c r="B2" s="906"/>
      <c r="C2" s="906" t="s">
        <v>105</v>
      </c>
      <c r="D2" s="906"/>
      <c r="E2" s="906"/>
      <c r="F2" s="906"/>
      <c r="G2" s="906"/>
      <c r="H2" s="906"/>
      <c r="I2" s="906"/>
      <c r="J2" s="906"/>
      <c r="K2" s="906"/>
      <c r="L2" s="906"/>
      <c r="M2" s="906"/>
      <c r="N2" s="906"/>
      <c r="O2" s="906"/>
      <c r="P2" s="906"/>
      <c r="Q2" s="906"/>
      <c r="R2" s="995"/>
      <c r="S2" s="995"/>
      <c r="T2" s="995"/>
      <c r="U2" s="995"/>
      <c r="V2" s="995"/>
      <c r="W2" s="995"/>
      <c r="X2" s="995"/>
      <c r="Y2" s="995"/>
      <c r="Z2" s="995"/>
      <c r="AA2" s="995"/>
      <c r="AB2" s="995"/>
      <c r="AC2" s="995"/>
      <c r="AD2" s="913"/>
      <c r="AE2" s="64"/>
    </row>
    <row r="3" spans="1:31" ht="23.25" customHeight="1" thickBot="1">
      <c r="A3" s="907"/>
      <c r="B3" s="908"/>
      <c r="C3" s="908" t="s">
        <v>2</v>
      </c>
      <c r="D3" s="908"/>
      <c r="E3" s="908"/>
      <c r="F3" s="908"/>
      <c r="G3" s="908"/>
      <c r="H3" s="908" t="s">
        <v>106</v>
      </c>
      <c r="I3" s="908"/>
      <c r="J3" s="908"/>
      <c r="K3" s="908"/>
      <c r="L3" s="908"/>
      <c r="M3" s="908"/>
      <c r="N3" s="908"/>
      <c r="O3" s="908"/>
      <c r="P3" s="908"/>
      <c r="Q3" s="908"/>
      <c r="R3" s="996"/>
      <c r="S3" s="996"/>
      <c r="T3" s="996"/>
      <c r="U3" s="996"/>
      <c r="V3" s="996"/>
      <c r="W3" s="996"/>
      <c r="X3" s="996"/>
      <c r="Y3" s="996"/>
      <c r="Z3" s="996"/>
      <c r="AA3" s="996"/>
      <c r="AB3" s="996"/>
      <c r="AC3" s="996"/>
      <c r="AD3" s="914"/>
      <c r="AE3" s="64"/>
    </row>
    <row r="4" spans="1:31" ht="18" customHeight="1" thickBot="1">
      <c r="A4" s="66"/>
      <c r="B4" s="67"/>
      <c r="C4" s="67"/>
      <c r="D4" s="68"/>
      <c r="E4" s="67"/>
      <c r="F4" s="67"/>
      <c r="G4" s="67"/>
      <c r="H4" s="67"/>
      <c r="I4" s="67"/>
      <c r="J4" s="67"/>
      <c r="K4" s="67"/>
      <c r="L4" s="67"/>
      <c r="M4" s="67"/>
      <c r="N4" s="67"/>
      <c r="O4" s="67"/>
      <c r="P4" s="67"/>
      <c r="Q4" s="67"/>
      <c r="R4" s="67"/>
      <c r="S4" s="67"/>
      <c r="T4" s="67"/>
      <c r="U4" s="67"/>
      <c r="V4" s="67"/>
      <c r="W4" s="67"/>
      <c r="X4" s="67"/>
      <c r="Y4" s="67"/>
      <c r="Z4" s="67"/>
      <c r="AA4" s="67"/>
      <c r="AB4" s="67"/>
      <c r="AC4" s="67"/>
      <c r="AD4" s="67"/>
      <c r="AE4" s="64"/>
    </row>
    <row r="5" spans="1:31" s="64" customFormat="1" ht="18" customHeight="1" thickBot="1">
      <c r="A5" s="989" t="s">
        <v>107</v>
      </c>
      <c r="B5" s="990"/>
      <c r="C5" s="991" t="s">
        <v>108</v>
      </c>
      <c r="D5" s="992"/>
      <c r="E5" s="992"/>
      <c r="F5" s="992"/>
      <c r="G5" s="992"/>
      <c r="H5" s="992"/>
      <c r="I5" s="992"/>
      <c r="J5" s="992"/>
      <c r="K5" s="992"/>
      <c r="L5" s="992"/>
      <c r="M5" s="992"/>
      <c r="N5" s="992"/>
      <c r="O5" s="992"/>
      <c r="P5" s="992"/>
      <c r="Q5" s="992"/>
      <c r="R5" s="992"/>
      <c r="S5" s="992"/>
      <c r="T5" s="992"/>
      <c r="U5" s="992"/>
      <c r="V5" s="992"/>
      <c r="W5" s="992"/>
      <c r="X5" s="992"/>
      <c r="Y5" s="992"/>
      <c r="Z5" s="992"/>
      <c r="AA5" s="992"/>
      <c r="AB5" s="992"/>
      <c r="AC5" s="992"/>
      <c r="AD5" s="993"/>
      <c r="AE5" s="645" t="str">
        <f>C5</f>
        <v>CONTRATACIÓN DIRECTA</v>
      </c>
    </row>
    <row r="6" spans="1:31" s="64" customFormat="1" ht="18" customHeight="1" thickBot="1">
      <c r="A6" s="989" t="s">
        <v>109</v>
      </c>
      <c r="B6" s="990"/>
      <c r="C6" s="991" t="s">
        <v>377</v>
      </c>
      <c r="D6" s="992"/>
      <c r="E6" s="992"/>
      <c r="F6" s="992"/>
      <c r="G6" s="992"/>
      <c r="H6" s="992"/>
      <c r="I6" s="992"/>
      <c r="J6" s="992"/>
      <c r="K6" s="992"/>
      <c r="L6" s="992"/>
      <c r="M6" s="992"/>
      <c r="N6" s="992"/>
      <c r="O6" s="992"/>
      <c r="P6" s="992"/>
      <c r="Q6" s="992"/>
      <c r="R6" s="992"/>
      <c r="S6" s="992"/>
      <c r="T6" s="992"/>
      <c r="U6" s="992"/>
      <c r="V6" s="992"/>
      <c r="W6" s="992"/>
      <c r="X6" s="992"/>
      <c r="Y6" s="992"/>
      <c r="Z6" s="992"/>
      <c r="AA6" s="992"/>
      <c r="AB6" s="992"/>
      <c r="AC6" s="992"/>
      <c r="AD6" s="993"/>
      <c r="AE6" s="645" t="str">
        <f>C6</f>
        <v xml:space="preserve"> "PRESTAR EL SERVICIO DE SOPORTE, MANTENIMIENTO Y ACTUALIZACIÓN  DEL PORTAL GEOGRÁFICO"</v>
      </c>
    </row>
    <row r="7" spans="1:31" s="64" customFormat="1" ht="18" customHeight="1" thickBot="1">
      <c r="B7" s="70"/>
      <c r="C7" s="70"/>
      <c r="D7" s="71"/>
      <c r="E7" s="70"/>
      <c r="F7" s="72"/>
      <c r="G7" s="72"/>
      <c r="H7" s="72"/>
      <c r="I7" s="72"/>
      <c r="J7" s="73"/>
      <c r="K7" s="73"/>
      <c r="L7" s="73"/>
      <c r="M7" s="73"/>
      <c r="N7" s="73"/>
      <c r="O7" s="73"/>
      <c r="P7" s="73"/>
      <c r="Q7" s="73"/>
      <c r="R7" s="73"/>
      <c r="S7" s="73"/>
      <c r="T7" s="73"/>
      <c r="U7" s="73"/>
      <c r="V7" s="73"/>
      <c r="W7" s="73"/>
      <c r="X7" s="73"/>
      <c r="Y7" s="73"/>
      <c r="Z7" s="73"/>
      <c r="AA7" s="73"/>
      <c r="AB7" s="73"/>
      <c r="AC7" s="73"/>
      <c r="AD7" s="73"/>
      <c r="AE7" s="69"/>
    </row>
    <row r="8" spans="1:31" ht="18" customHeight="1" thickBot="1">
      <c r="A8" s="985" t="s">
        <v>111</v>
      </c>
      <c r="B8" s="985"/>
      <c r="C8" s="986" t="s">
        <v>378</v>
      </c>
      <c r="D8" s="987"/>
      <c r="E8" s="987"/>
      <c r="F8" s="988"/>
      <c r="H8" s="74"/>
      <c r="I8" s="74"/>
      <c r="J8" s="74"/>
      <c r="K8" s="74"/>
      <c r="L8" s="74"/>
      <c r="M8" s="74"/>
      <c r="N8" s="74"/>
      <c r="O8" s="74"/>
      <c r="P8" s="74"/>
      <c r="Q8" s="74"/>
      <c r="R8" s="74"/>
      <c r="S8" s="74"/>
      <c r="T8" s="74"/>
      <c r="U8" s="74"/>
      <c r="V8" s="74"/>
      <c r="W8" s="74"/>
      <c r="X8" s="74"/>
      <c r="Y8" s="74"/>
      <c r="Z8" s="74"/>
      <c r="AA8" s="74"/>
      <c r="AB8" s="74"/>
      <c r="AC8" s="74"/>
    </row>
    <row r="9" spans="1:31" ht="18" customHeight="1" thickBot="1">
      <c r="A9" s="985" t="s">
        <v>113</v>
      </c>
      <c r="B9" s="985"/>
      <c r="C9" s="986" t="s">
        <v>114</v>
      </c>
      <c r="D9" s="987"/>
      <c r="E9" s="987"/>
      <c r="F9" s="988"/>
      <c r="H9" s="108"/>
      <c r="I9" s="74"/>
      <c r="J9" s="74"/>
      <c r="K9" s="74"/>
      <c r="L9" s="74"/>
      <c r="M9" s="74"/>
      <c r="N9" s="74"/>
      <c r="O9" s="74"/>
      <c r="P9" s="74"/>
      <c r="Q9" s="74"/>
      <c r="R9" s="74"/>
      <c r="S9" s="74"/>
      <c r="T9" s="74"/>
      <c r="U9" s="74"/>
      <c r="V9" s="74"/>
      <c r="W9" s="74"/>
      <c r="X9" s="74"/>
      <c r="Y9" s="74"/>
      <c r="Z9" s="74"/>
      <c r="AA9" s="74"/>
      <c r="AB9" s="74"/>
      <c r="AC9" s="74"/>
    </row>
    <row r="10" spans="1:31" ht="18" customHeight="1" thickBot="1">
      <c r="A10" s="958" t="s">
        <v>115</v>
      </c>
      <c r="B10" s="958"/>
      <c r="C10" s="986" t="s">
        <v>379</v>
      </c>
      <c r="D10" s="987"/>
      <c r="E10" s="987"/>
      <c r="F10" s="988"/>
      <c r="H10" s="74"/>
      <c r="I10" s="74"/>
      <c r="J10" s="74">
        <f>16.7+16.7+33.4+33.4</f>
        <v>100.19999999999999</v>
      </c>
      <c r="K10" s="74"/>
      <c r="L10" s="74"/>
      <c r="M10" s="74"/>
      <c r="N10" s="74"/>
      <c r="O10" s="74"/>
      <c r="P10" s="74"/>
      <c r="Q10" s="74"/>
      <c r="R10" s="74"/>
      <c r="S10" s="74"/>
      <c r="T10" s="74"/>
      <c r="U10" s="74"/>
      <c r="V10" s="74"/>
      <c r="W10" s="74"/>
      <c r="X10" s="74"/>
      <c r="Y10" s="74"/>
      <c r="Z10" s="74"/>
      <c r="AA10" s="74"/>
      <c r="AB10" s="74"/>
      <c r="AC10" s="74"/>
    </row>
    <row r="11" spans="1:31" ht="18" customHeight="1" thickBot="1">
      <c r="A11" s="958" t="s">
        <v>117</v>
      </c>
      <c r="B11" s="958"/>
      <c r="C11" s="959" t="s">
        <v>118</v>
      </c>
      <c r="D11" s="960"/>
      <c r="E11" s="960"/>
      <c r="F11" s="961"/>
      <c r="H11" s="74"/>
      <c r="I11" s="74"/>
    </row>
    <row r="12" spans="1:31" ht="18" customHeight="1" thickBot="1">
      <c r="A12" s="75"/>
      <c r="B12" s="76"/>
      <c r="C12" s="76"/>
      <c r="D12" s="77"/>
      <c r="E12" s="76"/>
      <c r="F12" s="76"/>
      <c r="G12" s="78"/>
      <c r="H12" s="78"/>
      <c r="I12" s="78"/>
    </row>
    <row r="13" spans="1:31" ht="18" customHeight="1">
      <c r="A13" s="962" t="s">
        <v>119</v>
      </c>
      <c r="B13" s="963"/>
      <c r="C13" s="963"/>
      <c r="D13" s="963"/>
      <c r="E13" s="963"/>
      <c r="F13" s="963"/>
      <c r="G13" s="963"/>
      <c r="H13" s="963"/>
      <c r="I13" s="963"/>
      <c r="J13" s="963"/>
      <c r="K13" s="963"/>
      <c r="L13" s="963"/>
      <c r="M13" s="963"/>
      <c r="N13" s="963"/>
      <c r="O13" s="963"/>
      <c r="P13" s="963"/>
      <c r="Q13" s="963"/>
      <c r="R13" s="964"/>
      <c r="S13" s="964"/>
      <c r="T13" s="964"/>
      <c r="U13" s="964"/>
      <c r="V13" s="964"/>
      <c r="W13" s="964"/>
      <c r="X13" s="964"/>
      <c r="Y13" s="964"/>
      <c r="Z13" s="964"/>
      <c r="AA13" s="964"/>
      <c r="AB13" s="964"/>
      <c r="AC13" s="964"/>
      <c r="AD13" s="965"/>
    </row>
    <row r="14" spans="1:31" ht="18" customHeight="1">
      <c r="A14" s="1007"/>
      <c r="B14" s="1000" t="s">
        <v>18</v>
      </c>
      <c r="C14" s="973" t="s">
        <v>120</v>
      </c>
      <c r="D14" s="972" t="s">
        <v>121</v>
      </c>
      <c r="E14" s="973" t="s">
        <v>122</v>
      </c>
      <c r="F14" s="973" t="s">
        <v>123</v>
      </c>
      <c r="G14" s="1000" t="s">
        <v>124</v>
      </c>
      <c r="H14" s="1000"/>
      <c r="I14" s="1000"/>
      <c r="J14" s="1000"/>
      <c r="K14" s="1000"/>
      <c r="L14" s="1000"/>
      <c r="M14" s="1000"/>
      <c r="N14" s="1000"/>
      <c r="O14" s="1000"/>
      <c r="P14" s="1000"/>
      <c r="Q14" s="1000"/>
      <c r="R14" s="1001"/>
      <c r="S14" s="1001"/>
      <c r="T14" s="1001"/>
      <c r="U14" s="1001"/>
      <c r="V14" s="1001"/>
      <c r="W14" s="1001"/>
      <c r="X14" s="1001"/>
      <c r="Y14" s="1001"/>
      <c r="Z14" s="1001"/>
      <c r="AA14" s="1001"/>
      <c r="AB14" s="1001"/>
      <c r="AC14" s="1001"/>
      <c r="AD14" s="1002"/>
    </row>
    <row r="15" spans="1:31" ht="27.75" customHeight="1">
      <c r="A15" s="1007"/>
      <c r="B15" s="1000"/>
      <c r="C15" s="973"/>
      <c r="D15" s="972"/>
      <c r="E15" s="973"/>
      <c r="F15" s="973"/>
      <c r="G15" s="374" t="s">
        <v>125</v>
      </c>
      <c r="H15" s="374" t="s">
        <v>126</v>
      </c>
      <c r="I15" s="374" t="s">
        <v>127</v>
      </c>
      <c r="J15" s="374" t="s">
        <v>128</v>
      </c>
      <c r="K15" s="374" t="s">
        <v>129</v>
      </c>
      <c r="L15" s="374" t="s">
        <v>130</v>
      </c>
      <c r="M15" s="374" t="s">
        <v>131</v>
      </c>
      <c r="N15" s="374" t="s">
        <v>132</v>
      </c>
      <c r="O15" s="374" t="s">
        <v>133</v>
      </c>
      <c r="P15" s="374" t="s">
        <v>134</v>
      </c>
      <c r="Q15" s="374" t="s">
        <v>135</v>
      </c>
      <c r="R15" s="374" t="s">
        <v>136</v>
      </c>
      <c r="S15" s="374" t="s">
        <v>137</v>
      </c>
      <c r="T15" s="374" t="s">
        <v>138</v>
      </c>
      <c r="U15" s="374" t="s">
        <v>139</v>
      </c>
      <c r="V15" s="374" t="s">
        <v>140</v>
      </c>
      <c r="W15" s="374" t="s">
        <v>141</v>
      </c>
      <c r="X15" s="374" t="s">
        <v>142</v>
      </c>
      <c r="Y15" s="374" t="s">
        <v>143</v>
      </c>
      <c r="Z15" s="374" t="s">
        <v>144</v>
      </c>
      <c r="AA15" s="374" t="s">
        <v>145</v>
      </c>
      <c r="AB15" s="374" t="s">
        <v>146</v>
      </c>
      <c r="AC15" s="374" t="s">
        <v>147</v>
      </c>
      <c r="AD15" s="374" t="s">
        <v>148</v>
      </c>
    </row>
    <row r="16" spans="1:31" s="83" customFormat="1" ht="38.25">
      <c r="A16" s="80" t="s">
        <v>149</v>
      </c>
      <c r="B16" s="81" t="s">
        <v>380</v>
      </c>
      <c r="C16" s="677">
        <v>1</v>
      </c>
      <c r="D16" s="845">
        <f>SUM(D17:D202)</f>
        <v>1</v>
      </c>
      <c r="E16" s="678" t="s">
        <v>151</v>
      </c>
      <c r="F16" s="679"/>
      <c r="G16" s="679"/>
      <c r="H16" s="679"/>
      <c r="I16" s="686"/>
      <c r="J16" s="686"/>
      <c r="K16" s="687"/>
      <c r="L16" s="679"/>
      <c r="M16" s="679"/>
      <c r="N16" s="679"/>
      <c r="O16" s="679"/>
      <c r="P16" s="679"/>
      <c r="Q16" s="679"/>
      <c r="R16" s="840"/>
      <c r="S16" s="840"/>
      <c r="T16" s="840"/>
      <c r="U16" s="840"/>
      <c r="V16" s="840"/>
      <c r="W16" s="840"/>
      <c r="X16" s="840"/>
      <c r="Y16" s="840"/>
      <c r="Z16" s="840"/>
      <c r="AA16" s="840"/>
      <c r="AB16" s="840"/>
      <c r="AC16" s="840"/>
      <c r="AD16" s="680"/>
      <c r="AE16" s="82"/>
    </row>
    <row r="17" spans="1:31" ht="33" customHeight="1">
      <c r="A17" s="84" t="s">
        <v>152</v>
      </c>
      <c r="B17" s="848" t="s">
        <v>381</v>
      </c>
      <c r="C17" s="38">
        <f>+'PRESUPUESTO OTRO SI '!G146</f>
        <v>0.11482260115756962</v>
      </c>
      <c r="D17" s="846"/>
      <c r="E17" s="39" t="s">
        <v>154</v>
      </c>
      <c r="F17" s="54"/>
      <c r="G17" s="54"/>
      <c r="H17" s="54"/>
      <c r="I17" s="461"/>
      <c r="J17" s="461"/>
      <c r="K17" s="54"/>
      <c r="L17" s="54"/>
      <c r="M17" s="54"/>
      <c r="N17" s="54"/>
      <c r="O17" s="54"/>
      <c r="P17" s="54"/>
      <c r="Q17" s="54"/>
      <c r="R17" s="54"/>
      <c r="S17" s="54"/>
      <c r="T17" s="54"/>
      <c r="U17" s="54"/>
      <c r="V17" s="54"/>
      <c r="W17" s="54"/>
      <c r="X17" s="54"/>
      <c r="Y17" s="54"/>
      <c r="Z17" s="54"/>
      <c r="AA17" s="54"/>
      <c r="AB17" s="54"/>
      <c r="AC17" s="54"/>
      <c r="AD17" s="54"/>
      <c r="AE17" s="82"/>
    </row>
    <row r="18" spans="1:31" ht="25.5">
      <c r="A18" s="85" t="s">
        <v>155</v>
      </c>
      <c r="B18" s="34" t="s">
        <v>381</v>
      </c>
      <c r="C18" s="35">
        <v>1</v>
      </c>
      <c r="D18" s="847"/>
      <c r="E18" s="36" t="s">
        <v>154</v>
      </c>
      <c r="F18" s="55"/>
      <c r="G18" s="857">
        <v>0.25</v>
      </c>
      <c r="H18" s="857">
        <v>0.25</v>
      </c>
      <c r="I18" s="857"/>
      <c r="J18" s="857"/>
      <c r="K18" s="55"/>
      <c r="L18" s="55"/>
      <c r="M18" s="55"/>
      <c r="N18" s="55"/>
      <c r="O18" s="55"/>
      <c r="P18" s="55"/>
      <c r="Q18" s="55"/>
      <c r="R18" s="55"/>
      <c r="S18" s="55"/>
      <c r="T18" s="55"/>
      <c r="U18" s="55"/>
      <c r="V18" s="55"/>
      <c r="W18" s="55"/>
      <c r="X18" s="55"/>
      <c r="Y18" s="55"/>
      <c r="Z18" s="55"/>
      <c r="AA18" s="55"/>
      <c r="AB18" s="55"/>
      <c r="AC18" s="55"/>
      <c r="AD18" s="55"/>
      <c r="AE18" s="82"/>
    </row>
    <row r="19" spans="1:31" ht="25.5">
      <c r="A19" s="86" t="s">
        <v>156</v>
      </c>
      <c r="B19" s="849" t="s">
        <v>381</v>
      </c>
      <c r="C19" s="677">
        <v>1</v>
      </c>
      <c r="D19" s="845">
        <f>C19*$C$18*$C$17</f>
        <v>0.11482260115756962</v>
      </c>
      <c r="E19" s="678" t="s">
        <v>154</v>
      </c>
      <c r="F19" s="681">
        <v>1</v>
      </c>
      <c r="G19" s="856">
        <v>0.25</v>
      </c>
      <c r="H19" s="856">
        <v>0.25</v>
      </c>
      <c r="I19" s="856">
        <v>0.25</v>
      </c>
      <c r="J19" s="856">
        <v>0.25</v>
      </c>
      <c r="K19" s="681"/>
      <c r="L19" s="681"/>
      <c r="M19" s="681"/>
      <c r="N19" s="681"/>
      <c r="O19" s="681"/>
      <c r="P19" s="681"/>
      <c r="Q19" s="681"/>
      <c r="R19" s="681"/>
      <c r="S19" s="681"/>
      <c r="T19" s="681"/>
      <c r="U19" s="681"/>
      <c r="V19" s="681"/>
      <c r="W19" s="681"/>
      <c r="X19" s="681"/>
      <c r="Y19" s="681"/>
      <c r="Z19" s="681"/>
      <c r="AA19" s="681"/>
      <c r="AB19" s="681"/>
      <c r="AC19" s="681"/>
      <c r="AD19" s="681"/>
      <c r="AE19" s="82"/>
    </row>
    <row r="20" spans="1:31" ht="18" hidden="1" customHeight="1">
      <c r="A20" s="86" t="s">
        <v>157</v>
      </c>
      <c r="B20" s="51"/>
      <c r="C20" s="677"/>
      <c r="D20" s="845">
        <f>C20*$C$18*$C$17</f>
        <v>0</v>
      </c>
      <c r="E20" s="678"/>
      <c r="F20" s="681"/>
      <c r="G20" s="681"/>
      <c r="H20" s="681"/>
      <c r="I20" s="856"/>
      <c r="J20" s="856"/>
      <c r="K20" s="681"/>
      <c r="L20" s="681"/>
      <c r="M20" s="681"/>
      <c r="N20" s="681"/>
      <c r="O20" s="681"/>
      <c r="P20" s="681"/>
      <c r="Q20" s="681"/>
      <c r="R20" s="681"/>
      <c r="S20" s="681"/>
      <c r="T20" s="681"/>
      <c r="U20" s="681"/>
      <c r="V20" s="681"/>
      <c r="W20" s="681"/>
      <c r="X20" s="681"/>
      <c r="Y20" s="681"/>
      <c r="Z20" s="681"/>
      <c r="AA20" s="681"/>
      <c r="AB20" s="681"/>
      <c r="AC20" s="681"/>
      <c r="AD20" s="681"/>
      <c r="AE20" s="82"/>
    </row>
    <row r="21" spans="1:31" ht="18" hidden="1" customHeight="1">
      <c r="A21" s="86" t="s">
        <v>158</v>
      </c>
      <c r="B21" s="51"/>
      <c r="C21" s="677"/>
      <c r="D21" s="845">
        <f>C21*$C$18*$C$17</f>
        <v>0</v>
      </c>
      <c r="E21" s="678"/>
      <c r="F21" s="681"/>
      <c r="G21" s="681"/>
      <c r="H21" s="681"/>
      <c r="I21" s="856"/>
      <c r="J21" s="856"/>
      <c r="K21" s="681"/>
      <c r="L21" s="681"/>
      <c r="M21" s="681"/>
      <c r="N21" s="681"/>
      <c r="O21" s="681"/>
      <c r="P21" s="681"/>
      <c r="Q21" s="681"/>
      <c r="R21" s="681"/>
      <c r="S21" s="681"/>
      <c r="T21" s="681"/>
      <c r="U21" s="681"/>
      <c r="V21" s="681"/>
      <c r="W21" s="681"/>
      <c r="X21" s="681"/>
      <c r="Y21" s="681"/>
      <c r="Z21" s="681"/>
      <c r="AA21" s="681"/>
      <c r="AB21" s="681"/>
      <c r="AC21" s="681"/>
      <c r="AD21" s="681"/>
      <c r="AE21" s="82"/>
    </row>
    <row r="22" spans="1:31" ht="18" hidden="1" customHeight="1">
      <c r="A22" s="86" t="s">
        <v>159</v>
      </c>
      <c r="B22" s="51"/>
      <c r="C22" s="677"/>
      <c r="D22" s="845">
        <f t="shared" ref="D22:D23" si="0">C22*$C$18*$C$17</f>
        <v>0</v>
      </c>
      <c r="E22" s="678"/>
      <c r="F22" s="681"/>
      <c r="G22" s="681"/>
      <c r="H22" s="681"/>
      <c r="I22" s="856"/>
      <c r="J22" s="856"/>
      <c r="K22" s="681"/>
      <c r="L22" s="681"/>
      <c r="M22" s="681"/>
      <c r="N22" s="681"/>
      <c r="O22" s="681"/>
      <c r="P22" s="681"/>
      <c r="Q22" s="681"/>
      <c r="R22" s="681"/>
      <c r="S22" s="681"/>
      <c r="T22" s="681"/>
      <c r="U22" s="681"/>
      <c r="V22" s="681"/>
      <c r="W22" s="681"/>
      <c r="X22" s="681"/>
      <c r="Y22" s="681"/>
      <c r="Z22" s="681"/>
      <c r="AA22" s="681"/>
      <c r="AB22" s="681"/>
      <c r="AC22" s="681"/>
      <c r="AD22" s="681"/>
      <c r="AE22" s="82"/>
    </row>
    <row r="23" spans="1:31" ht="18" hidden="1" customHeight="1">
      <c r="A23" s="86" t="s">
        <v>160</v>
      </c>
      <c r="B23" s="51"/>
      <c r="C23" s="677"/>
      <c r="D23" s="845">
        <f t="shared" si="0"/>
        <v>0</v>
      </c>
      <c r="E23" s="678"/>
      <c r="F23" s="681"/>
      <c r="G23" s="681"/>
      <c r="H23" s="681"/>
      <c r="I23" s="856"/>
      <c r="J23" s="856"/>
      <c r="K23" s="681"/>
      <c r="L23" s="681"/>
      <c r="M23" s="681"/>
      <c r="N23" s="681"/>
      <c r="O23" s="681"/>
      <c r="P23" s="681"/>
      <c r="Q23" s="681"/>
      <c r="R23" s="681"/>
      <c r="S23" s="681"/>
      <c r="T23" s="681"/>
      <c r="U23" s="681"/>
      <c r="V23" s="681"/>
      <c r="W23" s="681"/>
      <c r="X23" s="681"/>
      <c r="Y23" s="681"/>
      <c r="Z23" s="681"/>
      <c r="AA23" s="681"/>
      <c r="AB23" s="681"/>
      <c r="AC23" s="681"/>
      <c r="AD23" s="681"/>
      <c r="AE23" s="82"/>
    </row>
    <row r="24" spans="1:31" ht="18" hidden="1" customHeight="1">
      <c r="A24" s="85" t="s">
        <v>161</v>
      </c>
      <c r="B24" s="34"/>
      <c r="C24" s="35"/>
      <c r="D24" s="847"/>
      <c r="E24" s="36"/>
      <c r="F24" s="55"/>
      <c r="G24" s="55"/>
      <c r="H24" s="55"/>
      <c r="I24" s="857"/>
      <c r="J24" s="857"/>
      <c r="K24" s="55"/>
      <c r="L24" s="55"/>
      <c r="M24" s="55"/>
      <c r="N24" s="55"/>
      <c r="O24" s="55"/>
      <c r="P24" s="55"/>
      <c r="Q24" s="55"/>
      <c r="R24" s="55"/>
      <c r="S24" s="55"/>
      <c r="T24" s="55"/>
      <c r="U24" s="55"/>
      <c r="V24" s="55"/>
      <c r="W24" s="55"/>
      <c r="X24" s="55"/>
      <c r="Y24" s="55"/>
      <c r="Z24" s="55"/>
      <c r="AA24" s="55"/>
      <c r="AB24" s="55"/>
      <c r="AC24" s="55"/>
      <c r="AD24" s="55"/>
      <c r="AE24" s="82"/>
    </row>
    <row r="25" spans="1:31" ht="18" hidden="1" customHeight="1">
      <c r="A25" s="86" t="s">
        <v>162</v>
      </c>
      <c r="B25" s="51"/>
      <c r="C25" s="677"/>
      <c r="D25" s="845">
        <f>C25*$C$24*$C$17</f>
        <v>0</v>
      </c>
      <c r="E25" s="678"/>
      <c r="F25" s="681"/>
      <c r="G25" s="681"/>
      <c r="H25" s="681"/>
      <c r="I25" s="856"/>
      <c r="J25" s="856"/>
      <c r="K25" s="681"/>
      <c r="L25" s="681"/>
      <c r="M25" s="681"/>
      <c r="N25" s="681"/>
      <c r="O25" s="681"/>
      <c r="P25" s="681"/>
      <c r="Q25" s="681"/>
      <c r="R25" s="681"/>
      <c r="S25" s="681"/>
      <c r="T25" s="681"/>
      <c r="U25" s="681"/>
      <c r="V25" s="681"/>
      <c r="W25" s="681"/>
      <c r="X25" s="681"/>
      <c r="Y25" s="681"/>
      <c r="Z25" s="681"/>
      <c r="AA25" s="681"/>
      <c r="AB25" s="681"/>
      <c r="AC25" s="681"/>
      <c r="AD25" s="681"/>
      <c r="AE25" s="82"/>
    </row>
    <row r="26" spans="1:31" ht="18" hidden="1" customHeight="1">
      <c r="A26" s="86" t="s">
        <v>163</v>
      </c>
      <c r="B26" s="51"/>
      <c r="C26" s="677"/>
      <c r="D26" s="845">
        <f>C26*$C$24*$C$17</f>
        <v>0</v>
      </c>
      <c r="E26" s="678"/>
      <c r="F26" s="681"/>
      <c r="G26" s="681"/>
      <c r="H26" s="681"/>
      <c r="I26" s="856"/>
      <c r="J26" s="856"/>
      <c r="K26" s="681"/>
      <c r="L26" s="681"/>
      <c r="M26" s="681"/>
      <c r="N26" s="681"/>
      <c r="O26" s="681"/>
      <c r="P26" s="681"/>
      <c r="Q26" s="681"/>
      <c r="R26" s="681"/>
      <c r="S26" s="681"/>
      <c r="T26" s="681"/>
      <c r="U26" s="681"/>
      <c r="V26" s="681"/>
      <c r="W26" s="681"/>
      <c r="X26" s="681"/>
      <c r="Y26" s="681"/>
      <c r="Z26" s="681"/>
      <c r="AA26" s="681"/>
      <c r="AB26" s="681"/>
      <c r="AC26" s="681"/>
      <c r="AD26" s="681"/>
      <c r="AE26" s="82"/>
    </row>
    <row r="27" spans="1:31" ht="18" hidden="1" customHeight="1">
      <c r="A27" s="86" t="s">
        <v>164</v>
      </c>
      <c r="B27" s="51"/>
      <c r="C27" s="677"/>
      <c r="D27" s="845">
        <f>C27*$C$24*$C$17</f>
        <v>0</v>
      </c>
      <c r="E27" s="678"/>
      <c r="F27" s="681"/>
      <c r="G27" s="681"/>
      <c r="H27" s="681"/>
      <c r="I27" s="856"/>
      <c r="J27" s="856"/>
      <c r="K27" s="681"/>
      <c r="L27" s="681"/>
      <c r="M27" s="681"/>
      <c r="N27" s="681"/>
      <c r="O27" s="681"/>
      <c r="P27" s="681"/>
      <c r="Q27" s="681"/>
      <c r="R27" s="681"/>
      <c r="S27" s="681"/>
      <c r="T27" s="681"/>
      <c r="U27" s="681"/>
      <c r="V27" s="681"/>
      <c r="W27" s="681"/>
      <c r="X27" s="681"/>
      <c r="Y27" s="681"/>
      <c r="Z27" s="681"/>
      <c r="AA27" s="681"/>
      <c r="AB27" s="681"/>
      <c r="AC27" s="681"/>
      <c r="AD27" s="681"/>
      <c r="AE27" s="82"/>
    </row>
    <row r="28" spans="1:31" ht="18" hidden="1" customHeight="1">
      <c r="A28" s="86" t="s">
        <v>165</v>
      </c>
      <c r="B28" s="51"/>
      <c r="C28" s="677"/>
      <c r="D28" s="845">
        <f>C28*$C$24*$C$17</f>
        <v>0</v>
      </c>
      <c r="E28" s="678"/>
      <c r="F28" s="681"/>
      <c r="G28" s="681"/>
      <c r="H28" s="681"/>
      <c r="I28" s="856"/>
      <c r="J28" s="856"/>
      <c r="K28" s="681"/>
      <c r="L28" s="681"/>
      <c r="M28" s="681"/>
      <c r="N28" s="681"/>
      <c r="O28" s="681"/>
      <c r="P28" s="681"/>
      <c r="Q28" s="681"/>
      <c r="R28" s="681"/>
      <c r="S28" s="681"/>
      <c r="T28" s="681"/>
      <c r="U28" s="681"/>
      <c r="V28" s="681"/>
      <c r="W28" s="681"/>
      <c r="X28" s="681"/>
      <c r="Y28" s="681"/>
      <c r="Z28" s="681"/>
      <c r="AA28" s="681"/>
      <c r="AB28" s="681"/>
      <c r="AC28" s="681"/>
      <c r="AD28" s="681"/>
      <c r="AE28" s="82"/>
    </row>
    <row r="29" spans="1:31" ht="18" hidden="1" customHeight="1">
      <c r="A29" s="86" t="s">
        <v>166</v>
      </c>
      <c r="B29" s="51"/>
      <c r="C29" s="677"/>
      <c r="D29" s="845">
        <f>C29*$C$24*$C$17</f>
        <v>0</v>
      </c>
      <c r="E29" s="678"/>
      <c r="F29" s="681"/>
      <c r="G29" s="681"/>
      <c r="H29" s="681"/>
      <c r="I29" s="856"/>
      <c r="J29" s="856"/>
      <c r="K29" s="681"/>
      <c r="L29" s="681"/>
      <c r="M29" s="681"/>
      <c r="N29" s="681"/>
      <c r="O29" s="681"/>
      <c r="P29" s="681"/>
      <c r="Q29" s="681"/>
      <c r="R29" s="681"/>
      <c r="S29" s="681"/>
      <c r="T29" s="681"/>
      <c r="U29" s="681"/>
      <c r="V29" s="681"/>
      <c r="W29" s="681"/>
      <c r="X29" s="681"/>
      <c r="Y29" s="681"/>
      <c r="Z29" s="681"/>
      <c r="AA29" s="681"/>
      <c r="AB29" s="681"/>
      <c r="AC29" s="681"/>
      <c r="AD29" s="681"/>
      <c r="AE29" s="82"/>
    </row>
    <row r="30" spans="1:31" ht="18" hidden="1" customHeight="1">
      <c r="A30" s="85" t="s">
        <v>167</v>
      </c>
      <c r="B30" s="34"/>
      <c r="C30" s="35"/>
      <c r="D30" s="847"/>
      <c r="E30" s="36"/>
      <c r="F30" s="55"/>
      <c r="G30" s="55"/>
      <c r="H30" s="55"/>
      <c r="I30" s="857"/>
      <c r="J30" s="857"/>
      <c r="K30" s="55"/>
      <c r="L30" s="55"/>
      <c r="M30" s="55"/>
      <c r="N30" s="55"/>
      <c r="O30" s="55"/>
      <c r="P30" s="55"/>
      <c r="Q30" s="55"/>
      <c r="R30" s="55"/>
      <c r="S30" s="55"/>
      <c r="T30" s="55"/>
      <c r="U30" s="55"/>
      <c r="V30" s="55"/>
      <c r="W30" s="55"/>
      <c r="X30" s="55"/>
      <c r="Y30" s="55"/>
      <c r="Z30" s="55"/>
      <c r="AA30" s="55"/>
      <c r="AB30" s="55"/>
      <c r="AC30" s="55"/>
      <c r="AD30" s="55"/>
      <c r="AE30" s="82"/>
    </row>
    <row r="31" spans="1:31" ht="18" hidden="1" customHeight="1">
      <c r="A31" s="86" t="s">
        <v>168</v>
      </c>
      <c r="B31" s="51"/>
      <c r="C31" s="677"/>
      <c r="D31" s="845">
        <f>C31*$C$30*$C$17</f>
        <v>0</v>
      </c>
      <c r="E31" s="678"/>
      <c r="F31" s="681"/>
      <c r="G31" s="681"/>
      <c r="H31" s="681"/>
      <c r="I31" s="856"/>
      <c r="J31" s="856"/>
      <c r="K31" s="681"/>
      <c r="L31" s="681"/>
      <c r="M31" s="681"/>
      <c r="N31" s="681"/>
      <c r="O31" s="681"/>
      <c r="P31" s="681"/>
      <c r="Q31" s="681"/>
      <c r="R31" s="681"/>
      <c r="S31" s="681"/>
      <c r="T31" s="681"/>
      <c r="U31" s="681"/>
      <c r="V31" s="681"/>
      <c r="W31" s="681"/>
      <c r="X31" s="681"/>
      <c r="Y31" s="681"/>
      <c r="Z31" s="681"/>
      <c r="AA31" s="681"/>
      <c r="AB31" s="681"/>
      <c r="AC31" s="681"/>
      <c r="AD31" s="681"/>
      <c r="AE31" s="82"/>
    </row>
    <row r="32" spans="1:31" ht="18" hidden="1" customHeight="1">
      <c r="A32" s="86" t="s">
        <v>169</v>
      </c>
      <c r="B32" s="51"/>
      <c r="C32" s="677"/>
      <c r="D32" s="845">
        <f>C32*$C$30*$C$17</f>
        <v>0</v>
      </c>
      <c r="E32" s="678"/>
      <c r="F32" s="681"/>
      <c r="G32" s="681"/>
      <c r="H32" s="681"/>
      <c r="I32" s="856"/>
      <c r="J32" s="856"/>
      <c r="K32" s="681"/>
      <c r="L32" s="681"/>
      <c r="M32" s="681"/>
      <c r="N32" s="681"/>
      <c r="O32" s="681"/>
      <c r="P32" s="681"/>
      <c r="Q32" s="681"/>
      <c r="R32" s="681"/>
      <c r="S32" s="681"/>
      <c r="T32" s="681"/>
      <c r="U32" s="681"/>
      <c r="V32" s="681"/>
      <c r="W32" s="681"/>
      <c r="X32" s="681"/>
      <c r="Y32" s="681"/>
      <c r="Z32" s="681"/>
      <c r="AA32" s="681"/>
      <c r="AB32" s="681"/>
      <c r="AC32" s="681"/>
      <c r="AD32" s="681"/>
      <c r="AE32" s="82"/>
    </row>
    <row r="33" spans="1:31" ht="18" hidden="1" customHeight="1">
      <c r="A33" s="86" t="s">
        <v>170</v>
      </c>
      <c r="B33" s="51"/>
      <c r="C33" s="677"/>
      <c r="D33" s="845">
        <f>C33*$C$30*$C$17</f>
        <v>0</v>
      </c>
      <c r="E33" s="678"/>
      <c r="F33" s="681"/>
      <c r="G33" s="681"/>
      <c r="H33" s="681"/>
      <c r="I33" s="856"/>
      <c r="J33" s="856"/>
      <c r="K33" s="681"/>
      <c r="L33" s="681"/>
      <c r="M33" s="681"/>
      <c r="N33" s="681"/>
      <c r="O33" s="681"/>
      <c r="P33" s="681"/>
      <c r="Q33" s="681"/>
      <c r="R33" s="681"/>
      <c r="S33" s="681"/>
      <c r="T33" s="681"/>
      <c r="U33" s="681"/>
      <c r="V33" s="681"/>
      <c r="W33" s="681"/>
      <c r="X33" s="681"/>
      <c r="Y33" s="681"/>
      <c r="Z33" s="681"/>
      <c r="AA33" s="681"/>
      <c r="AB33" s="681"/>
      <c r="AC33" s="681"/>
      <c r="AD33" s="681"/>
      <c r="AE33" s="82"/>
    </row>
    <row r="34" spans="1:31" ht="18" hidden="1" customHeight="1">
      <c r="A34" s="86" t="s">
        <v>171</v>
      </c>
      <c r="B34" s="51"/>
      <c r="C34" s="677"/>
      <c r="D34" s="845">
        <f t="shared" ref="D34" si="1">C34*$C$30*$C$17</f>
        <v>0</v>
      </c>
      <c r="E34" s="678"/>
      <c r="F34" s="681"/>
      <c r="G34" s="681"/>
      <c r="H34" s="681"/>
      <c r="I34" s="856"/>
      <c r="J34" s="856"/>
      <c r="K34" s="681"/>
      <c r="L34" s="681"/>
      <c r="M34" s="681"/>
      <c r="N34" s="681"/>
      <c r="O34" s="681"/>
      <c r="P34" s="681"/>
      <c r="Q34" s="681"/>
      <c r="R34" s="681"/>
      <c r="S34" s="681"/>
      <c r="T34" s="681"/>
      <c r="U34" s="681"/>
      <c r="V34" s="681"/>
      <c r="W34" s="681"/>
      <c r="X34" s="681"/>
      <c r="Y34" s="681"/>
      <c r="Z34" s="681"/>
      <c r="AA34" s="681"/>
      <c r="AB34" s="681"/>
      <c r="AC34" s="681"/>
      <c r="AD34" s="681"/>
      <c r="AE34" s="82"/>
    </row>
    <row r="35" spans="1:31" ht="18" hidden="1" customHeight="1">
      <c r="A35" s="86" t="s">
        <v>172</v>
      </c>
      <c r="B35" s="51"/>
      <c r="C35" s="677"/>
      <c r="D35" s="845">
        <f>C35*$C$30*$C$17</f>
        <v>0</v>
      </c>
      <c r="E35" s="678"/>
      <c r="F35" s="681"/>
      <c r="G35" s="681"/>
      <c r="H35" s="681"/>
      <c r="I35" s="856"/>
      <c r="J35" s="856"/>
      <c r="K35" s="681"/>
      <c r="L35" s="681"/>
      <c r="M35" s="681"/>
      <c r="N35" s="681"/>
      <c r="O35" s="681"/>
      <c r="P35" s="681"/>
      <c r="Q35" s="681"/>
      <c r="R35" s="681"/>
      <c r="S35" s="681"/>
      <c r="T35" s="681"/>
      <c r="U35" s="681"/>
      <c r="V35" s="681"/>
      <c r="W35" s="681"/>
      <c r="X35" s="681"/>
      <c r="Y35" s="681"/>
      <c r="Z35" s="681"/>
      <c r="AA35" s="681"/>
      <c r="AB35" s="681"/>
      <c r="AC35" s="681"/>
      <c r="AD35" s="681"/>
      <c r="AE35" s="82"/>
    </row>
    <row r="36" spans="1:31" ht="18" hidden="1" customHeight="1">
      <c r="A36" s="85" t="s">
        <v>173</v>
      </c>
      <c r="B36" s="34"/>
      <c r="C36" s="35"/>
      <c r="D36" s="847"/>
      <c r="E36" s="36"/>
      <c r="F36" s="55"/>
      <c r="G36" s="55"/>
      <c r="H36" s="55"/>
      <c r="I36" s="857"/>
      <c r="J36" s="857"/>
      <c r="K36" s="55"/>
      <c r="L36" s="55"/>
      <c r="M36" s="55"/>
      <c r="N36" s="55"/>
      <c r="O36" s="55"/>
      <c r="P36" s="55"/>
      <c r="Q36" s="55"/>
      <c r="R36" s="55"/>
      <c r="S36" s="55"/>
      <c r="T36" s="55"/>
      <c r="U36" s="55"/>
      <c r="V36" s="55"/>
      <c r="W36" s="55"/>
      <c r="X36" s="55"/>
      <c r="Y36" s="55"/>
      <c r="Z36" s="55"/>
      <c r="AA36" s="55"/>
      <c r="AB36" s="55"/>
      <c r="AC36" s="55"/>
      <c r="AD36" s="55"/>
      <c r="AE36" s="82"/>
    </row>
    <row r="37" spans="1:31" ht="18" hidden="1" customHeight="1">
      <c r="A37" s="86" t="s">
        <v>174</v>
      </c>
      <c r="B37" s="51"/>
      <c r="C37" s="677"/>
      <c r="D37" s="845">
        <f>C37*$C$36*$C$17</f>
        <v>0</v>
      </c>
      <c r="E37" s="678"/>
      <c r="F37" s="681"/>
      <c r="G37" s="681"/>
      <c r="H37" s="681"/>
      <c r="I37" s="856"/>
      <c r="J37" s="856"/>
      <c r="K37" s="681"/>
      <c r="L37" s="681"/>
      <c r="M37" s="681"/>
      <c r="N37" s="681"/>
      <c r="O37" s="681"/>
      <c r="P37" s="681"/>
      <c r="Q37" s="681"/>
      <c r="R37" s="681"/>
      <c r="S37" s="681"/>
      <c r="T37" s="681"/>
      <c r="U37" s="681"/>
      <c r="V37" s="681"/>
      <c r="W37" s="681"/>
      <c r="X37" s="681"/>
      <c r="Y37" s="681"/>
      <c r="Z37" s="681"/>
      <c r="AA37" s="681"/>
      <c r="AB37" s="681"/>
      <c r="AC37" s="681"/>
      <c r="AD37" s="681"/>
      <c r="AE37" s="82"/>
    </row>
    <row r="38" spans="1:31" ht="18" hidden="1" customHeight="1">
      <c r="A38" s="86" t="s">
        <v>175</v>
      </c>
      <c r="B38" s="51"/>
      <c r="C38" s="677"/>
      <c r="D38" s="845">
        <f>C38*$C$36*$C$17</f>
        <v>0</v>
      </c>
      <c r="E38" s="678"/>
      <c r="F38" s="681"/>
      <c r="G38" s="681"/>
      <c r="H38" s="681"/>
      <c r="I38" s="856"/>
      <c r="J38" s="856"/>
      <c r="K38" s="681"/>
      <c r="L38" s="681"/>
      <c r="M38" s="681"/>
      <c r="N38" s="681"/>
      <c r="O38" s="681"/>
      <c r="P38" s="681"/>
      <c r="Q38" s="681"/>
      <c r="R38" s="681"/>
      <c r="S38" s="681"/>
      <c r="T38" s="681"/>
      <c r="U38" s="681"/>
      <c r="V38" s="681"/>
      <c r="W38" s="681"/>
      <c r="X38" s="681"/>
      <c r="Y38" s="681"/>
      <c r="Z38" s="681"/>
      <c r="AA38" s="681"/>
      <c r="AB38" s="681"/>
      <c r="AC38" s="681"/>
      <c r="AD38" s="681"/>
      <c r="AE38" s="82"/>
    </row>
    <row r="39" spans="1:31" ht="18" hidden="1" customHeight="1">
      <c r="A39" s="86" t="s">
        <v>176</v>
      </c>
      <c r="B39" s="51"/>
      <c r="C39" s="677"/>
      <c r="D39" s="845">
        <f>C39*$C$36*$C$17</f>
        <v>0</v>
      </c>
      <c r="E39" s="678"/>
      <c r="F39" s="681"/>
      <c r="G39" s="681"/>
      <c r="H39" s="681"/>
      <c r="I39" s="856"/>
      <c r="J39" s="856"/>
      <c r="K39" s="681"/>
      <c r="L39" s="681"/>
      <c r="M39" s="681"/>
      <c r="N39" s="681"/>
      <c r="O39" s="681"/>
      <c r="P39" s="681"/>
      <c r="Q39" s="681"/>
      <c r="R39" s="681"/>
      <c r="S39" s="681"/>
      <c r="T39" s="681"/>
      <c r="U39" s="681"/>
      <c r="V39" s="681"/>
      <c r="W39" s="681"/>
      <c r="X39" s="681"/>
      <c r="Y39" s="681"/>
      <c r="Z39" s="681"/>
      <c r="AA39" s="681"/>
      <c r="AB39" s="681"/>
      <c r="AC39" s="681"/>
      <c r="AD39" s="681"/>
      <c r="AE39" s="82"/>
    </row>
    <row r="40" spans="1:31" ht="18" hidden="1" customHeight="1">
      <c r="A40" s="86" t="s">
        <v>177</v>
      </c>
      <c r="B40" s="51"/>
      <c r="C40" s="677"/>
      <c r="D40" s="845">
        <f>C40*$C$36*$C$17</f>
        <v>0</v>
      </c>
      <c r="E40" s="678"/>
      <c r="F40" s="681"/>
      <c r="G40" s="681"/>
      <c r="H40" s="681"/>
      <c r="I40" s="856"/>
      <c r="J40" s="856"/>
      <c r="K40" s="681"/>
      <c r="L40" s="681"/>
      <c r="M40" s="681"/>
      <c r="N40" s="681"/>
      <c r="O40" s="681"/>
      <c r="P40" s="681"/>
      <c r="Q40" s="681"/>
      <c r="R40" s="681"/>
      <c r="S40" s="681"/>
      <c r="T40" s="681"/>
      <c r="U40" s="681"/>
      <c r="V40" s="681"/>
      <c r="W40" s="681"/>
      <c r="X40" s="681"/>
      <c r="Y40" s="681"/>
      <c r="Z40" s="681"/>
      <c r="AA40" s="681"/>
      <c r="AB40" s="681"/>
      <c r="AC40" s="681"/>
      <c r="AD40" s="681"/>
      <c r="AE40" s="82"/>
    </row>
    <row r="41" spans="1:31" ht="18" hidden="1" customHeight="1">
      <c r="A41" s="86" t="s">
        <v>178</v>
      </c>
      <c r="B41" s="51"/>
      <c r="C41" s="677"/>
      <c r="D41" s="845">
        <f t="shared" ref="D41" si="2">C41*$C$36*$C$17</f>
        <v>0</v>
      </c>
      <c r="E41" s="678"/>
      <c r="F41" s="681"/>
      <c r="G41" s="681"/>
      <c r="H41" s="681"/>
      <c r="I41" s="856"/>
      <c r="J41" s="856"/>
      <c r="K41" s="681"/>
      <c r="L41" s="681"/>
      <c r="M41" s="681"/>
      <c r="N41" s="681"/>
      <c r="O41" s="681"/>
      <c r="P41" s="681"/>
      <c r="Q41" s="681"/>
      <c r="R41" s="681"/>
      <c r="S41" s="681"/>
      <c r="T41" s="681"/>
      <c r="U41" s="681"/>
      <c r="V41" s="681"/>
      <c r="W41" s="681"/>
      <c r="X41" s="681"/>
      <c r="Y41" s="681"/>
      <c r="Z41" s="681"/>
      <c r="AA41" s="681"/>
      <c r="AB41" s="681"/>
      <c r="AC41" s="681"/>
      <c r="AD41" s="681"/>
      <c r="AE41" s="82"/>
    </row>
    <row r="42" spans="1:31" ht="18" hidden="1" customHeight="1">
      <c r="A42" s="85" t="s">
        <v>179</v>
      </c>
      <c r="B42" s="34"/>
      <c r="C42" s="35"/>
      <c r="D42" s="847"/>
      <c r="E42" s="36"/>
      <c r="F42" s="55"/>
      <c r="G42" s="55"/>
      <c r="H42" s="55"/>
      <c r="I42" s="857"/>
      <c r="J42" s="857"/>
      <c r="K42" s="55"/>
      <c r="L42" s="55"/>
      <c r="M42" s="55"/>
      <c r="N42" s="55"/>
      <c r="O42" s="55"/>
      <c r="P42" s="55"/>
      <c r="Q42" s="55"/>
      <c r="R42" s="55"/>
      <c r="S42" s="55"/>
      <c r="T42" s="55"/>
      <c r="U42" s="55"/>
      <c r="V42" s="55"/>
      <c r="W42" s="55"/>
      <c r="X42" s="55"/>
      <c r="Y42" s="55"/>
      <c r="Z42" s="55"/>
      <c r="AA42" s="55"/>
      <c r="AB42" s="55"/>
      <c r="AC42" s="55"/>
      <c r="AD42" s="55"/>
      <c r="AE42" s="82"/>
    </row>
    <row r="43" spans="1:31" ht="18" hidden="1" customHeight="1">
      <c r="A43" s="86" t="s">
        <v>180</v>
      </c>
      <c r="B43" s="51"/>
      <c r="C43" s="677"/>
      <c r="D43" s="845">
        <f>C43*$C$42*$C$17</f>
        <v>0</v>
      </c>
      <c r="E43" s="678"/>
      <c r="F43" s="681"/>
      <c r="G43" s="681"/>
      <c r="H43" s="681"/>
      <c r="I43" s="856"/>
      <c r="J43" s="856"/>
      <c r="K43" s="681"/>
      <c r="L43" s="681"/>
      <c r="M43" s="681"/>
      <c r="N43" s="681"/>
      <c r="O43" s="681"/>
      <c r="P43" s="681"/>
      <c r="Q43" s="681"/>
      <c r="R43" s="681"/>
      <c r="S43" s="681"/>
      <c r="T43" s="681"/>
      <c r="U43" s="681"/>
      <c r="V43" s="681"/>
      <c r="W43" s="681"/>
      <c r="X43" s="681"/>
      <c r="Y43" s="681"/>
      <c r="Z43" s="681"/>
      <c r="AA43" s="681"/>
      <c r="AB43" s="681"/>
      <c r="AC43" s="681"/>
      <c r="AD43" s="681"/>
      <c r="AE43" s="82"/>
    </row>
    <row r="44" spans="1:31" ht="18" hidden="1" customHeight="1">
      <c r="A44" s="86" t="s">
        <v>181</v>
      </c>
      <c r="B44" s="51"/>
      <c r="C44" s="677"/>
      <c r="D44" s="845">
        <f t="shared" ref="D44:D46" si="3">C44*$C$42*$C$17</f>
        <v>0</v>
      </c>
      <c r="E44" s="678"/>
      <c r="F44" s="681"/>
      <c r="G44" s="681"/>
      <c r="H44" s="681"/>
      <c r="I44" s="856"/>
      <c r="J44" s="856"/>
      <c r="K44" s="681"/>
      <c r="L44" s="681"/>
      <c r="M44" s="681"/>
      <c r="N44" s="681"/>
      <c r="O44" s="681"/>
      <c r="P44" s="681"/>
      <c r="Q44" s="681"/>
      <c r="R44" s="681"/>
      <c r="S44" s="681"/>
      <c r="T44" s="681"/>
      <c r="U44" s="681"/>
      <c r="V44" s="681"/>
      <c r="W44" s="681"/>
      <c r="X44" s="681"/>
      <c r="Y44" s="681"/>
      <c r="Z44" s="681"/>
      <c r="AA44" s="681"/>
      <c r="AB44" s="681"/>
      <c r="AC44" s="681"/>
      <c r="AD44" s="681"/>
      <c r="AE44" s="82"/>
    </row>
    <row r="45" spans="1:31" ht="18" hidden="1" customHeight="1">
      <c r="A45" s="86" t="s">
        <v>182</v>
      </c>
      <c r="B45" s="51"/>
      <c r="C45" s="677"/>
      <c r="D45" s="845">
        <f t="shared" si="3"/>
        <v>0</v>
      </c>
      <c r="E45" s="678"/>
      <c r="F45" s="681"/>
      <c r="G45" s="681"/>
      <c r="H45" s="681"/>
      <c r="I45" s="856"/>
      <c r="J45" s="856"/>
      <c r="K45" s="681"/>
      <c r="L45" s="681"/>
      <c r="M45" s="681"/>
      <c r="N45" s="681"/>
      <c r="O45" s="681"/>
      <c r="P45" s="681"/>
      <c r="Q45" s="681"/>
      <c r="R45" s="681"/>
      <c r="S45" s="681"/>
      <c r="T45" s="681"/>
      <c r="U45" s="681"/>
      <c r="V45" s="681"/>
      <c r="W45" s="681"/>
      <c r="X45" s="681"/>
      <c r="Y45" s="681"/>
      <c r="Z45" s="681"/>
      <c r="AA45" s="681"/>
      <c r="AB45" s="681"/>
      <c r="AC45" s="681"/>
      <c r="AD45" s="681"/>
      <c r="AE45" s="82"/>
    </row>
    <row r="46" spans="1:31" ht="18" hidden="1" customHeight="1">
      <c r="A46" s="86" t="s">
        <v>183</v>
      </c>
      <c r="B46" s="51"/>
      <c r="C46" s="677"/>
      <c r="D46" s="845">
        <f t="shared" si="3"/>
        <v>0</v>
      </c>
      <c r="E46" s="678"/>
      <c r="F46" s="681"/>
      <c r="G46" s="681"/>
      <c r="H46" s="681"/>
      <c r="I46" s="856"/>
      <c r="J46" s="856"/>
      <c r="K46" s="681"/>
      <c r="L46" s="681"/>
      <c r="M46" s="681"/>
      <c r="N46" s="681"/>
      <c r="O46" s="681"/>
      <c r="P46" s="681"/>
      <c r="Q46" s="681"/>
      <c r="R46" s="681"/>
      <c r="S46" s="681"/>
      <c r="T46" s="681"/>
      <c r="U46" s="681"/>
      <c r="V46" s="681"/>
      <c r="W46" s="681"/>
      <c r="X46" s="681"/>
      <c r="Y46" s="681"/>
      <c r="Z46" s="681"/>
      <c r="AA46" s="681"/>
      <c r="AB46" s="681"/>
      <c r="AC46" s="681"/>
      <c r="AD46" s="681"/>
      <c r="AE46" s="82"/>
    </row>
    <row r="47" spans="1:31" ht="12.75" hidden="1">
      <c r="A47" s="86" t="s">
        <v>184</v>
      </c>
      <c r="B47" s="51"/>
      <c r="C47" s="677"/>
      <c r="D47" s="845">
        <f>C47*$C$42*$C$17</f>
        <v>0</v>
      </c>
      <c r="E47" s="678"/>
      <c r="F47" s="681"/>
      <c r="G47" s="681"/>
      <c r="H47" s="681"/>
      <c r="I47" s="856"/>
      <c r="J47" s="856"/>
      <c r="K47" s="681"/>
      <c r="L47" s="681"/>
      <c r="M47" s="681"/>
      <c r="N47" s="681"/>
      <c r="O47" s="681"/>
      <c r="P47" s="681"/>
      <c r="Q47" s="681"/>
      <c r="R47" s="681"/>
      <c r="S47" s="681"/>
      <c r="T47" s="681"/>
      <c r="U47" s="681"/>
      <c r="V47" s="681"/>
      <c r="W47" s="681"/>
      <c r="X47" s="681"/>
      <c r="Y47" s="681"/>
      <c r="Z47" s="681"/>
      <c r="AA47" s="681"/>
      <c r="AB47" s="681"/>
      <c r="AC47" s="681"/>
      <c r="AD47" s="681"/>
      <c r="AE47" s="82"/>
    </row>
    <row r="48" spans="1:31" ht="25.5">
      <c r="A48" s="84" t="s">
        <v>185</v>
      </c>
      <c r="B48" s="848" t="s">
        <v>382</v>
      </c>
      <c r="C48" s="38">
        <f>+'PRESUPUESTO OTRO SI '!G147</f>
        <v>0.5521814736951387</v>
      </c>
      <c r="D48" s="846"/>
      <c r="E48" s="39" t="s">
        <v>118</v>
      </c>
      <c r="F48" s="54">
        <v>4</v>
      </c>
      <c r="G48" s="54">
        <v>1</v>
      </c>
      <c r="H48" s="54">
        <v>1</v>
      </c>
      <c r="I48" s="461">
        <v>1</v>
      </c>
      <c r="J48" s="461">
        <v>1</v>
      </c>
      <c r="K48" s="460"/>
      <c r="L48" s="54"/>
      <c r="M48" s="54"/>
      <c r="N48" s="54"/>
      <c r="O48" s="54"/>
      <c r="P48" s="54"/>
      <c r="Q48" s="54"/>
      <c r="R48" s="54"/>
      <c r="S48" s="54"/>
      <c r="T48" s="54"/>
      <c r="U48" s="54"/>
      <c r="V48" s="54"/>
      <c r="W48" s="54"/>
      <c r="X48" s="54"/>
      <c r="Y48" s="54"/>
      <c r="Z48" s="54"/>
      <c r="AA48" s="54"/>
      <c r="AB48" s="54"/>
      <c r="AC48" s="54"/>
      <c r="AD48" s="54"/>
      <c r="AE48" s="82"/>
    </row>
    <row r="49" spans="1:31" ht="18" customHeight="1">
      <c r="A49" s="85" t="s">
        <v>188</v>
      </c>
      <c r="B49" s="34"/>
      <c r="C49" s="35">
        <v>1</v>
      </c>
      <c r="D49" s="847"/>
      <c r="E49" s="55" t="s">
        <v>118</v>
      </c>
      <c r="F49" s="55">
        <v>4</v>
      </c>
      <c r="G49" s="55">
        <v>1</v>
      </c>
      <c r="H49" s="55">
        <v>1</v>
      </c>
      <c r="I49" s="857">
        <v>1</v>
      </c>
      <c r="J49" s="857">
        <v>1</v>
      </c>
      <c r="K49" s="851"/>
      <c r="L49" s="55"/>
      <c r="M49" s="55"/>
      <c r="N49" s="55"/>
      <c r="O49" s="55"/>
      <c r="P49" s="55"/>
      <c r="Q49" s="55"/>
      <c r="R49" s="55"/>
      <c r="S49" s="55"/>
      <c r="T49" s="55"/>
      <c r="U49" s="55"/>
      <c r="V49" s="55"/>
      <c r="W49" s="55"/>
      <c r="X49" s="55"/>
      <c r="Y49" s="55"/>
      <c r="Z49" s="55"/>
      <c r="AA49" s="55"/>
      <c r="AB49" s="55"/>
      <c r="AC49" s="55"/>
      <c r="AD49" s="55"/>
      <c r="AE49" s="82"/>
    </row>
    <row r="50" spans="1:31" ht="18" customHeight="1">
      <c r="A50" s="86" t="s">
        <v>189</v>
      </c>
      <c r="B50" s="51"/>
      <c r="C50" s="677">
        <v>1</v>
      </c>
      <c r="D50" s="845">
        <f>C50*$C$49*$C$48</f>
        <v>0.5521814736951387</v>
      </c>
      <c r="E50" s="681" t="s">
        <v>118</v>
      </c>
      <c r="F50" s="681">
        <v>4</v>
      </c>
      <c r="G50" s="681">
        <v>1</v>
      </c>
      <c r="H50" s="681">
        <v>1</v>
      </c>
      <c r="I50" s="856">
        <v>1</v>
      </c>
      <c r="J50" s="856">
        <v>1</v>
      </c>
      <c r="K50" s="852"/>
      <c r="L50" s="681"/>
      <c r="M50" s="681"/>
      <c r="N50" s="681"/>
      <c r="O50" s="681"/>
      <c r="P50" s="681"/>
      <c r="Q50" s="681"/>
      <c r="R50" s="681"/>
      <c r="S50" s="681"/>
      <c r="T50" s="681"/>
      <c r="U50" s="681"/>
      <c r="V50" s="681"/>
      <c r="W50" s="681"/>
      <c r="X50" s="681"/>
      <c r="Y50" s="681"/>
      <c r="Z50" s="681"/>
      <c r="AA50" s="681"/>
      <c r="AB50" s="681"/>
      <c r="AC50" s="681"/>
      <c r="AD50" s="681"/>
      <c r="AE50" s="82"/>
    </row>
    <row r="51" spans="1:31" ht="18" hidden="1" customHeight="1">
      <c r="A51" s="86" t="s">
        <v>190</v>
      </c>
      <c r="B51" s="51"/>
      <c r="C51" s="677"/>
      <c r="D51" s="845">
        <f t="shared" ref="D51:D52" si="4">C51*$C$49*$C$48</f>
        <v>0</v>
      </c>
      <c r="E51" s="678"/>
      <c r="F51" s="681"/>
      <c r="G51" s="681"/>
      <c r="H51" s="681"/>
      <c r="I51" s="856"/>
      <c r="J51" s="856"/>
      <c r="K51" s="681"/>
      <c r="L51" s="681"/>
      <c r="M51" s="681"/>
      <c r="N51" s="681"/>
      <c r="O51" s="681"/>
      <c r="P51" s="681"/>
      <c r="Q51" s="681"/>
      <c r="R51" s="681"/>
      <c r="S51" s="681"/>
      <c r="T51" s="681"/>
      <c r="U51" s="681"/>
      <c r="V51" s="681"/>
      <c r="W51" s="681"/>
      <c r="X51" s="681"/>
      <c r="Y51" s="681"/>
      <c r="Z51" s="681"/>
      <c r="AA51" s="681"/>
      <c r="AB51" s="681"/>
      <c r="AC51" s="681"/>
      <c r="AD51" s="681"/>
      <c r="AE51" s="82">
        <f t="shared" ref="AE51:AE80" si="5">F51-SUM(G51:AD51)</f>
        <v>0</v>
      </c>
    </row>
    <row r="52" spans="1:31" ht="18" hidden="1" customHeight="1">
      <c r="A52" s="86" t="s">
        <v>191</v>
      </c>
      <c r="B52" s="51"/>
      <c r="C52" s="677"/>
      <c r="D52" s="845">
        <f t="shared" si="4"/>
        <v>0</v>
      </c>
      <c r="E52" s="678"/>
      <c r="F52" s="681"/>
      <c r="G52" s="681"/>
      <c r="H52" s="681"/>
      <c r="I52" s="856"/>
      <c r="J52" s="856"/>
      <c r="K52" s="681"/>
      <c r="L52" s="681"/>
      <c r="M52" s="681"/>
      <c r="N52" s="681"/>
      <c r="O52" s="681"/>
      <c r="P52" s="681"/>
      <c r="Q52" s="681"/>
      <c r="R52" s="681"/>
      <c r="S52" s="681"/>
      <c r="T52" s="681"/>
      <c r="U52" s="681"/>
      <c r="V52" s="681"/>
      <c r="W52" s="681"/>
      <c r="X52" s="681"/>
      <c r="Y52" s="681"/>
      <c r="Z52" s="681"/>
      <c r="AA52" s="681"/>
      <c r="AB52" s="681"/>
      <c r="AC52" s="681"/>
      <c r="AD52" s="681"/>
      <c r="AE52" s="82">
        <f t="shared" si="5"/>
        <v>0</v>
      </c>
    </row>
    <row r="53" spans="1:31" ht="18" hidden="1" customHeight="1">
      <c r="A53" s="86" t="s">
        <v>192</v>
      </c>
      <c r="B53" s="51"/>
      <c r="C53" s="677"/>
      <c r="D53" s="845">
        <f>C53*$C$49*$C$48</f>
        <v>0</v>
      </c>
      <c r="E53" s="678"/>
      <c r="F53" s="681"/>
      <c r="G53" s="681"/>
      <c r="H53" s="681"/>
      <c r="I53" s="856"/>
      <c r="J53" s="856"/>
      <c r="K53" s="681"/>
      <c r="L53" s="681"/>
      <c r="M53" s="681"/>
      <c r="N53" s="681"/>
      <c r="O53" s="681"/>
      <c r="P53" s="681"/>
      <c r="Q53" s="681"/>
      <c r="R53" s="681"/>
      <c r="S53" s="681"/>
      <c r="T53" s="681"/>
      <c r="U53" s="681"/>
      <c r="V53" s="681"/>
      <c r="W53" s="681"/>
      <c r="X53" s="681"/>
      <c r="Y53" s="681"/>
      <c r="Z53" s="681"/>
      <c r="AA53" s="681"/>
      <c r="AB53" s="681"/>
      <c r="AC53" s="681"/>
      <c r="AD53" s="681"/>
      <c r="AE53" s="82">
        <f t="shared" si="5"/>
        <v>0</v>
      </c>
    </row>
    <row r="54" spans="1:31" ht="18" hidden="1" customHeight="1">
      <c r="A54" s="86" t="s">
        <v>193</v>
      </c>
      <c r="B54" s="51"/>
      <c r="C54" s="677"/>
      <c r="D54" s="845">
        <f>C54*$C$49*$C$48</f>
        <v>0</v>
      </c>
      <c r="E54" s="678"/>
      <c r="F54" s="681"/>
      <c r="G54" s="681"/>
      <c r="H54" s="681"/>
      <c r="I54" s="856"/>
      <c r="J54" s="856"/>
      <c r="K54" s="681"/>
      <c r="L54" s="681"/>
      <c r="M54" s="681"/>
      <c r="N54" s="681"/>
      <c r="O54" s="681"/>
      <c r="P54" s="681"/>
      <c r="Q54" s="681"/>
      <c r="R54" s="681"/>
      <c r="S54" s="681"/>
      <c r="T54" s="681"/>
      <c r="U54" s="681"/>
      <c r="V54" s="681"/>
      <c r="W54" s="681"/>
      <c r="X54" s="681"/>
      <c r="Y54" s="681"/>
      <c r="Z54" s="681"/>
      <c r="AA54" s="681"/>
      <c r="AB54" s="681"/>
      <c r="AC54" s="681"/>
      <c r="AD54" s="681"/>
      <c r="AE54" s="82">
        <f t="shared" si="5"/>
        <v>0</v>
      </c>
    </row>
    <row r="55" spans="1:31" ht="18" hidden="1" customHeight="1">
      <c r="A55" s="85" t="s">
        <v>194</v>
      </c>
      <c r="B55" s="34"/>
      <c r="C55" s="35"/>
      <c r="D55" s="847"/>
      <c r="E55" s="36"/>
      <c r="F55" s="55"/>
      <c r="G55" s="55">
        <f>SUM(G56:G60)</f>
        <v>0</v>
      </c>
      <c r="H55" s="55">
        <f t="shared" ref="H55:I55" si="6">SUM(H56:H60)</f>
        <v>0</v>
      </c>
      <c r="I55" s="857">
        <f t="shared" si="6"/>
        <v>0</v>
      </c>
      <c r="J55" s="857">
        <f>SUM(J56:J60)</f>
        <v>0</v>
      </c>
      <c r="K55" s="55">
        <f t="shared" ref="K55:AD55" si="7">SUM(K56:K60)</f>
        <v>0</v>
      </c>
      <c r="L55" s="55">
        <f t="shared" si="7"/>
        <v>0</v>
      </c>
      <c r="M55" s="55">
        <f t="shared" si="7"/>
        <v>0</v>
      </c>
      <c r="N55" s="55">
        <f t="shared" si="7"/>
        <v>0</v>
      </c>
      <c r="O55" s="55">
        <f t="shared" si="7"/>
        <v>0</v>
      </c>
      <c r="P55" s="55">
        <f t="shared" si="7"/>
        <v>0</v>
      </c>
      <c r="Q55" s="55">
        <f t="shared" si="7"/>
        <v>0</v>
      </c>
      <c r="R55" s="55">
        <f t="shared" si="7"/>
        <v>0</v>
      </c>
      <c r="S55" s="55">
        <f t="shared" si="7"/>
        <v>0</v>
      </c>
      <c r="T55" s="55">
        <f t="shared" si="7"/>
        <v>0</v>
      </c>
      <c r="U55" s="55">
        <f t="shared" si="7"/>
        <v>0</v>
      </c>
      <c r="V55" s="55">
        <f t="shared" si="7"/>
        <v>0</v>
      </c>
      <c r="W55" s="55">
        <f t="shared" si="7"/>
        <v>0</v>
      </c>
      <c r="X55" s="55">
        <f t="shared" si="7"/>
        <v>0</v>
      </c>
      <c r="Y55" s="55">
        <f t="shared" si="7"/>
        <v>0</v>
      </c>
      <c r="Z55" s="55">
        <f t="shared" si="7"/>
        <v>0</v>
      </c>
      <c r="AA55" s="55">
        <f t="shared" si="7"/>
        <v>0</v>
      </c>
      <c r="AB55" s="55">
        <f t="shared" si="7"/>
        <v>0</v>
      </c>
      <c r="AC55" s="55">
        <f t="shared" si="7"/>
        <v>0</v>
      </c>
      <c r="AD55" s="55">
        <f t="shared" si="7"/>
        <v>0</v>
      </c>
      <c r="AE55" s="82">
        <f t="shared" si="5"/>
        <v>0</v>
      </c>
    </row>
    <row r="56" spans="1:31" ht="18" hidden="1" customHeight="1">
      <c r="A56" s="86" t="s">
        <v>195</v>
      </c>
      <c r="B56" s="51"/>
      <c r="C56" s="677"/>
      <c r="D56" s="845">
        <f>C56*$C$55*$C$48</f>
        <v>0</v>
      </c>
      <c r="E56" s="678"/>
      <c r="F56" s="681"/>
      <c r="G56" s="681"/>
      <c r="H56" s="681"/>
      <c r="I56" s="856"/>
      <c r="J56" s="856"/>
      <c r="K56" s="681"/>
      <c r="L56" s="681"/>
      <c r="M56" s="681"/>
      <c r="N56" s="681"/>
      <c r="O56" s="681"/>
      <c r="P56" s="681"/>
      <c r="Q56" s="681"/>
      <c r="R56" s="681"/>
      <c r="S56" s="681"/>
      <c r="T56" s="681"/>
      <c r="U56" s="681"/>
      <c r="V56" s="681"/>
      <c r="W56" s="681"/>
      <c r="X56" s="681"/>
      <c r="Y56" s="681"/>
      <c r="Z56" s="681"/>
      <c r="AA56" s="681"/>
      <c r="AB56" s="681"/>
      <c r="AC56" s="681"/>
      <c r="AD56" s="681"/>
      <c r="AE56" s="82">
        <f t="shared" si="5"/>
        <v>0</v>
      </c>
    </row>
    <row r="57" spans="1:31" ht="18" hidden="1" customHeight="1">
      <c r="A57" s="86" t="s">
        <v>196</v>
      </c>
      <c r="B57" s="51"/>
      <c r="C57" s="677"/>
      <c r="D57" s="845">
        <f t="shared" ref="D57:D59" si="8">C57*$C$55*$C$48</f>
        <v>0</v>
      </c>
      <c r="E57" s="678"/>
      <c r="F57" s="681"/>
      <c r="G57" s="681"/>
      <c r="H57" s="681"/>
      <c r="I57" s="856"/>
      <c r="J57" s="856"/>
      <c r="K57" s="681"/>
      <c r="L57" s="681"/>
      <c r="M57" s="681"/>
      <c r="N57" s="681"/>
      <c r="O57" s="681"/>
      <c r="P57" s="681"/>
      <c r="Q57" s="681"/>
      <c r="R57" s="681"/>
      <c r="S57" s="681"/>
      <c r="T57" s="681"/>
      <c r="U57" s="681"/>
      <c r="V57" s="681"/>
      <c r="W57" s="681"/>
      <c r="X57" s="681"/>
      <c r="Y57" s="681"/>
      <c r="Z57" s="681"/>
      <c r="AA57" s="681"/>
      <c r="AB57" s="681"/>
      <c r="AC57" s="681"/>
      <c r="AD57" s="681"/>
      <c r="AE57" s="82">
        <f t="shared" si="5"/>
        <v>0</v>
      </c>
    </row>
    <row r="58" spans="1:31" ht="18" hidden="1" customHeight="1">
      <c r="A58" s="86" t="s">
        <v>197</v>
      </c>
      <c r="B58" s="51"/>
      <c r="C58" s="677"/>
      <c r="D58" s="845">
        <f t="shared" si="8"/>
        <v>0</v>
      </c>
      <c r="E58" s="678"/>
      <c r="F58" s="681"/>
      <c r="G58" s="681"/>
      <c r="H58" s="681"/>
      <c r="I58" s="856"/>
      <c r="J58" s="856"/>
      <c r="K58" s="681"/>
      <c r="L58" s="681"/>
      <c r="M58" s="681"/>
      <c r="N58" s="681"/>
      <c r="O58" s="681"/>
      <c r="P58" s="681"/>
      <c r="Q58" s="681"/>
      <c r="R58" s="681"/>
      <c r="S58" s="681"/>
      <c r="T58" s="681"/>
      <c r="U58" s="681"/>
      <c r="V58" s="681"/>
      <c r="W58" s="681"/>
      <c r="X58" s="681"/>
      <c r="Y58" s="681"/>
      <c r="Z58" s="681"/>
      <c r="AA58" s="681"/>
      <c r="AB58" s="681"/>
      <c r="AC58" s="681"/>
      <c r="AD58" s="681"/>
      <c r="AE58" s="82">
        <f t="shared" si="5"/>
        <v>0</v>
      </c>
    </row>
    <row r="59" spans="1:31" ht="18" hidden="1" customHeight="1">
      <c r="A59" s="86" t="s">
        <v>198</v>
      </c>
      <c r="B59" s="51"/>
      <c r="C59" s="677"/>
      <c r="D59" s="845">
        <f t="shared" si="8"/>
        <v>0</v>
      </c>
      <c r="E59" s="678"/>
      <c r="F59" s="681"/>
      <c r="G59" s="681"/>
      <c r="H59" s="681"/>
      <c r="I59" s="856"/>
      <c r="J59" s="856"/>
      <c r="K59" s="681"/>
      <c r="L59" s="681"/>
      <c r="M59" s="681"/>
      <c r="N59" s="681"/>
      <c r="O59" s="681"/>
      <c r="P59" s="681"/>
      <c r="Q59" s="681"/>
      <c r="R59" s="681"/>
      <c r="S59" s="681"/>
      <c r="T59" s="681"/>
      <c r="U59" s="681"/>
      <c r="V59" s="681"/>
      <c r="W59" s="681"/>
      <c r="X59" s="681"/>
      <c r="Y59" s="681"/>
      <c r="Z59" s="681"/>
      <c r="AA59" s="681"/>
      <c r="AB59" s="681"/>
      <c r="AC59" s="681"/>
      <c r="AD59" s="681"/>
      <c r="AE59" s="82">
        <f t="shared" si="5"/>
        <v>0</v>
      </c>
    </row>
    <row r="60" spans="1:31" ht="18" hidden="1" customHeight="1">
      <c r="A60" s="86" t="s">
        <v>199</v>
      </c>
      <c r="B60" s="51"/>
      <c r="C60" s="677"/>
      <c r="D60" s="845">
        <f>C60*$C$55*$C$48</f>
        <v>0</v>
      </c>
      <c r="E60" s="678"/>
      <c r="F60" s="681"/>
      <c r="G60" s="681"/>
      <c r="H60" s="681"/>
      <c r="I60" s="856"/>
      <c r="J60" s="856"/>
      <c r="K60" s="681"/>
      <c r="L60" s="681"/>
      <c r="M60" s="681"/>
      <c r="N60" s="681"/>
      <c r="O60" s="681"/>
      <c r="P60" s="681"/>
      <c r="Q60" s="681"/>
      <c r="R60" s="681"/>
      <c r="S60" s="681"/>
      <c r="T60" s="681"/>
      <c r="U60" s="681"/>
      <c r="V60" s="681"/>
      <c r="W60" s="681"/>
      <c r="X60" s="681"/>
      <c r="Y60" s="681"/>
      <c r="Z60" s="681"/>
      <c r="AA60" s="681"/>
      <c r="AB60" s="681"/>
      <c r="AC60" s="681"/>
      <c r="AD60" s="681"/>
      <c r="AE60" s="82">
        <f t="shared" si="5"/>
        <v>0</v>
      </c>
    </row>
    <row r="61" spans="1:31" ht="18" hidden="1" customHeight="1">
      <c r="A61" s="85" t="s">
        <v>200</v>
      </c>
      <c r="B61" s="34"/>
      <c r="C61" s="35"/>
      <c r="D61" s="847"/>
      <c r="E61" s="36"/>
      <c r="F61" s="55"/>
      <c r="G61" s="55">
        <f>SUM(G62:G66)</f>
        <v>0</v>
      </c>
      <c r="H61" s="55">
        <f>SUM(H62:H66)</f>
        <v>0</v>
      </c>
      <c r="I61" s="857">
        <f t="shared" ref="I61:J61" si="9">SUM(I62:I66)</f>
        <v>0</v>
      </c>
      <c r="J61" s="857">
        <f t="shared" si="9"/>
        <v>0</v>
      </c>
      <c r="K61" s="55">
        <f>SUM(K62:K66)</f>
        <v>0</v>
      </c>
      <c r="L61" s="55">
        <f t="shared" ref="L61:AD61" si="10">SUM(L62:L66)</f>
        <v>0</v>
      </c>
      <c r="M61" s="55">
        <f t="shared" si="10"/>
        <v>0</v>
      </c>
      <c r="N61" s="55">
        <f t="shared" si="10"/>
        <v>0</v>
      </c>
      <c r="O61" s="55">
        <f t="shared" si="10"/>
        <v>0</v>
      </c>
      <c r="P61" s="55">
        <f t="shared" si="10"/>
        <v>0</v>
      </c>
      <c r="Q61" s="55">
        <f t="shared" si="10"/>
        <v>0</v>
      </c>
      <c r="R61" s="55">
        <f t="shared" si="10"/>
        <v>0</v>
      </c>
      <c r="S61" s="55">
        <f t="shared" si="10"/>
        <v>0</v>
      </c>
      <c r="T61" s="55">
        <f t="shared" si="10"/>
        <v>0</v>
      </c>
      <c r="U61" s="55">
        <f t="shared" si="10"/>
        <v>0</v>
      </c>
      <c r="V61" s="55">
        <f t="shared" si="10"/>
        <v>0</v>
      </c>
      <c r="W61" s="55">
        <f t="shared" si="10"/>
        <v>0</v>
      </c>
      <c r="X61" s="55">
        <f t="shared" si="10"/>
        <v>0</v>
      </c>
      <c r="Y61" s="55">
        <f t="shared" si="10"/>
        <v>0</v>
      </c>
      <c r="Z61" s="55">
        <f t="shared" si="10"/>
        <v>0</v>
      </c>
      <c r="AA61" s="55">
        <f t="shared" si="10"/>
        <v>0</v>
      </c>
      <c r="AB61" s="55">
        <f t="shared" si="10"/>
        <v>0</v>
      </c>
      <c r="AC61" s="55">
        <f t="shared" si="10"/>
        <v>0</v>
      </c>
      <c r="AD61" s="55">
        <f t="shared" si="10"/>
        <v>0</v>
      </c>
      <c r="AE61" s="82">
        <f t="shared" si="5"/>
        <v>0</v>
      </c>
    </row>
    <row r="62" spans="1:31" ht="18" hidden="1" customHeight="1">
      <c r="A62" s="86" t="s">
        <v>201</v>
      </c>
      <c r="B62" s="51"/>
      <c r="C62" s="677"/>
      <c r="D62" s="845">
        <f>C62*$C$61*$C$48</f>
        <v>0</v>
      </c>
      <c r="E62" s="678"/>
      <c r="F62" s="681"/>
      <c r="G62" s="681"/>
      <c r="H62" s="681"/>
      <c r="I62" s="856"/>
      <c r="J62" s="856"/>
      <c r="K62" s="681"/>
      <c r="L62" s="681"/>
      <c r="M62" s="681"/>
      <c r="N62" s="681"/>
      <c r="O62" s="681"/>
      <c r="P62" s="681"/>
      <c r="Q62" s="681"/>
      <c r="R62" s="681"/>
      <c r="S62" s="681"/>
      <c r="T62" s="681"/>
      <c r="U62" s="681"/>
      <c r="V62" s="681"/>
      <c r="W62" s="681"/>
      <c r="X62" s="681"/>
      <c r="Y62" s="681"/>
      <c r="Z62" s="681"/>
      <c r="AA62" s="681"/>
      <c r="AB62" s="681"/>
      <c r="AC62" s="681"/>
      <c r="AD62" s="681"/>
      <c r="AE62" s="82">
        <f t="shared" si="5"/>
        <v>0</v>
      </c>
    </row>
    <row r="63" spans="1:31" ht="18" hidden="1" customHeight="1">
      <c r="A63" s="86" t="s">
        <v>202</v>
      </c>
      <c r="B63" s="51"/>
      <c r="C63" s="677"/>
      <c r="D63" s="845">
        <f t="shared" ref="D63:D64" si="11">C63*$C$61*$C$48</f>
        <v>0</v>
      </c>
      <c r="E63" s="678"/>
      <c r="F63" s="681"/>
      <c r="G63" s="681"/>
      <c r="H63" s="681"/>
      <c r="I63" s="856"/>
      <c r="J63" s="856"/>
      <c r="K63" s="681"/>
      <c r="L63" s="681"/>
      <c r="M63" s="681"/>
      <c r="N63" s="681"/>
      <c r="O63" s="681"/>
      <c r="P63" s="681"/>
      <c r="Q63" s="681"/>
      <c r="R63" s="681"/>
      <c r="S63" s="681"/>
      <c r="T63" s="681"/>
      <c r="U63" s="681"/>
      <c r="V63" s="681"/>
      <c r="W63" s="681"/>
      <c r="X63" s="681"/>
      <c r="Y63" s="681"/>
      <c r="Z63" s="681"/>
      <c r="AA63" s="681"/>
      <c r="AB63" s="681"/>
      <c r="AC63" s="681"/>
      <c r="AD63" s="681"/>
      <c r="AE63" s="82">
        <f t="shared" si="5"/>
        <v>0</v>
      </c>
    </row>
    <row r="64" spans="1:31" ht="18" hidden="1" customHeight="1">
      <c r="A64" s="86" t="s">
        <v>203</v>
      </c>
      <c r="B64" s="51"/>
      <c r="C64" s="677"/>
      <c r="D64" s="845">
        <f t="shared" si="11"/>
        <v>0</v>
      </c>
      <c r="E64" s="678"/>
      <c r="F64" s="681"/>
      <c r="G64" s="681"/>
      <c r="H64" s="681"/>
      <c r="I64" s="856"/>
      <c r="J64" s="856"/>
      <c r="K64" s="681"/>
      <c r="L64" s="681"/>
      <c r="M64" s="681"/>
      <c r="N64" s="681"/>
      <c r="O64" s="681"/>
      <c r="P64" s="681"/>
      <c r="Q64" s="681"/>
      <c r="R64" s="681"/>
      <c r="S64" s="681"/>
      <c r="T64" s="681"/>
      <c r="U64" s="681"/>
      <c r="V64" s="681"/>
      <c r="W64" s="681"/>
      <c r="X64" s="681"/>
      <c r="Y64" s="681"/>
      <c r="Z64" s="681"/>
      <c r="AA64" s="681"/>
      <c r="AB64" s="681"/>
      <c r="AC64" s="681"/>
      <c r="AD64" s="681"/>
      <c r="AE64" s="82">
        <f t="shared" si="5"/>
        <v>0</v>
      </c>
    </row>
    <row r="65" spans="1:31" ht="18" hidden="1" customHeight="1">
      <c r="A65" s="86" t="s">
        <v>204</v>
      </c>
      <c r="B65" s="51"/>
      <c r="C65" s="677"/>
      <c r="D65" s="845">
        <f>C65*$C$61*$C$48</f>
        <v>0</v>
      </c>
      <c r="E65" s="678"/>
      <c r="F65" s="681"/>
      <c r="G65" s="681"/>
      <c r="H65" s="681"/>
      <c r="I65" s="856"/>
      <c r="J65" s="856"/>
      <c r="K65" s="681"/>
      <c r="L65" s="681"/>
      <c r="M65" s="681"/>
      <c r="N65" s="681"/>
      <c r="O65" s="681"/>
      <c r="P65" s="681"/>
      <c r="Q65" s="681"/>
      <c r="R65" s="681"/>
      <c r="S65" s="681"/>
      <c r="T65" s="681"/>
      <c r="U65" s="681"/>
      <c r="V65" s="681"/>
      <c r="W65" s="681"/>
      <c r="X65" s="681"/>
      <c r="Y65" s="681"/>
      <c r="Z65" s="681"/>
      <c r="AA65" s="681"/>
      <c r="AB65" s="681"/>
      <c r="AC65" s="681"/>
      <c r="AD65" s="681"/>
      <c r="AE65" s="82">
        <f t="shared" si="5"/>
        <v>0</v>
      </c>
    </row>
    <row r="66" spans="1:31" ht="18" hidden="1" customHeight="1">
      <c r="A66" s="86" t="s">
        <v>205</v>
      </c>
      <c r="B66" s="51"/>
      <c r="C66" s="677"/>
      <c r="D66" s="845">
        <f>C66*$C$61*$C$48</f>
        <v>0</v>
      </c>
      <c r="E66" s="678"/>
      <c r="F66" s="681"/>
      <c r="G66" s="681"/>
      <c r="H66" s="681"/>
      <c r="I66" s="856"/>
      <c r="J66" s="856"/>
      <c r="K66" s="681"/>
      <c r="L66" s="681"/>
      <c r="M66" s="681"/>
      <c r="N66" s="681"/>
      <c r="O66" s="681"/>
      <c r="P66" s="681"/>
      <c r="Q66" s="681"/>
      <c r="R66" s="681"/>
      <c r="S66" s="681"/>
      <c r="T66" s="681"/>
      <c r="U66" s="681"/>
      <c r="V66" s="681"/>
      <c r="W66" s="681"/>
      <c r="X66" s="681"/>
      <c r="Y66" s="681"/>
      <c r="Z66" s="681"/>
      <c r="AA66" s="681"/>
      <c r="AB66" s="681"/>
      <c r="AC66" s="681"/>
      <c r="AD66" s="681"/>
      <c r="AE66" s="82">
        <f t="shared" si="5"/>
        <v>0</v>
      </c>
    </row>
    <row r="67" spans="1:31" ht="18" hidden="1" customHeight="1">
      <c r="A67" s="85" t="s">
        <v>206</v>
      </c>
      <c r="B67" s="34"/>
      <c r="C67" s="35"/>
      <c r="D67" s="847"/>
      <c r="E67" s="36"/>
      <c r="F67" s="55"/>
      <c r="G67" s="55">
        <f>SUM(G68:G72)</f>
        <v>0</v>
      </c>
      <c r="H67" s="55">
        <f>SUM(H68:H72)</f>
        <v>0</v>
      </c>
      <c r="I67" s="857">
        <f t="shared" ref="I67" si="12">SUM(I68:I72)</f>
        <v>0</v>
      </c>
      <c r="J67" s="857">
        <f>SUM(J68:J72)</f>
        <v>0</v>
      </c>
      <c r="K67" s="55">
        <f>SUM(K68:K72)</f>
        <v>0</v>
      </c>
      <c r="L67" s="55">
        <f t="shared" ref="L67:AD67" si="13">SUM(L68:L72)</f>
        <v>0</v>
      </c>
      <c r="M67" s="55">
        <f t="shared" si="13"/>
        <v>0</v>
      </c>
      <c r="N67" s="55">
        <f t="shared" si="13"/>
        <v>0</v>
      </c>
      <c r="O67" s="55">
        <f t="shared" si="13"/>
        <v>0</v>
      </c>
      <c r="P67" s="55">
        <f t="shared" si="13"/>
        <v>0</v>
      </c>
      <c r="Q67" s="55">
        <f t="shared" si="13"/>
        <v>0</v>
      </c>
      <c r="R67" s="55">
        <f t="shared" si="13"/>
        <v>0</v>
      </c>
      <c r="S67" s="55">
        <f t="shared" si="13"/>
        <v>0</v>
      </c>
      <c r="T67" s="55">
        <f t="shared" si="13"/>
        <v>0</v>
      </c>
      <c r="U67" s="55">
        <f t="shared" si="13"/>
        <v>0</v>
      </c>
      <c r="V67" s="55">
        <f t="shared" si="13"/>
        <v>0</v>
      </c>
      <c r="W67" s="55">
        <f t="shared" si="13"/>
        <v>0</v>
      </c>
      <c r="X67" s="55">
        <f t="shared" si="13"/>
        <v>0</v>
      </c>
      <c r="Y67" s="55">
        <f t="shared" si="13"/>
        <v>0</v>
      </c>
      <c r="Z67" s="55">
        <f t="shared" si="13"/>
        <v>0</v>
      </c>
      <c r="AA67" s="55">
        <f t="shared" si="13"/>
        <v>0</v>
      </c>
      <c r="AB67" s="55">
        <f t="shared" si="13"/>
        <v>0</v>
      </c>
      <c r="AC67" s="55">
        <f t="shared" si="13"/>
        <v>0</v>
      </c>
      <c r="AD67" s="55">
        <f t="shared" si="13"/>
        <v>0</v>
      </c>
      <c r="AE67" s="82">
        <f t="shared" si="5"/>
        <v>0</v>
      </c>
    </row>
    <row r="68" spans="1:31" ht="18" hidden="1" customHeight="1">
      <c r="A68" s="86" t="s">
        <v>207</v>
      </c>
      <c r="B68" s="51"/>
      <c r="C68" s="677"/>
      <c r="D68" s="845">
        <f>C68*$C$67*$C$48</f>
        <v>0</v>
      </c>
      <c r="E68" s="678"/>
      <c r="F68" s="681"/>
      <c r="G68" s="681"/>
      <c r="H68" s="681"/>
      <c r="I68" s="856"/>
      <c r="J68" s="856"/>
      <c r="K68" s="681"/>
      <c r="L68" s="681"/>
      <c r="M68" s="681"/>
      <c r="N68" s="681"/>
      <c r="O68" s="681"/>
      <c r="P68" s="681"/>
      <c r="Q68" s="681"/>
      <c r="R68" s="681"/>
      <c r="S68" s="681"/>
      <c r="T68" s="681"/>
      <c r="U68" s="681"/>
      <c r="V68" s="681"/>
      <c r="W68" s="681"/>
      <c r="X68" s="681"/>
      <c r="Y68" s="681"/>
      <c r="Z68" s="681"/>
      <c r="AA68" s="681"/>
      <c r="AB68" s="681"/>
      <c r="AC68" s="681"/>
      <c r="AD68" s="681"/>
      <c r="AE68" s="82">
        <f t="shared" si="5"/>
        <v>0</v>
      </c>
    </row>
    <row r="69" spans="1:31" ht="18" hidden="1" customHeight="1">
      <c r="A69" s="86" t="s">
        <v>208</v>
      </c>
      <c r="B69" s="51"/>
      <c r="C69" s="677"/>
      <c r="D69" s="845">
        <f t="shared" ref="D69:D71" si="14">C69*$C$67*$C$48</f>
        <v>0</v>
      </c>
      <c r="E69" s="678"/>
      <c r="F69" s="681"/>
      <c r="G69" s="681"/>
      <c r="H69" s="681"/>
      <c r="I69" s="856"/>
      <c r="J69" s="856"/>
      <c r="K69" s="681"/>
      <c r="L69" s="681"/>
      <c r="M69" s="681"/>
      <c r="N69" s="681"/>
      <c r="O69" s="681"/>
      <c r="P69" s="681"/>
      <c r="Q69" s="681"/>
      <c r="R69" s="681"/>
      <c r="S69" s="681"/>
      <c r="T69" s="681"/>
      <c r="U69" s="681"/>
      <c r="V69" s="681"/>
      <c r="W69" s="681"/>
      <c r="X69" s="681"/>
      <c r="Y69" s="681"/>
      <c r="Z69" s="681"/>
      <c r="AA69" s="681"/>
      <c r="AB69" s="681"/>
      <c r="AC69" s="681"/>
      <c r="AD69" s="681"/>
      <c r="AE69" s="82">
        <f t="shared" si="5"/>
        <v>0</v>
      </c>
    </row>
    <row r="70" spans="1:31" ht="18" hidden="1" customHeight="1">
      <c r="A70" s="86" t="s">
        <v>209</v>
      </c>
      <c r="B70" s="51"/>
      <c r="C70" s="677"/>
      <c r="D70" s="845">
        <f t="shared" si="14"/>
        <v>0</v>
      </c>
      <c r="E70" s="678"/>
      <c r="F70" s="681"/>
      <c r="G70" s="681"/>
      <c r="H70" s="681"/>
      <c r="I70" s="856"/>
      <c r="J70" s="856"/>
      <c r="K70" s="681"/>
      <c r="L70" s="681"/>
      <c r="M70" s="681"/>
      <c r="N70" s="681"/>
      <c r="O70" s="681"/>
      <c r="P70" s="681"/>
      <c r="Q70" s="681"/>
      <c r="R70" s="681"/>
      <c r="S70" s="681"/>
      <c r="T70" s="681"/>
      <c r="U70" s="681"/>
      <c r="V70" s="681"/>
      <c r="W70" s="681"/>
      <c r="X70" s="681"/>
      <c r="Y70" s="681"/>
      <c r="Z70" s="681"/>
      <c r="AA70" s="681"/>
      <c r="AB70" s="681"/>
      <c r="AC70" s="681"/>
      <c r="AD70" s="681"/>
      <c r="AE70" s="82">
        <f t="shared" si="5"/>
        <v>0</v>
      </c>
    </row>
    <row r="71" spans="1:31" ht="18" hidden="1" customHeight="1">
      <c r="A71" s="86" t="s">
        <v>210</v>
      </c>
      <c r="B71" s="51"/>
      <c r="C71" s="677"/>
      <c r="D71" s="845">
        <f t="shared" si="14"/>
        <v>0</v>
      </c>
      <c r="E71" s="678"/>
      <c r="F71" s="681"/>
      <c r="G71" s="681"/>
      <c r="H71" s="681"/>
      <c r="I71" s="856"/>
      <c r="J71" s="856"/>
      <c r="K71" s="681"/>
      <c r="L71" s="681"/>
      <c r="M71" s="681"/>
      <c r="N71" s="681"/>
      <c r="O71" s="681"/>
      <c r="P71" s="681"/>
      <c r="Q71" s="681"/>
      <c r="R71" s="681"/>
      <c r="S71" s="681"/>
      <c r="T71" s="681"/>
      <c r="U71" s="681"/>
      <c r="V71" s="681"/>
      <c r="W71" s="681"/>
      <c r="X71" s="681"/>
      <c r="Y71" s="681"/>
      <c r="Z71" s="681"/>
      <c r="AA71" s="681"/>
      <c r="AB71" s="681"/>
      <c r="AC71" s="681"/>
      <c r="AD71" s="681"/>
      <c r="AE71" s="82">
        <f t="shared" si="5"/>
        <v>0</v>
      </c>
    </row>
    <row r="72" spans="1:31" ht="18" hidden="1" customHeight="1">
      <c r="A72" s="86" t="s">
        <v>211</v>
      </c>
      <c r="B72" s="51"/>
      <c r="C72" s="677"/>
      <c r="D72" s="845">
        <f>C72*$C$67*$C$48</f>
        <v>0</v>
      </c>
      <c r="E72" s="678"/>
      <c r="F72" s="681"/>
      <c r="G72" s="681"/>
      <c r="H72" s="681"/>
      <c r="I72" s="856"/>
      <c r="J72" s="856"/>
      <c r="K72" s="681"/>
      <c r="L72" s="681"/>
      <c r="M72" s="681"/>
      <c r="N72" s="681"/>
      <c r="O72" s="681"/>
      <c r="P72" s="681"/>
      <c r="Q72" s="681"/>
      <c r="R72" s="681"/>
      <c r="S72" s="681"/>
      <c r="T72" s="681"/>
      <c r="U72" s="681"/>
      <c r="V72" s="681"/>
      <c r="W72" s="681"/>
      <c r="X72" s="681"/>
      <c r="Y72" s="681"/>
      <c r="Z72" s="681"/>
      <c r="AA72" s="681"/>
      <c r="AB72" s="681"/>
      <c r="AC72" s="681"/>
      <c r="AD72" s="681"/>
      <c r="AE72" s="82">
        <f t="shared" si="5"/>
        <v>0</v>
      </c>
    </row>
    <row r="73" spans="1:31" ht="18" hidden="1" customHeight="1">
      <c r="A73" s="85" t="s">
        <v>212</v>
      </c>
      <c r="B73" s="34"/>
      <c r="C73" s="35"/>
      <c r="D73" s="847"/>
      <c r="E73" s="36"/>
      <c r="F73" s="55"/>
      <c r="G73" s="55">
        <f>SUM(G74:G78)</f>
        <v>0</v>
      </c>
      <c r="H73" s="55">
        <f>SUM(H74:H78)</f>
        <v>0</v>
      </c>
      <c r="I73" s="857">
        <f t="shared" ref="I73" si="15">SUM(I74:I78)</f>
        <v>0</v>
      </c>
      <c r="J73" s="857">
        <f>SUM(J74:J78)</f>
        <v>0</v>
      </c>
      <c r="K73" s="55">
        <f>SUM(K74:K78)</f>
        <v>0</v>
      </c>
      <c r="L73" s="55">
        <f t="shared" ref="L73:AD73" si="16">SUM(L74:L78)</f>
        <v>0</v>
      </c>
      <c r="M73" s="55">
        <f t="shared" si="16"/>
        <v>0</v>
      </c>
      <c r="N73" s="55">
        <f t="shared" si="16"/>
        <v>0</v>
      </c>
      <c r="O73" s="55">
        <f t="shared" si="16"/>
        <v>0</v>
      </c>
      <c r="P73" s="55">
        <f t="shared" si="16"/>
        <v>0</v>
      </c>
      <c r="Q73" s="55">
        <f t="shared" si="16"/>
        <v>0</v>
      </c>
      <c r="R73" s="55">
        <f t="shared" si="16"/>
        <v>0</v>
      </c>
      <c r="S73" s="55">
        <f t="shared" si="16"/>
        <v>0</v>
      </c>
      <c r="T73" s="55">
        <f t="shared" si="16"/>
        <v>0</v>
      </c>
      <c r="U73" s="55">
        <f t="shared" si="16"/>
        <v>0</v>
      </c>
      <c r="V73" s="55">
        <f t="shared" si="16"/>
        <v>0</v>
      </c>
      <c r="W73" s="55">
        <f t="shared" si="16"/>
        <v>0</v>
      </c>
      <c r="X73" s="55">
        <f t="shared" si="16"/>
        <v>0</v>
      </c>
      <c r="Y73" s="55">
        <f t="shared" si="16"/>
        <v>0</v>
      </c>
      <c r="Z73" s="55">
        <f t="shared" si="16"/>
        <v>0</v>
      </c>
      <c r="AA73" s="55">
        <f t="shared" si="16"/>
        <v>0</v>
      </c>
      <c r="AB73" s="55">
        <f t="shared" si="16"/>
        <v>0</v>
      </c>
      <c r="AC73" s="55">
        <f t="shared" si="16"/>
        <v>0</v>
      </c>
      <c r="AD73" s="55">
        <f t="shared" si="16"/>
        <v>0</v>
      </c>
      <c r="AE73" s="82">
        <f t="shared" si="5"/>
        <v>0</v>
      </c>
    </row>
    <row r="74" spans="1:31" ht="18" hidden="1" customHeight="1">
      <c r="A74" s="86" t="s">
        <v>213</v>
      </c>
      <c r="B74" s="51"/>
      <c r="C74" s="677"/>
      <c r="D74" s="845">
        <f>C74*$C$73*$C$48</f>
        <v>0</v>
      </c>
      <c r="E74" s="678"/>
      <c r="F74" s="681"/>
      <c r="G74" s="681"/>
      <c r="H74" s="681"/>
      <c r="I74" s="856"/>
      <c r="J74" s="856"/>
      <c r="K74" s="681"/>
      <c r="L74" s="681"/>
      <c r="M74" s="681"/>
      <c r="N74" s="681"/>
      <c r="O74" s="681"/>
      <c r="P74" s="681"/>
      <c r="Q74" s="681"/>
      <c r="R74" s="681"/>
      <c r="S74" s="681"/>
      <c r="T74" s="681"/>
      <c r="U74" s="681"/>
      <c r="V74" s="681"/>
      <c r="W74" s="681"/>
      <c r="X74" s="681"/>
      <c r="Y74" s="681"/>
      <c r="Z74" s="681"/>
      <c r="AA74" s="681"/>
      <c r="AB74" s="681"/>
      <c r="AC74" s="681"/>
      <c r="AD74" s="681"/>
      <c r="AE74" s="82">
        <f t="shared" si="5"/>
        <v>0</v>
      </c>
    </row>
    <row r="75" spans="1:31" ht="18" hidden="1" customHeight="1">
      <c r="A75" s="86" t="s">
        <v>214</v>
      </c>
      <c r="B75" s="51"/>
      <c r="C75" s="677"/>
      <c r="D75" s="845">
        <f t="shared" ref="D75:D76" si="17">C75*$C$73*$C$48</f>
        <v>0</v>
      </c>
      <c r="E75" s="678"/>
      <c r="F75" s="681"/>
      <c r="G75" s="681"/>
      <c r="H75" s="681"/>
      <c r="I75" s="856"/>
      <c r="J75" s="856"/>
      <c r="K75" s="681"/>
      <c r="L75" s="681"/>
      <c r="M75" s="681"/>
      <c r="N75" s="681"/>
      <c r="O75" s="681"/>
      <c r="P75" s="681"/>
      <c r="Q75" s="681"/>
      <c r="R75" s="681"/>
      <c r="S75" s="681"/>
      <c r="T75" s="681"/>
      <c r="U75" s="681"/>
      <c r="V75" s="681"/>
      <c r="W75" s="681"/>
      <c r="X75" s="681"/>
      <c r="Y75" s="681"/>
      <c r="Z75" s="681"/>
      <c r="AA75" s="681"/>
      <c r="AB75" s="681"/>
      <c r="AC75" s="681"/>
      <c r="AD75" s="681"/>
      <c r="AE75" s="82">
        <f t="shared" si="5"/>
        <v>0</v>
      </c>
    </row>
    <row r="76" spans="1:31" ht="18" hidden="1" customHeight="1">
      <c r="A76" s="86" t="s">
        <v>215</v>
      </c>
      <c r="B76" s="51"/>
      <c r="C76" s="677"/>
      <c r="D76" s="845">
        <f t="shared" si="17"/>
        <v>0</v>
      </c>
      <c r="E76" s="678"/>
      <c r="F76" s="681"/>
      <c r="G76" s="681"/>
      <c r="H76" s="681"/>
      <c r="I76" s="856"/>
      <c r="J76" s="856"/>
      <c r="K76" s="681"/>
      <c r="L76" s="681"/>
      <c r="M76" s="681"/>
      <c r="N76" s="681"/>
      <c r="O76" s="681"/>
      <c r="P76" s="681"/>
      <c r="Q76" s="681"/>
      <c r="R76" s="681"/>
      <c r="S76" s="681"/>
      <c r="T76" s="681"/>
      <c r="U76" s="681"/>
      <c r="V76" s="681"/>
      <c r="W76" s="681"/>
      <c r="X76" s="681"/>
      <c r="Y76" s="681"/>
      <c r="Z76" s="681"/>
      <c r="AA76" s="681"/>
      <c r="AB76" s="681"/>
      <c r="AC76" s="681"/>
      <c r="AD76" s="681"/>
      <c r="AE76" s="82">
        <f t="shared" si="5"/>
        <v>0</v>
      </c>
    </row>
    <row r="77" spans="1:31" ht="18" hidden="1" customHeight="1">
      <c r="A77" s="86" t="s">
        <v>216</v>
      </c>
      <c r="B77" s="51"/>
      <c r="C77" s="677"/>
      <c r="D77" s="845">
        <f>C77*$C$73*$C$48</f>
        <v>0</v>
      </c>
      <c r="E77" s="678"/>
      <c r="F77" s="681"/>
      <c r="G77" s="681"/>
      <c r="H77" s="681"/>
      <c r="I77" s="856"/>
      <c r="J77" s="856"/>
      <c r="K77" s="681"/>
      <c r="L77" s="681"/>
      <c r="M77" s="681"/>
      <c r="N77" s="681"/>
      <c r="O77" s="681"/>
      <c r="P77" s="681"/>
      <c r="Q77" s="681"/>
      <c r="R77" s="681"/>
      <c r="S77" s="681"/>
      <c r="T77" s="681"/>
      <c r="U77" s="681"/>
      <c r="V77" s="681"/>
      <c r="W77" s="681"/>
      <c r="X77" s="681"/>
      <c r="Y77" s="681"/>
      <c r="Z77" s="681"/>
      <c r="AA77" s="681"/>
      <c r="AB77" s="681"/>
      <c r="AC77" s="681"/>
      <c r="AD77" s="681"/>
      <c r="AE77" s="82">
        <f t="shared" si="5"/>
        <v>0</v>
      </c>
    </row>
    <row r="78" spans="1:31" ht="18" hidden="1" customHeight="1">
      <c r="A78" s="86" t="s">
        <v>217</v>
      </c>
      <c r="B78" s="51"/>
      <c r="C78" s="677"/>
      <c r="D78" s="845">
        <f>C78*$C$73*$C$48</f>
        <v>0</v>
      </c>
      <c r="E78" s="678"/>
      <c r="F78" s="681"/>
      <c r="G78" s="681"/>
      <c r="H78" s="681"/>
      <c r="I78" s="856"/>
      <c r="J78" s="856"/>
      <c r="K78" s="681"/>
      <c r="L78" s="681"/>
      <c r="M78" s="681"/>
      <c r="N78" s="681"/>
      <c r="O78" s="681"/>
      <c r="P78" s="681"/>
      <c r="Q78" s="681"/>
      <c r="R78" s="681"/>
      <c r="S78" s="681"/>
      <c r="T78" s="681"/>
      <c r="U78" s="681"/>
      <c r="V78" s="681"/>
      <c r="W78" s="681"/>
      <c r="X78" s="681"/>
      <c r="Y78" s="681"/>
      <c r="Z78" s="681"/>
      <c r="AA78" s="681"/>
      <c r="AB78" s="681"/>
      <c r="AC78" s="681"/>
      <c r="AD78" s="681"/>
      <c r="AE78" s="82">
        <f t="shared" si="5"/>
        <v>0</v>
      </c>
    </row>
    <row r="79" spans="1:31" ht="25.5">
      <c r="A79" s="843" t="s">
        <v>218</v>
      </c>
      <c r="B79" s="848" t="str">
        <f>+B80</f>
        <v>Módulo de Certificación Ambiental Ventanilla Minera</v>
      </c>
      <c r="C79" s="38">
        <f>+'PRESUPUESTO OTRO SI '!G148</f>
        <v>0.33299592514729165</v>
      </c>
      <c r="D79" s="846"/>
      <c r="E79" s="39" t="s">
        <v>383</v>
      </c>
      <c r="F79" s="54"/>
      <c r="G79" s="54"/>
      <c r="H79" s="54"/>
      <c r="I79" s="461"/>
      <c r="J79" s="461">
        <v>0</v>
      </c>
      <c r="K79" s="54">
        <v>0</v>
      </c>
      <c r="L79" s="54">
        <f t="shared" ref="L79:AD79" si="18">L80+L86+L92+L98+L104</f>
        <v>0</v>
      </c>
      <c r="M79" s="54">
        <f t="shared" si="18"/>
        <v>0</v>
      </c>
      <c r="N79" s="54">
        <f t="shared" si="18"/>
        <v>0</v>
      </c>
      <c r="O79" s="54">
        <f t="shared" si="18"/>
        <v>0</v>
      </c>
      <c r="P79" s="54">
        <f t="shared" si="18"/>
        <v>0</v>
      </c>
      <c r="Q79" s="54">
        <f t="shared" si="18"/>
        <v>0</v>
      </c>
      <c r="R79" s="54">
        <f t="shared" si="18"/>
        <v>0</v>
      </c>
      <c r="S79" s="54">
        <f t="shared" si="18"/>
        <v>0</v>
      </c>
      <c r="T79" s="54">
        <f t="shared" si="18"/>
        <v>0</v>
      </c>
      <c r="U79" s="54">
        <f t="shared" si="18"/>
        <v>0</v>
      </c>
      <c r="V79" s="54">
        <f t="shared" si="18"/>
        <v>0</v>
      </c>
      <c r="W79" s="54">
        <f t="shared" si="18"/>
        <v>0</v>
      </c>
      <c r="X79" s="54">
        <f t="shared" si="18"/>
        <v>0</v>
      </c>
      <c r="Y79" s="54">
        <f t="shared" si="18"/>
        <v>0</v>
      </c>
      <c r="Z79" s="54">
        <f t="shared" si="18"/>
        <v>0</v>
      </c>
      <c r="AA79" s="54">
        <f t="shared" si="18"/>
        <v>0</v>
      </c>
      <c r="AB79" s="54">
        <f t="shared" si="18"/>
        <v>0</v>
      </c>
      <c r="AC79" s="54">
        <f t="shared" si="18"/>
        <v>0</v>
      </c>
      <c r="AD79" s="54">
        <f t="shared" si="18"/>
        <v>0</v>
      </c>
      <c r="AE79" s="82">
        <f t="shared" si="5"/>
        <v>0</v>
      </c>
    </row>
    <row r="80" spans="1:31" ht="18" customHeight="1">
      <c r="A80" s="85" t="s">
        <v>221</v>
      </c>
      <c r="B80" s="34" t="str">
        <f>+B81</f>
        <v>Módulo de Certificación Ambiental Ventanilla Minera</v>
      </c>
      <c r="C80" s="35">
        <v>1</v>
      </c>
      <c r="D80" s="847"/>
      <c r="E80" s="55" t="s">
        <v>383</v>
      </c>
      <c r="F80" s="55"/>
      <c r="G80" s="55"/>
      <c r="H80" s="55"/>
      <c r="I80" s="857"/>
      <c r="J80" s="857">
        <v>0</v>
      </c>
      <c r="K80" s="55">
        <v>0</v>
      </c>
      <c r="L80" s="55">
        <f t="shared" ref="L80" si="19">SUM(L81:L85)</f>
        <v>0</v>
      </c>
      <c r="M80" s="55">
        <f t="shared" ref="M80:AD80" si="20">SUM(M81:M85)</f>
        <v>0</v>
      </c>
      <c r="N80" s="55">
        <f t="shared" si="20"/>
        <v>0</v>
      </c>
      <c r="O80" s="55">
        <f t="shared" si="20"/>
        <v>0</v>
      </c>
      <c r="P80" s="55">
        <f t="shared" si="20"/>
        <v>0</v>
      </c>
      <c r="Q80" s="55">
        <f t="shared" si="20"/>
        <v>0</v>
      </c>
      <c r="R80" s="55">
        <f t="shared" si="20"/>
        <v>0</v>
      </c>
      <c r="S80" s="55">
        <f t="shared" si="20"/>
        <v>0</v>
      </c>
      <c r="T80" s="55">
        <f t="shared" si="20"/>
        <v>0</v>
      </c>
      <c r="U80" s="55">
        <f t="shared" si="20"/>
        <v>0</v>
      </c>
      <c r="V80" s="55">
        <f t="shared" si="20"/>
        <v>0</v>
      </c>
      <c r="W80" s="55">
        <f t="shared" si="20"/>
        <v>0</v>
      </c>
      <c r="X80" s="55">
        <f t="shared" si="20"/>
        <v>0</v>
      </c>
      <c r="Y80" s="55">
        <f t="shared" si="20"/>
        <v>0</v>
      </c>
      <c r="Z80" s="55">
        <f t="shared" si="20"/>
        <v>0</v>
      </c>
      <c r="AA80" s="55">
        <f t="shared" si="20"/>
        <v>0</v>
      </c>
      <c r="AB80" s="55">
        <f t="shared" si="20"/>
        <v>0</v>
      </c>
      <c r="AC80" s="55">
        <f t="shared" si="20"/>
        <v>0</v>
      </c>
      <c r="AD80" s="55">
        <f t="shared" si="20"/>
        <v>0</v>
      </c>
      <c r="AE80" s="82">
        <f t="shared" si="5"/>
        <v>0</v>
      </c>
    </row>
    <row r="81" spans="1:31" ht="18" customHeight="1">
      <c r="A81" s="86" t="s">
        <v>222</v>
      </c>
      <c r="B81" s="51" t="s">
        <v>384</v>
      </c>
      <c r="C81" s="677">
        <v>1</v>
      </c>
      <c r="D81" s="845">
        <f>C81*$C$80*$C$79</f>
        <v>0.33299592514729165</v>
      </c>
      <c r="E81" s="681" t="s">
        <v>383</v>
      </c>
      <c r="F81" s="681">
        <v>1</v>
      </c>
      <c r="G81" s="681">
        <v>0</v>
      </c>
      <c r="H81" s="681">
        <v>0</v>
      </c>
      <c r="I81" s="856">
        <v>0.5</v>
      </c>
      <c r="J81" s="856">
        <v>0.5</v>
      </c>
      <c r="K81" s="681">
        <v>0</v>
      </c>
      <c r="L81" s="681"/>
      <c r="M81" s="681"/>
      <c r="N81" s="681"/>
      <c r="O81" s="681"/>
      <c r="P81" s="681"/>
      <c r="Q81" s="681"/>
      <c r="R81" s="681"/>
      <c r="S81" s="681"/>
      <c r="T81" s="681"/>
      <c r="U81" s="681"/>
      <c r="V81" s="681"/>
      <c r="W81" s="681"/>
      <c r="X81" s="681"/>
      <c r="Y81" s="681"/>
      <c r="Z81" s="681"/>
      <c r="AA81" s="681"/>
      <c r="AB81" s="681"/>
      <c r="AC81" s="681"/>
      <c r="AD81" s="681"/>
      <c r="AE81" s="82">
        <f t="shared" ref="AE81:AE144" si="21">F81-SUM(G81:AD81)</f>
        <v>0</v>
      </c>
    </row>
    <row r="82" spans="1:31" ht="18" hidden="1" customHeight="1">
      <c r="A82" s="86" t="s">
        <v>223</v>
      </c>
      <c r="B82" s="51"/>
      <c r="C82" s="677"/>
      <c r="D82" s="845">
        <f>C82*$C$80*$C$79</f>
        <v>0</v>
      </c>
      <c r="E82" s="678"/>
      <c r="F82" s="681"/>
      <c r="G82" s="681"/>
      <c r="H82" s="681"/>
      <c r="I82" s="856"/>
      <c r="J82" s="856"/>
      <c r="K82" s="681"/>
      <c r="L82" s="681"/>
      <c r="M82" s="681"/>
      <c r="N82" s="681"/>
      <c r="O82" s="681"/>
      <c r="P82" s="681"/>
      <c r="Q82" s="681"/>
      <c r="R82" s="681"/>
      <c r="S82" s="681"/>
      <c r="T82" s="681"/>
      <c r="U82" s="681"/>
      <c r="V82" s="681"/>
      <c r="W82" s="681"/>
      <c r="X82" s="681"/>
      <c r="Y82" s="681"/>
      <c r="Z82" s="681"/>
      <c r="AA82" s="681"/>
      <c r="AB82" s="681"/>
      <c r="AC82" s="681"/>
      <c r="AD82" s="681"/>
      <c r="AE82" s="82">
        <f t="shared" si="21"/>
        <v>0</v>
      </c>
    </row>
    <row r="83" spans="1:31" ht="18" hidden="1" customHeight="1">
      <c r="A83" s="86" t="s">
        <v>224</v>
      </c>
      <c r="B83" s="51"/>
      <c r="C83" s="677"/>
      <c r="D83" s="845">
        <f>C83*$C$80*$C$79</f>
        <v>0</v>
      </c>
      <c r="E83" s="678"/>
      <c r="F83" s="681"/>
      <c r="G83" s="681"/>
      <c r="H83" s="681"/>
      <c r="I83" s="856"/>
      <c r="J83" s="856"/>
      <c r="K83" s="681"/>
      <c r="L83" s="681"/>
      <c r="M83" s="681"/>
      <c r="N83" s="681"/>
      <c r="O83" s="681"/>
      <c r="P83" s="681"/>
      <c r="Q83" s="681"/>
      <c r="R83" s="681"/>
      <c r="S83" s="681"/>
      <c r="T83" s="681"/>
      <c r="U83" s="681"/>
      <c r="V83" s="681"/>
      <c r="W83" s="681"/>
      <c r="X83" s="681"/>
      <c r="Y83" s="681"/>
      <c r="Z83" s="681"/>
      <c r="AA83" s="681"/>
      <c r="AB83" s="681"/>
      <c r="AC83" s="681"/>
      <c r="AD83" s="681"/>
      <c r="AE83" s="82">
        <f t="shared" si="21"/>
        <v>0</v>
      </c>
    </row>
    <row r="84" spans="1:31" ht="18" hidden="1" customHeight="1">
      <c r="A84" s="86" t="s">
        <v>225</v>
      </c>
      <c r="B84" s="51"/>
      <c r="C84" s="677"/>
      <c r="D84" s="845">
        <f>C84*$C$80*$C$79</f>
        <v>0</v>
      </c>
      <c r="E84" s="678"/>
      <c r="F84" s="681"/>
      <c r="G84" s="681"/>
      <c r="H84" s="681"/>
      <c r="I84" s="856"/>
      <c r="J84" s="856"/>
      <c r="K84" s="681"/>
      <c r="L84" s="681"/>
      <c r="M84" s="681"/>
      <c r="N84" s="681"/>
      <c r="O84" s="681"/>
      <c r="P84" s="681"/>
      <c r="Q84" s="681"/>
      <c r="R84" s="681"/>
      <c r="S84" s="681"/>
      <c r="T84" s="681"/>
      <c r="U84" s="681"/>
      <c r="V84" s="681"/>
      <c r="W84" s="681"/>
      <c r="X84" s="681"/>
      <c r="Y84" s="681"/>
      <c r="Z84" s="681"/>
      <c r="AA84" s="681"/>
      <c r="AB84" s="681"/>
      <c r="AC84" s="681"/>
      <c r="AD84" s="681"/>
      <c r="AE84" s="82">
        <f t="shared" si="21"/>
        <v>0</v>
      </c>
    </row>
    <row r="85" spans="1:31" ht="18" hidden="1" customHeight="1">
      <c r="A85" s="86" t="s">
        <v>226</v>
      </c>
      <c r="B85" s="51"/>
      <c r="C85" s="677"/>
      <c r="D85" s="845">
        <f>C85*$C$80*$C$79</f>
        <v>0</v>
      </c>
      <c r="E85" s="678"/>
      <c r="F85" s="681"/>
      <c r="G85" s="681"/>
      <c r="H85" s="681"/>
      <c r="I85" s="856"/>
      <c r="J85" s="856"/>
      <c r="K85" s="681"/>
      <c r="L85" s="681"/>
      <c r="M85" s="681"/>
      <c r="N85" s="681"/>
      <c r="O85" s="681"/>
      <c r="P85" s="681"/>
      <c r="Q85" s="681"/>
      <c r="R85" s="681"/>
      <c r="S85" s="681"/>
      <c r="T85" s="681"/>
      <c r="U85" s="681"/>
      <c r="V85" s="681"/>
      <c r="W85" s="681"/>
      <c r="X85" s="681"/>
      <c r="Y85" s="681"/>
      <c r="Z85" s="681"/>
      <c r="AA85" s="681"/>
      <c r="AB85" s="681"/>
      <c r="AC85" s="681"/>
      <c r="AD85" s="681"/>
      <c r="AE85" s="82">
        <f t="shared" si="21"/>
        <v>0</v>
      </c>
    </row>
    <row r="86" spans="1:31" ht="18" hidden="1" customHeight="1">
      <c r="A86" s="85" t="s">
        <v>227</v>
      </c>
      <c r="B86" s="34"/>
      <c r="C86" s="35"/>
      <c r="D86" s="847"/>
      <c r="E86" s="36"/>
      <c r="F86" s="55"/>
      <c r="G86" s="55">
        <f>SUM(G87:G91)</f>
        <v>0</v>
      </c>
      <c r="H86" s="55">
        <f t="shared" ref="H86" si="22">SUM(H87:H91)</f>
        <v>0</v>
      </c>
      <c r="I86" s="857">
        <f>SUM(I87:I91)</f>
        <v>0</v>
      </c>
      <c r="J86" s="857">
        <f t="shared" ref="J86:AD86" si="23">SUM(J87:J91)</f>
        <v>0</v>
      </c>
      <c r="K86" s="55">
        <f t="shared" si="23"/>
        <v>0</v>
      </c>
      <c r="L86" s="55">
        <f t="shared" si="23"/>
        <v>0</v>
      </c>
      <c r="M86" s="55">
        <f t="shared" si="23"/>
        <v>0</v>
      </c>
      <c r="N86" s="55">
        <f t="shared" si="23"/>
        <v>0</v>
      </c>
      <c r="O86" s="55">
        <f t="shared" si="23"/>
        <v>0</v>
      </c>
      <c r="P86" s="55">
        <f t="shared" si="23"/>
        <v>0</v>
      </c>
      <c r="Q86" s="55">
        <f t="shared" si="23"/>
        <v>0</v>
      </c>
      <c r="R86" s="55">
        <f t="shared" si="23"/>
        <v>0</v>
      </c>
      <c r="S86" s="55">
        <f t="shared" si="23"/>
        <v>0</v>
      </c>
      <c r="T86" s="55">
        <f t="shared" si="23"/>
        <v>0</v>
      </c>
      <c r="U86" s="55">
        <f t="shared" si="23"/>
        <v>0</v>
      </c>
      <c r="V86" s="55">
        <f t="shared" si="23"/>
        <v>0</v>
      </c>
      <c r="W86" s="55">
        <f t="shared" si="23"/>
        <v>0</v>
      </c>
      <c r="X86" s="55">
        <f t="shared" si="23"/>
        <v>0</v>
      </c>
      <c r="Y86" s="55">
        <f t="shared" si="23"/>
        <v>0</v>
      </c>
      <c r="Z86" s="55">
        <f t="shared" si="23"/>
        <v>0</v>
      </c>
      <c r="AA86" s="55">
        <f t="shared" si="23"/>
        <v>0</v>
      </c>
      <c r="AB86" s="55">
        <f t="shared" si="23"/>
        <v>0</v>
      </c>
      <c r="AC86" s="55">
        <f t="shared" si="23"/>
        <v>0</v>
      </c>
      <c r="AD86" s="55">
        <f t="shared" si="23"/>
        <v>0</v>
      </c>
      <c r="AE86" s="82">
        <f t="shared" si="21"/>
        <v>0</v>
      </c>
    </row>
    <row r="87" spans="1:31" ht="18" hidden="1" customHeight="1">
      <c r="A87" s="86" t="s">
        <v>228</v>
      </c>
      <c r="B87" s="51"/>
      <c r="C87" s="677"/>
      <c r="D87" s="845">
        <f>C87*$C$86*$C$79</f>
        <v>0</v>
      </c>
      <c r="E87" s="678"/>
      <c r="F87" s="681"/>
      <c r="G87" s="681"/>
      <c r="H87" s="681"/>
      <c r="I87" s="856"/>
      <c r="J87" s="856"/>
      <c r="K87" s="681"/>
      <c r="L87" s="681"/>
      <c r="M87" s="681"/>
      <c r="N87" s="681"/>
      <c r="O87" s="681"/>
      <c r="P87" s="681"/>
      <c r="Q87" s="681"/>
      <c r="R87" s="681"/>
      <c r="S87" s="681"/>
      <c r="T87" s="681"/>
      <c r="U87" s="681"/>
      <c r="V87" s="681"/>
      <c r="W87" s="681"/>
      <c r="X87" s="681"/>
      <c r="Y87" s="681"/>
      <c r="Z87" s="681"/>
      <c r="AA87" s="681"/>
      <c r="AB87" s="681"/>
      <c r="AC87" s="681"/>
      <c r="AD87" s="681"/>
      <c r="AE87" s="82">
        <f t="shared" si="21"/>
        <v>0</v>
      </c>
    </row>
    <row r="88" spans="1:31" ht="18" hidden="1" customHeight="1">
      <c r="A88" s="86" t="s">
        <v>229</v>
      </c>
      <c r="B88" s="51"/>
      <c r="C88" s="677"/>
      <c r="D88" s="845">
        <f t="shared" ref="D88" si="24">C88*$C$86*$C$79</f>
        <v>0</v>
      </c>
      <c r="E88" s="678"/>
      <c r="F88" s="681"/>
      <c r="G88" s="681"/>
      <c r="H88" s="681"/>
      <c r="I88" s="856"/>
      <c r="J88" s="856"/>
      <c r="K88" s="681"/>
      <c r="L88" s="681"/>
      <c r="M88" s="681"/>
      <c r="N88" s="681"/>
      <c r="O88" s="681"/>
      <c r="P88" s="681"/>
      <c r="Q88" s="681"/>
      <c r="R88" s="681"/>
      <c r="S88" s="681"/>
      <c r="T88" s="681"/>
      <c r="U88" s="681"/>
      <c r="V88" s="681"/>
      <c r="W88" s="681"/>
      <c r="X88" s="681"/>
      <c r="Y88" s="681"/>
      <c r="Z88" s="681"/>
      <c r="AA88" s="681"/>
      <c r="AB88" s="681"/>
      <c r="AC88" s="681"/>
      <c r="AD88" s="681"/>
      <c r="AE88" s="82">
        <f t="shared" si="21"/>
        <v>0</v>
      </c>
    </row>
    <row r="89" spans="1:31" ht="18" hidden="1" customHeight="1">
      <c r="A89" s="86" t="s">
        <v>230</v>
      </c>
      <c r="B89" s="51"/>
      <c r="C89" s="677"/>
      <c r="D89" s="845">
        <f>C89*$C$86*$C$79</f>
        <v>0</v>
      </c>
      <c r="E89" s="678"/>
      <c r="F89" s="681"/>
      <c r="G89" s="681"/>
      <c r="H89" s="681"/>
      <c r="I89" s="856"/>
      <c r="J89" s="856"/>
      <c r="K89" s="681"/>
      <c r="L89" s="681"/>
      <c r="M89" s="681"/>
      <c r="N89" s="681"/>
      <c r="O89" s="681"/>
      <c r="P89" s="681"/>
      <c r="Q89" s="681"/>
      <c r="R89" s="681"/>
      <c r="S89" s="681"/>
      <c r="T89" s="681"/>
      <c r="U89" s="681"/>
      <c r="V89" s="681"/>
      <c r="W89" s="681"/>
      <c r="X89" s="681"/>
      <c r="Y89" s="681"/>
      <c r="Z89" s="681"/>
      <c r="AA89" s="681"/>
      <c r="AB89" s="681"/>
      <c r="AC89" s="681"/>
      <c r="AD89" s="681"/>
      <c r="AE89" s="82">
        <f t="shared" si="21"/>
        <v>0</v>
      </c>
    </row>
    <row r="90" spans="1:31" ht="18" hidden="1" customHeight="1">
      <c r="A90" s="86" t="s">
        <v>231</v>
      </c>
      <c r="B90" s="51"/>
      <c r="C90" s="677"/>
      <c r="D90" s="845">
        <f>C90*$C$86*$C$79</f>
        <v>0</v>
      </c>
      <c r="E90" s="678"/>
      <c r="F90" s="681"/>
      <c r="G90" s="681"/>
      <c r="H90" s="681"/>
      <c r="I90" s="856"/>
      <c r="J90" s="856"/>
      <c r="K90" s="681"/>
      <c r="L90" s="681"/>
      <c r="M90" s="681"/>
      <c r="N90" s="681"/>
      <c r="O90" s="681"/>
      <c r="P90" s="681"/>
      <c r="Q90" s="681"/>
      <c r="R90" s="681"/>
      <c r="S90" s="681"/>
      <c r="T90" s="681"/>
      <c r="U90" s="681"/>
      <c r="V90" s="681"/>
      <c r="W90" s="681"/>
      <c r="X90" s="681"/>
      <c r="Y90" s="681"/>
      <c r="Z90" s="681"/>
      <c r="AA90" s="681"/>
      <c r="AB90" s="681"/>
      <c r="AC90" s="681"/>
      <c r="AD90" s="681"/>
      <c r="AE90" s="82">
        <f t="shared" si="21"/>
        <v>0</v>
      </c>
    </row>
    <row r="91" spans="1:31" ht="18" hidden="1" customHeight="1">
      <c r="A91" s="86" t="s">
        <v>232</v>
      </c>
      <c r="B91" s="51"/>
      <c r="C91" s="677"/>
      <c r="D91" s="845">
        <f>C91*$C$86*$C$79</f>
        <v>0</v>
      </c>
      <c r="E91" s="678"/>
      <c r="F91" s="681"/>
      <c r="G91" s="681"/>
      <c r="H91" s="681"/>
      <c r="I91" s="856"/>
      <c r="J91" s="856"/>
      <c r="K91" s="681"/>
      <c r="L91" s="681"/>
      <c r="M91" s="681"/>
      <c r="N91" s="681"/>
      <c r="O91" s="681"/>
      <c r="P91" s="681"/>
      <c r="Q91" s="681"/>
      <c r="R91" s="681"/>
      <c r="S91" s="681"/>
      <c r="T91" s="681"/>
      <c r="U91" s="681"/>
      <c r="V91" s="681"/>
      <c r="W91" s="681"/>
      <c r="X91" s="681"/>
      <c r="Y91" s="681"/>
      <c r="Z91" s="681"/>
      <c r="AA91" s="681"/>
      <c r="AB91" s="681"/>
      <c r="AC91" s="681"/>
      <c r="AD91" s="681"/>
      <c r="AE91" s="82">
        <f t="shared" si="21"/>
        <v>0</v>
      </c>
    </row>
    <row r="92" spans="1:31" ht="18" hidden="1" customHeight="1">
      <c r="A92" s="85" t="s">
        <v>233</v>
      </c>
      <c r="B92" s="34"/>
      <c r="C92" s="35"/>
      <c r="D92" s="847"/>
      <c r="E92" s="36"/>
      <c r="F92" s="55"/>
      <c r="G92" s="55">
        <f>SUM(G93:G97)</f>
        <v>0</v>
      </c>
      <c r="H92" s="55">
        <f>SUM(H93:H97)</f>
        <v>0</v>
      </c>
      <c r="I92" s="857">
        <f>SUM(I93:I97)</f>
        <v>0</v>
      </c>
      <c r="J92" s="857">
        <f>SUM(J93:J97)</f>
        <v>0</v>
      </c>
      <c r="K92" s="55">
        <f t="shared" ref="K92:AD92" si="25">SUM(K93:K97)</f>
        <v>0</v>
      </c>
      <c r="L92" s="55">
        <f t="shared" si="25"/>
        <v>0</v>
      </c>
      <c r="M92" s="55">
        <f t="shared" si="25"/>
        <v>0</v>
      </c>
      <c r="N92" s="55">
        <f t="shared" si="25"/>
        <v>0</v>
      </c>
      <c r="O92" s="55">
        <f t="shared" si="25"/>
        <v>0</v>
      </c>
      <c r="P92" s="55">
        <f t="shared" si="25"/>
        <v>0</v>
      </c>
      <c r="Q92" s="55">
        <f t="shared" si="25"/>
        <v>0</v>
      </c>
      <c r="R92" s="55">
        <f t="shared" si="25"/>
        <v>0</v>
      </c>
      <c r="S92" s="55">
        <f t="shared" si="25"/>
        <v>0</v>
      </c>
      <c r="T92" s="55">
        <f t="shared" si="25"/>
        <v>0</v>
      </c>
      <c r="U92" s="55">
        <f t="shared" si="25"/>
        <v>0</v>
      </c>
      <c r="V92" s="55">
        <f t="shared" si="25"/>
        <v>0</v>
      </c>
      <c r="W92" s="55">
        <f t="shared" si="25"/>
        <v>0</v>
      </c>
      <c r="X92" s="55">
        <f t="shared" si="25"/>
        <v>0</v>
      </c>
      <c r="Y92" s="55">
        <f t="shared" si="25"/>
        <v>0</v>
      </c>
      <c r="Z92" s="55">
        <f t="shared" si="25"/>
        <v>0</v>
      </c>
      <c r="AA92" s="55">
        <f t="shared" si="25"/>
        <v>0</v>
      </c>
      <c r="AB92" s="55">
        <f t="shared" si="25"/>
        <v>0</v>
      </c>
      <c r="AC92" s="55">
        <f t="shared" si="25"/>
        <v>0</v>
      </c>
      <c r="AD92" s="55">
        <f t="shared" si="25"/>
        <v>0</v>
      </c>
      <c r="AE92" s="82">
        <f t="shared" si="21"/>
        <v>0</v>
      </c>
    </row>
    <row r="93" spans="1:31" ht="18" hidden="1" customHeight="1">
      <c r="A93" s="86" t="s">
        <v>234</v>
      </c>
      <c r="B93" s="51"/>
      <c r="C93" s="677"/>
      <c r="D93" s="845">
        <f>C93*$C$92*$C$79</f>
        <v>0</v>
      </c>
      <c r="E93" s="678"/>
      <c r="F93" s="681"/>
      <c r="G93" s="681"/>
      <c r="H93" s="681"/>
      <c r="I93" s="856"/>
      <c r="J93" s="856"/>
      <c r="K93" s="681"/>
      <c r="L93" s="681"/>
      <c r="M93" s="681"/>
      <c r="N93" s="681"/>
      <c r="O93" s="681"/>
      <c r="P93" s="681"/>
      <c r="Q93" s="681"/>
      <c r="R93" s="681"/>
      <c r="S93" s="681"/>
      <c r="T93" s="681"/>
      <c r="U93" s="681"/>
      <c r="V93" s="681"/>
      <c r="W93" s="681"/>
      <c r="X93" s="681"/>
      <c r="Y93" s="681"/>
      <c r="Z93" s="681"/>
      <c r="AA93" s="681"/>
      <c r="AB93" s="681"/>
      <c r="AC93" s="681"/>
      <c r="AD93" s="681"/>
      <c r="AE93" s="82">
        <f t="shared" si="21"/>
        <v>0</v>
      </c>
    </row>
    <row r="94" spans="1:31" ht="18" hidden="1" customHeight="1">
      <c r="A94" s="86" t="s">
        <v>235</v>
      </c>
      <c r="B94" s="51"/>
      <c r="C94" s="677"/>
      <c r="D94" s="845">
        <f t="shared" ref="D94" si="26">C94*$C$92*$C$79</f>
        <v>0</v>
      </c>
      <c r="E94" s="678"/>
      <c r="F94" s="681"/>
      <c r="G94" s="681"/>
      <c r="H94" s="681"/>
      <c r="I94" s="856"/>
      <c r="J94" s="856"/>
      <c r="K94" s="681"/>
      <c r="L94" s="681"/>
      <c r="M94" s="681"/>
      <c r="N94" s="681"/>
      <c r="O94" s="681"/>
      <c r="P94" s="681"/>
      <c r="Q94" s="681"/>
      <c r="R94" s="681"/>
      <c r="S94" s="681"/>
      <c r="T94" s="681"/>
      <c r="U94" s="681"/>
      <c r="V94" s="681"/>
      <c r="W94" s="681"/>
      <c r="X94" s="681"/>
      <c r="Y94" s="681"/>
      <c r="Z94" s="681"/>
      <c r="AA94" s="681"/>
      <c r="AB94" s="681"/>
      <c r="AC94" s="681"/>
      <c r="AD94" s="681"/>
      <c r="AE94" s="82">
        <f t="shared" si="21"/>
        <v>0</v>
      </c>
    </row>
    <row r="95" spans="1:31" ht="18" hidden="1" customHeight="1">
      <c r="A95" s="86" t="s">
        <v>236</v>
      </c>
      <c r="B95" s="51"/>
      <c r="C95" s="677"/>
      <c r="D95" s="845">
        <f>C95*$C$92*$C$79</f>
        <v>0</v>
      </c>
      <c r="E95" s="678"/>
      <c r="F95" s="681"/>
      <c r="G95" s="681"/>
      <c r="H95" s="681"/>
      <c r="I95" s="856"/>
      <c r="J95" s="856"/>
      <c r="K95" s="681"/>
      <c r="L95" s="681"/>
      <c r="M95" s="681"/>
      <c r="N95" s="681"/>
      <c r="O95" s="681"/>
      <c r="P95" s="681"/>
      <c r="Q95" s="681"/>
      <c r="R95" s="681"/>
      <c r="S95" s="681"/>
      <c r="T95" s="681"/>
      <c r="U95" s="681"/>
      <c r="V95" s="681"/>
      <c r="W95" s="681"/>
      <c r="X95" s="681"/>
      <c r="Y95" s="681"/>
      <c r="Z95" s="681"/>
      <c r="AA95" s="681"/>
      <c r="AB95" s="681"/>
      <c r="AC95" s="681"/>
      <c r="AD95" s="681"/>
      <c r="AE95" s="82">
        <f t="shared" si="21"/>
        <v>0</v>
      </c>
    </row>
    <row r="96" spans="1:31" ht="18" hidden="1" customHeight="1">
      <c r="A96" s="86" t="s">
        <v>237</v>
      </c>
      <c r="B96" s="51"/>
      <c r="C96" s="677"/>
      <c r="D96" s="845">
        <f>C96*$C$92*$C$79</f>
        <v>0</v>
      </c>
      <c r="E96" s="678"/>
      <c r="F96" s="681"/>
      <c r="G96" s="681"/>
      <c r="H96" s="681"/>
      <c r="I96" s="856"/>
      <c r="J96" s="856"/>
      <c r="K96" s="681"/>
      <c r="L96" s="681"/>
      <c r="M96" s="681"/>
      <c r="N96" s="681"/>
      <c r="O96" s="681"/>
      <c r="P96" s="681"/>
      <c r="Q96" s="681"/>
      <c r="R96" s="681"/>
      <c r="S96" s="681"/>
      <c r="T96" s="681"/>
      <c r="U96" s="681"/>
      <c r="V96" s="681"/>
      <c r="W96" s="681"/>
      <c r="X96" s="681"/>
      <c r="Y96" s="681"/>
      <c r="Z96" s="681"/>
      <c r="AA96" s="681"/>
      <c r="AB96" s="681"/>
      <c r="AC96" s="681"/>
      <c r="AD96" s="681"/>
      <c r="AE96" s="82">
        <f t="shared" si="21"/>
        <v>0</v>
      </c>
    </row>
    <row r="97" spans="1:31" ht="18" hidden="1" customHeight="1">
      <c r="A97" s="86" t="s">
        <v>238</v>
      </c>
      <c r="B97" s="51"/>
      <c r="C97" s="677"/>
      <c r="D97" s="845">
        <f>C97*$C$92*$C$79</f>
        <v>0</v>
      </c>
      <c r="E97" s="678"/>
      <c r="F97" s="681"/>
      <c r="G97" s="681"/>
      <c r="H97" s="681"/>
      <c r="I97" s="856"/>
      <c r="J97" s="856"/>
      <c r="K97" s="681"/>
      <c r="L97" s="681"/>
      <c r="M97" s="681"/>
      <c r="N97" s="681"/>
      <c r="O97" s="681"/>
      <c r="P97" s="681"/>
      <c r="Q97" s="681"/>
      <c r="R97" s="681"/>
      <c r="S97" s="681"/>
      <c r="T97" s="681"/>
      <c r="U97" s="681"/>
      <c r="V97" s="681"/>
      <c r="W97" s="681"/>
      <c r="X97" s="681"/>
      <c r="Y97" s="681"/>
      <c r="Z97" s="681"/>
      <c r="AA97" s="681"/>
      <c r="AB97" s="681"/>
      <c r="AC97" s="681"/>
      <c r="AD97" s="681"/>
      <c r="AE97" s="82">
        <f t="shared" si="21"/>
        <v>0</v>
      </c>
    </row>
    <row r="98" spans="1:31" ht="18" hidden="1" customHeight="1">
      <c r="A98" s="85" t="s">
        <v>239</v>
      </c>
      <c r="B98" s="34"/>
      <c r="C98" s="35"/>
      <c r="D98" s="847"/>
      <c r="E98" s="36"/>
      <c r="F98" s="55"/>
      <c r="G98" s="55">
        <f>SUM(G99:G103)</f>
        <v>0</v>
      </c>
      <c r="H98" s="55">
        <f>SUM(H99:H103)</f>
        <v>0</v>
      </c>
      <c r="I98" s="857">
        <f>SUM(I99:I103)</f>
        <v>0</v>
      </c>
      <c r="J98" s="857">
        <f>SUM(J99:J103)</f>
        <v>0</v>
      </c>
      <c r="K98" s="55">
        <f t="shared" ref="K98:AD98" si="27">SUM(K99:K103)</f>
        <v>0</v>
      </c>
      <c r="L98" s="55">
        <f t="shared" si="27"/>
        <v>0</v>
      </c>
      <c r="M98" s="55">
        <f t="shared" si="27"/>
        <v>0</v>
      </c>
      <c r="N98" s="55">
        <f t="shared" si="27"/>
        <v>0</v>
      </c>
      <c r="O98" s="55">
        <f t="shared" si="27"/>
        <v>0</v>
      </c>
      <c r="P98" s="55">
        <f t="shared" si="27"/>
        <v>0</v>
      </c>
      <c r="Q98" s="55">
        <f t="shared" si="27"/>
        <v>0</v>
      </c>
      <c r="R98" s="55">
        <f t="shared" si="27"/>
        <v>0</v>
      </c>
      <c r="S98" s="55">
        <f t="shared" si="27"/>
        <v>0</v>
      </c>
      <c r="T98" s="55">
        <f t="shared" si="27"/>
        <v>0</v>
      </c>
      <c r="U98" s="55">
        <f t="shared" si="27"/>
        <v>0</v>
      </c>
      <c r="V98" s="55">
        <f t="shared" si="27"/>
        <v>0</v>
      </c>
      <c r="W98" s="55">
        <f t="shared" si="27"/>
        <v>0</v>
      </c>
      <c r="X98" s="55">
        <f t="shared" si="27"/>
        <v>0</v>
      </c>
      <c r="Y98" s="55">
        <f t="shared" si="27"/>
        <v>0</v>
      </c>
      <c r="Z98" s="55">
        <f t="shared" si="27"/>
        <v>0</v>
      </c>
      <c r="AA98" s="55">
        <f t="shared" si="27"/>
        <v>0</v>
      </c>
      <c r="AB98" s="55">
        <f t="shared" si="27"/>
        <v>0</v>
      </c>
      <c r="AC98" s="55">
        <f t="shared" si="27"/>
        <v>0</v>
      </c>
      <c r="AD98" s="55">
        <f t="shared" si="27"/>
        <v>0</v>
      </c>
      <c r="AE98" s="82">
        <f t="shared" si="21"/>
        <v>0</v>
      </c>
    </row>
    <row r="99" spans="1:31" ht="18" hidden="1" customHeight="1">
      <c r="A99" s="86" t="s">
        <v>240</v>
      </c>
      <c r="B99" s="51"/>
      <c r="C99" s="677"/>
      <c r="D99" s="845">
        <f>C99*$C$98*$C$79</f>
        <v>0</v>
      </c>
      <c r="E99" s="678"/>
      <c r="F99" s="681"/>
      <c r="G99" s="681"/>
      <c r="H99" s="681"/>
      <c r="I99" s="856"/>
      <c r="J99" s="856"/>
      <c r="K99" s="681"/>
      <c r="L99" s="681"/>
      <c r="M99" s="681"/>
      <c r="N99" s="681"/>
      <c r="O99" s="681"/>
      <c r="P99" s="681"/>
      <c r="Q99" s="681"/>
      <c r="R99" s="681"/>
      <c r="S99" s="681"/>
      <c r="T99" s="681"/>
      <c r="U99" s="681"/>
      <c r="V99" s="681"/>
      <c r="W99" s="681"/>
      <c r="X99" s="681"/>
      <c r="Y99" s="681"/>
      <c r="Z99" s="681"/>
      <c r="AA99" s="681"/>
      <c r="AB99" s="681"/>
      <c r="AC99" s="681"/>
      <c r="AD99" s="681"/>
      <c r="AE99" s="82">
        <f t="shared" si="21"/>
        <v>0</v>
      </c>
    </row>
    <row r="100" spans="1:31" ht="18" hidden="1" customHeight="1">
      <c r="A100" s="86" t="s">
        <v>241</v>
      </c>
      <c r="B100" s="51"/>
      <c r="C100" s="677"/>
      <c r="D100" s="845">
        <f t="shared" ref="D100:D103" si="28">C100*$C$98*$C$79</f>
        <v>0</v>
      </c>
      <c r="E100" s="678"/>
      <c r="F100" s="681"/>
      <c r="G100" s="681"/>
      <c r="H100" s="681"/>
      <c r="I100" s="856"/>
      <c r="J100" s="856"/>
      <c r="K100" s="681"/>
      <c r="L100" s="681"/>
      <c r="M100" s="681"/>
      <c r="N100" s="681"/>
      <c r="O100" s="681"/>
      <c r="P100" s="681"/>
      <c r="Q100" s="681"/>
      <c r="R100" s="681"/>
      <c r="S100" s="681"/>
      <c r="T100" s="681"/>
      <c r="U100" s="681"/>
      <c r="V100" s="681"/>
      <c r="W100" s="681"/>
      <c r="X100" s="681"/>
      <c r="Y100" s="681"/>
      <c r="Z100" s="681"/>
      <c r="AA100" s="681"/>
      <c r="AB100" s="681"/>
      <c r="AC100" s="681"/>
      <c r="AD100" s="681"/>
      <c r="AE100" s="82">
        <f t="shared" si="21"/>
        <v>0</v>
      </c>
    </row>
    <row r="101" spans="1:31" ht="18" hidden="1" customHeight="1">
      <c r="A101" s="86" t="s">
        <v>242</v>
      </c>
      <c r="B101" s="51"/>
      <c r="C101" s="677"/>
      <c r="D101" s="845">
        <f>C101*$C$98*$C$79</f>
        <v>0</v>
      </c>
      <c r="E101" s="678"/>
      <c r="F101" s="681"/>
      <c r="G101" s="681"/>
      <c r="H101" s="681"/>
      <c r="I101" s="856"/>
      <c r="J101" s="856"/>
      <c r="K101" s="681"/>
      <c r="L101" s="681"/>
      <c r="M101" s="681"/>
      <c r="N101" s="681"/>
      <c r="O101" s="681"/>
      <c r="P101" s="681"/>
      <c r="Q101" s="681"/>
      <c r="R101" s="681"/>
      <c r="S101" s="681"/>
      <c r="T101" s="681"/>
      <c r="U101" s="681"/>
      <c r="V101" s="681"/>
      <c r="W101" s="681"/>
      <c r="X101" s="681"/>
      <c r="Y101" s="681"/>
      <c r="Z101" s="681"/>
      <c r="AA101" s="681"/>
      <c r="AB101" s="681"/>
      <c r="AC101" s="681"/>
      <c r="AD101" s="681"/>
      <c r="AE101" s="82">
        <f t="shared" si="21"/>
        <v>0</v>
      </c>
    </row>
    <row r="102" spans="1:31" ht="18" hidden="1" customHeight="1">
      <c r="A102" s="86" t="s">
        <v>243</v>
      </c>
      <c r="B102" s="51"/>
      <c r="C102" s="677"/>
      <c r="D102" s="845">
        <f>C102*$C$98*$C$79</f>
        <v>0</v>
      </c>
      <c r="E102" s="678"/>
      <c r="F102" s="681"/>
      <c r="G102" s="681"/>
      <c r="H102" s="681"/>
      <c r="I102" s="856"/>
      <c r="J102" s="856"/>
      <c r="K102" s="681"/>
      <c r="L102" s="681"/>
      <c r="M102" s="681"/>
      <c r="N102" s="681"/>
      <c r="O102" s="681"/>
      <c r="P102" s="681"/>
      <c r="Q102" s="681"/>
      <c r="R102" s="681"/>
      <c r="S102" s="681"/>
      <c r="T102" s="681"/>
      <c r="U102" s="681"/>
      <c r="V102" s="681"/>
      <c r="W102" s="681"/>
      <c r="X102" s="681"/>
      <c r="Y102" s="681"/>
      <c r="Z102" s="681"/>
      <c r="AA102" s="681"/>
      <c r="AB102" s="681"/>
      <c r="AC102" s="681"/>
      <c r="AD102" s="681"/>
      <c r="AE102" s="82">
        <f t="shared" si="21"/>
        <v>0</v>
      </c>
    </row>
    <row r="103" spans="1:31" ht="18" hidden="1" customHeight="1">
      <c r="A103" s="86" t="s">
        <v>244</v>
      </c>
      <c r="B103" s="51"/>
      <c r="C103" s="677"/>
      <c r="D103" s="845">
        <f t="shared" si="28"/>
        <v>0</v>
      </c>
      <c r="E103" s="678"/>
      <c r="F103" s="681"/>
      <c r="G103" s="681"/>
      <c r="H103" s="681"/>
      <c r="I103" s="856"/>
      <c r="J103" s="856"/>
      <c r="K103" s="681"/>
      <c r="L103" s="681"/>
      <c r="M103" s="681"/>
      <c r="N103" s="681"/>
      <c r="O103" s="681"/>
      <c r="P103" s="681"/>
      <c r="Q103" s="681"/>
      <c r="R103" s="681"/>
      <c r="S103" s="681"/>
      <c r="T103" s="681"/>
      <c r="U103" s="681"/>
      <c r="V103" s="681"/>
      <c r="W103" s="681"/>
      <c r="X103" s="681"/>
      <c r="Y103" s="681"/>
      <c r="Z103" s="681"/>
      <c r="AA103" s="681"/>
      <c r="AB103" s="681"/>
      <c r="AC103" s="681"/>
      <c r="AD103" s="681"/>
      <c r="AE103" s="82">
        <f t="shared" si="21"/>
        <v>0</v>
      </c>
    </row>
    <row r="104" spans="1:31" ht="18" hidden="1" customHeight="1">
      <c r="A104" s="85" t="s">
        <v>245</v>
      </c>
      <c r="B104" s="34"/>
      <c r="C104" s="35"/>
      <c r="D104" s="847"/>
      <c r="E104" s="36"/>
      <c r="F104" s="55"/>
      <c r="G104" s="55">
        <f>SUM(G105:G109)</f>
        <v>0</v>
      </c>
      <c r="H104" s="55">
        <f>SUM(H105:H109)</f>
        <v>0</v>
      </c>
      <c r="I104" s="857">
        <f>SUM(I105:I109)</f>
        <v>0</v>
      </c>
      <c r="J104" s="857">
        <f>SUM(J105:J109)</f>
        <v>0</v>
      </c>
      <c r="K104" s="55">
        <f>SUM(K105:K109)</f>
        <v>0</v>
      </c>
      <c r="L104" s="55">
        <f t="shared" ref="L104:AD104" si="29">SUM(L105:L109)</f>
        <v>0</v>
      </c>
      <c r="M104" s="55">
        <f t="shared" si="29"/>
        <v>0</v>
      </c>
      <c r="N104" s="55">
        <f t="shared" si="29"/>
        <v>0</v>
      </c>
      <c r="O104" s="55">
        <f t="shared" si="29"/>
        <v>0</v>
      </c>
      <c r="P104" s="55">
        <f t="shared" si="29"/>
        <v>0</v>
      </c>
      <c r="Q104" s="55">
        <f t="shared" si="29"/>
        <v>0</v>
      </c>
      <c r="R104" s="55">
        <f t="shared" si="29"/>
        <v>0</v>
      </c>
      <c r="S104" s="55">
        <f t="shared" si="29"/>
        <v>0</v>
      </c>
      <c r="T104" s="55">
        <f t="shared" si="29"/>
        <v>0</v>
      </c>
      <c r="U104" s="55">
        <f t="shared" si="29"/>
        <v>0</v>
      </c>
      <c r="V104" s="55">
        <f t="shared" si="29"/>
        <v>0</v>
      </c>
      <c r="W104" s="55">
        <f t="shared" si="29"/>
        <v>0</v>
      </c>
      <c r="X104" s="55">
        <f t="shared" si="29"/>
        <v>0</v>
      </c>
      <c r="Y104" s="55">
        <f t="shared" si="29"/>
        <v>0</v>
      </c>
      <c r="Z104" s="55">
        <f t="shared" si="29"/>
        <v>0</v>
      </c>
      <c r="AA104" s="55">
        <f t="shared" si="29"/>
        <v>0</v>
      </c>
      <c r="AB104" s="55">
        <f t="shared" si="29"/>
        <v>0</v>
      </c>
      <c r="AC104" s="55">
        <f t="shared" si="29"/>
        <v>0</v>
      </c>
      <c r="AD104" s="55">
        <f t="shared" si="29"/>
        <v>0</v>
      </c>
      <c r="AE104" s="82">
        <f t="shared" si="21"/>
        <v>0</v>
      </c>
    </row>
    <row r="105" spans="1:31" ht="18" hidden="1" customHeight="1">
      <c r="A105" s="86" t="s">
        <v>246</v>
      </c>
      <c r="B105" s="51"/>
      <c r="C105" s="677"/>
      <c r="D105" s="845">
        <f>C105*$C$104*$C$79</f>
        <v>0</v>
      </c>
      <c r="E105" s="678"/>
      <c r="F105" s="681"/>
      <c r="G105" s="681"/>
      <c r="H105" s="681"/>
      <c r="I105" s="856"/>
      <c r="J105" s="856"/>
      <c r="K105" s="681"/>
      <c r="L105" s="681"/>
      <c r="M105" s="681"/>
      <c r="N105" s="681"/>
      <c r="O105" s="681"/>
      <c r="P105" s="681"/>
      <c r="Q105" s="681"/>
      <c r="R105" s="681"/>
      <c r="S105" s="681"/>
      <c r="T105" s="681"/>
      <c r="U105" s="681"/>
      <c r="V105" s="681"/>
      <c r="W105" s="681"/>
      <c r="X105" s="681"/>
      <c r="Y105" s="681"/>
      <c r="Z105" s="681"/>
      <c r="AA105" s="681"/>
      <c r="AB105" s="681"/>
      <c r="AC105" s="681"/>
      <c r="AD105" s="681"/>
      <c r="AE105" s="82">
        <f t="shared" si="21"/>
        <v>0</v>
      </c>
    </row>
    <row r="106" spans="1:31" ht="18" hidden="1" customHeight="1">
      <c r="A106" s="86" t="s">
        <v>247</v>
      </c>
      <c r="B106" s="51"/>
      <c r="C106" s="677"/>
      <c r="D106" s="845">
        <f>C106*$C$104*$C$79</f>
        <v>0</v>
      </c>
      <c r="E106" s="678"/>
      <c r="F106" s="681"/>
      <c r="G106" s="681"/>
      <c r="H106" s="681"/>
      <c r="I106" s="856"/>
      <c r="J106" s="856"/>
      <c r="K106" s="681"/>
      <c r="L106" s="681"/>
      <c r="M106" s="681"/>
      <c r="N106" s="681"/>
      <c r="O106" s="681"/>
      <c r="P106" s="681"/>
      <c r="Q106" s="681"/>
      <c r="R106" s="681"/>
      <c r="S106" s="681"/>
      <c r="T106" s="681"/>
      <c r="U106" s="681"/>
      <c r="V106" s="681"/>
      <c r="W106" s="681"/>
      <c r="X106" s="681"/>
      <c r="Y106" s="681"/>
      <c r="Z106" s="681"/>
      <c r="AA106" s="681"/>
      <c r="AB106" s="681"/>
      <c r="AC106" s="681"/>
      <c r="AD106" s="681"/>
      <c r="AE106" s="82">
        <f t="shared" si="21"/>
        <v>0</v>
      </c>
    </row>
    <row r="107" spans="1:31" ht="18" hidden="1" customHeight="1">
      <c r="A107" s="86" t="s">
        <v>248</v>
      </c>
      <c r="B107" s="51"/>
      <c r="C107" s="677"/>
      <c r="D107" s="845">
        <f>C107*$C$104*$C$79</f>
        <v>0</v>
      </c>
      <c r="E107" s="678"/>
      <c r="F107" s="681"/>
      <c r="G107" s="681"/>
      <c r="H107" s="681"/>
      <c r="I107" s="856"/>
      <c r="J107" s="856"/>
      <c r="K107" s="681"/>
      <c r="L107" s="681"/>
      <c r="M107" s="681"/>
      <c r="N107" s="681"/>
      <c r="O107" s="681"/>
      <c r="P107" s="681"/>
      <c r="Q107" s="681"/>
      <c r="R107" s="681"/>
      <c r="S107" s="681"/>
      <c r="T107" s="681"/>
      <c r="U107" s="681"/>
      <c r="V107" s="681"/>
      <c r="W107" s="681"/>
      <c r="X107" s="681"/>
      <c r="Y107" s="681"/>
      <c r="Z107" s="681"/>
      <c r="AA107" s="681"/>
      <c r="AB107" s="681"/>
      <c r="AC107" s="681"/>
      <c r="AD107" s="681"/>
      <c r="AE107" s="82">
        <f t="shared" si="21"/>
        <v>0</v>
      </c>
    </row>
    <row r="108" spans="1:31" ht="18" hidden="1" customHeight="1">
      <c r="A108" s="86" t="s">
        <v>249</v>
      </c>
      <c r="B108" s="51"/>
      <c r="C108" s="677"/>
      <c r="D108" s="845">
        <f>C108*$C$104*$C$79</f>
        <v>0</v>
      </c>
      <c r="E108" s="678"/>
      <c r="F108" s="681"/>
      <c r="G108" s="681"/>
      <c r="H108" s="681"/>
      <c r="I108" s="856"/>
      <c r="J108" s="856"/>
      <c r="K108" s="681"/>
      <c r="L108" s="681"/>
      <c r="M108" s="681"/>
      <c r="N108" s="681"/>
      <c r="O108" s="681"/>
      <c r="P108" s="681"/>
      <c r="Q108" s="681"/>
      <c r="R108" s="681"/>
      <c r="S108" s="681"/>
      <c r="T108" s="681"/>
      <c r="U108" s="681"/>
      <c r="V108" s="681"/>
      <c r="W108" s="681"/>
      <c r="X108" s="681"/>
      <c r="Y108" s="681"/>
      <c r="Z108" s="681"/>
      <c r="AA108" s="681"/>
      <c r="AB108" s="681"/>
      <c r="AC108" s="681"/>
      <c r="AD108" s="681"/>
      <c r="AE108" s="82">
        <f t="shared" si="21"/>
        <v>0</v>
      </c>
    </row>
    <row r="109" spans="1:31" ht="18" hidden="1" customHeight="1">
      <c r="A109" s="86" t="s">
        <v>250</v>
      </c>
      <c r="B109" s="51"/>
      <c r="C109" s="677"/>
      <c r="D109" s="845">
        <f>C109*$C$104*$C$79</f>
        <v>0</v>
      </c>
      <c r="E109" s="678"/>
      <c r="F109" s="681"/>
      <c r="G109" s="681"/>
      <c r="H109" s="681"/>
      <c r="I109" s="856"/>
      <c r="J109" s="856"/>
      <c r="K109" s="681"/>
      <c r="L109" s="681"/>
      <c r="M109" s="681"/>
      <c r="N109" s="681"/>
      <c r="O109" s="681"/>
      <c r="P109" s="681"/>
      <c r="Q109" s="681"/>
      <c r="R109" s="681"/>
      <c r="S109" s="681"/>
      <c r="T109" s="681"/>
      <c r="U109" s="681"/>
      <c r="V109" s="681"/>
      <c r="W109" s="681"/>
      <c r="X109" s="681"/>
      <c r="Y109" s="681"/>
      <c r="Z109" s="681"/>
      <c r="AA109" s="681"/>
      <c r="AB109" s="681"/>
      <c r="AC109" s="681"/>
      <c r="AD109" s="681"/>
      <c r="AE109" s="82">
        <f t="shared" si="21"/>
        <v>0</v>
      </c>
    </row>
    <row r="110" spans="1:31" ht="18" hidden="1" customHeight="1">
      <c r="A110" s="84" t="s">
        <v>251</v>
      </c>
      <c r="B110" s="37"/>
      <c r="C110" s="38"/>
      <c r="D110" s="846"/>
      <c r="E110" s="39"/>
      <c r="F110" s="54"/>
      <c r="G110" s="54">
        <f>G111+G117+G123+G129+G135</f>
        <v>0</v>
      </c>
      <c r="H110" s="54">
        <f t="shared" ref="H110:R110" si="30">H111+H117+H123+H129+H135</f>
        <v>0</v>
      </c>
      <c r="I110" s="461">
        <f t="shared" si="30"/>
        <v>0</v>
      </c>
      <c r="J110" s="461">
        <f t="shared" si="30"/>
        <v>0</v>
      </c>
      <c r="K110" s="54">
        <f t="shared" si="30"/>
        <v>0</v>
      </c>
      <c r="L110" s="54">
        <f t="shared" si="30"/>
        <v>0</v>
      </c>
      <c r="M110" s="54">
        <f t="shared" si="30"/>
        <v>0</v>
      </c>
      <c r="N110" s="54">
        <f t="shared" si="30"/>
        <v>0</v>
      </c>
      <c r="O110" s="54">
        <f t="shared" si="30"/>
        <v>0</v>
      </c>
      <c r="P110" s="54">
        <f t="shared" si="30"/>
        <v>0</v>
      </c>
      <c r="Q110" s="54">
        <f t="shared" si="30"/>
        <v>0</v>
      </c>
      <c r="R110" s="54">
        <f t="shared" si="30"/>
        <v>0</v>
      </c>
      <c r="S110" s="54">
        <f t="shared" ref="S110:AD110" si="31">S111+S117+S123</f>
        <v>0</v>
      </c>
      <c r="T110" s="54">
        <f t="shared" si="31"/>
        <v>0</v>
      </c>
      <c r="U110" s="54">
        <f t="shared" si="31"/>
        <v>0</v>
      </c>
      <c r="V110" s="54">
        <f t="shared" si="31"/>
        <v>0</v>
      </c>
      <c r="W110" s="54">
        <f t="shared" si="31"/>
        <v>0</v>
      </c>
      <c r="X110" s="54">
        <f t="shared" si="31"/>
        <v>0</v>
      </c>
      <c r="Y110" s="54">
        <f t="shared" si="31"/>
        <v>0</v>
      </c>
      <c r="Z110" s="54">
        <f t="shared" si="31"/>
        <v>0</v>
      </c>
      <c r="AA110" s="54">
        <f t="shared" si="31"/>
        <v>0</v>
      </c>
      <c r="AB110" s="54">
        <f t="shared" si="31"/>
        <v>0</v>
      </c>
      <c r="AC110" s="54">
        <f t="shared" si="31"/>
        <v>0</v>
      </c>
      <c r="AD110" s="54">
        <f t="shared" si="31"/>
        <v>0</v>
      </c>
      <c r="AE110" s="82">
        <f t="shared" si="21"/>
        <v>0</v>
      </c>
    </row>
    <row r="111" spans="1:31" ht="18" hidden="1" customHeight="1">
      <c r="A111" s="85" t="s">
        <v>252</v>
      </c>
      <c r="B111" s="34"/>
      <c r="C111" s="35"/>
      <c r="D111" s="847"/>
      <c r="E111" s="36"/>
      <c r="F111" s="55"/>
      <c r="G111" s="55">
        <f>SUM(G112:G116)</f>
        <v>0</v>
      </c>
      <c r="H111" s="55">
        <f>SUM(H112:H116)</f>
        <v>0</v>
      </c>
      <c r="I111" s="857">
        <f t="shared" ref="I111" si="32">SUM(I112:I116)</f>
        <v>0</v>
      </c>
      <c r="J111" s="857">
        <f>SUM(J112:J116)</f>
        <v>0</v>
      </c>
      <c r="K111" s="55">
        <f>SUM(K112:K116)</f>
        <v>0</v>
      </c>
      <c r="L111" s="55">
        <f t="shared" ref="L111:AD111" si="33">SUM(L112:L116)</f>
        <v>0</v>
      </c>
      <c r="M111" s="55">
        <f t="shared" si="33"/>
        <v>0</v>
      </c>
      <c r="N111" s="55">
        <f t="shared" si="33"/>
        <v>0</v>
      </c>
      <c r="O111" s="55">
        <f t="shared" si="33"/>
        <v>0</v>
      </c>
      <c r="P111" s="55">
        <f t="shared" si="33"/>
        <v>0</v>
      </c>
      <c r="Q111" s="55">
        <f t="shared" si="33"/>
        <v>0</v>
      </c>
      <c r="R111" s="55">
        <f t="shared" si="33"/>
        <v>0</v>
      </c>
      <c r="S111" s="55">
        <f t="shared" si="33"/>
        <v>0</v>
      </c>
      <c r="T111" s="55">
        <f t="shared" si="33"/>
        <v>0</v>
      </c>
      <c r="U111" s="55">
        <f t="shared" si="33"/>
        <v>0</v>
      </c>
      <c r="V111" s="55">
        <f t="shared" si="33"/>
        <v>0</v>
      </c>
      <c r="W111" s="55">
        <f t="shared" si="33"/>
        <v>0</v>
      </c>
      <c r="X111" s="55">
        <f t="shared" si="33"/>
        <v>0</v>
      </c>
      <c r="Y111" s="55">
        <f t="shared" si="33"/>
        <v>0</v>
      </c>
      <c r="Z111" s="55">
        <f t="shared" si="33"/>
        <v>0</v>
      </c>
      <c r="AA111" s="55">
        <f t="shared" si="33"/>
        <v>0</v>
      </c>
      <c r="AB111" s="55">
        <f t="shared" si="33"/>
        <v>0</v>
      </c>
      <c r="AC111" s="55">
        <f t="shared" si="33"/>
        <v>0</v>
      </c>
      <c r="AD111" s="55">
        <f t="shared" si="33"/>
        <v>0</v>
      </c>
      <c r="AE111" s="82">
        <f t="shared" si="21"/>
        <v>0</v>
      </c>
    </row>
    <row r="112" spans="1:31" ht="18" hidden="1" customHeight="1">
      <c r="A112" s="86" t="s">
        <v>253</v>
      </c>
      <c r="B112" s="51"/>
      <c r="C112" s="677"/>
      <c r="D112" s="845">
        <f>C112*$C$111*$C$110</f>
        <v>0</v>
      </c>
      <c r="E112" s="678"/>
      <c r="F112" s="681"/>
      <c r="G112" s="681"/>
      <c r="H112" s="681"/>
      <c r="I112" s="856"/>
      <c r="J112" s="856"/>
      <c r="K112" s="681"/>
      <c r="L112" s="681"/>
      <c r="M112" s="681"/>
      <c r="N112" s="681"/>
      <c r="O112" s="681"/>
      <c r="P112" s="681"/>
      <c r="Q112" s="681"/>
      <c r="R112" s="681"/>
      <c r="S112" s="681"/>
      <c r="T112" s="681"/>
      <c r="U112" s="681"/>
      <c r="V112" s="681"/>
      <c r="W112" s="681"/>
      <c r="X112" s="681"/>
      <c r="Y112" s="681"/>
      <c r="Z112" s="681"/>
      <c r="AA112" s="681"/>
      <c r="AB112" s="681"/>
      <c r="AC112" s="681"/>
      <c r="AD112" s="681"/>
      <c r="AE112" s="82">
        <f t="shared" si="21"/>
        <v>0</v>
      </c>
    </row>
    <row r="113" spans="1:31" ht="18" hidden="1" customHeight="1">
      <c r="A113" s="86" t="s">
        <v>254</v>
      </c>
      <c r="B113" s="51"/>
      <c r="C113" s="677"/>
      <c r="D113" s="845">
        <f>C113*$C$111*$C$110</f>
        <v>0</v>
      </c>
      <c r="E113" s="678"/>
      <c r="F113" s="681"/>
      <c r="G113" s="681"/>
      <c r="H113" s="681"/>
      <c r="I113" s="856"/>
      <c r="J113" s="856"/>
      <c r="K113" s="681"/>
      <c r="L113" s="681"/>
      <c r="M113" s="681"/>
      <c r="N113" s="681"/>
      <c r="O113" s="681"/>
      <c r="P113" s="681"/>
      <c r="Q113" s="681"/>
      <c r="R113" s="681"/>
      <c r="S113" s="681"/>
      <c r="T113" s="681"/>
      <c r="U113" s="681"/>
      <c r="V113" s="681"/>
      <c r="W113" s="681"/>
      <c r="X113" s="681"/>
      <c r="Y113" s="681"/>
      <c r="Z113" s="681"/>
      <c r="AA113" s="681"/>
      <c r="AB113" s="681"/>
      <c r="AC113" s="681"/>
      <c r="AD113" s="681"/>
      <c r="AE113" s="82">
        <f t="shared" si="21"/>
        <v>0</v>
      </c>
    </row>
    <row r="114" spans="1:31" ht="18" hidden="1" customHeight="1">
      <c r="A114" s="86" t="s">
        <v>255</v>
      </c>
      <c r="B114" s="51"/>
      <c r="C114" s="677"/>
      <c r="D114" s="845">
        <f t="shared" ref="D114:D116" si="34">C114*$C$111*$C$110</f>
        <v>0</v>
      </c>
      <c r="E114" s="678"/>
      <c r="F114" s="681"/>
      <c r="G114" s="681"/>
      <c r="H114" s="681"/>
      <c r="I114" s="856"/>
      <c r="J114" s="856"/>
      <c r="K114" s="681"/>
      <c r="L114" s="681"/>
      <c r="M114" s="681"/>
      <c r="N114" s="681"/>
      <c r="O114" s="681"/>
      <c r="P114" s="681"/>
      <c r="Q114" s="681"/>
      <c r="R114" s="681"/>
      <c r="S114" s="681"/>
      <c r="T114" s="681"/>
      <c r="U114" s="681"/>
      <c r="V114" s="681"/>
      <c r="W114" s="681"/>
      <c r="X114" s="681"/>
      <c r="Y114" s="681"/>
      <c r="Z114" s="681"/>
      <c r="AA114" s="681"/>
      <c r="AB114" s="681"/>
      <c r="AC114" s="681"/>
      <c r="AD114" s="681"/>
      <c r="AE114" s="82">
        <f t="shared" si="21"/>
        <v>0</v>
      </c>
    </row>
    <row r="115" spans="1:31" ht="18" hidden="1" customHeight="1">
      <c r="A115" s="86" t="s">
        <v>256</v>
      </c>
      <c r="B115" s="51"/>
      <c r="C115" s="677"/>
      <c r="D115" s="845">
        <f>C115*$C$111*$C$110</f>
        <v>0</v>
      </c>
      <c r="E115" s="678"/>
      <c r="F115" s="681"/>
      <c r="G115" s="681"/>
      <c r="H115" s="681"/>
      <c r="I115" s="856"/>
      <c r="J115" s="856"/>
      <c r="K115" s="681"/>
      <c r="L115" s="681"/>
      <c r="M115" s="681"/>
      <c r="N115" s="681"/>
      <c r="O115" s="681"/>
      <c r="P115" s="681"/>
      <c r="Q115" s="681"/>
      <c r="R115" s="681"/>
      <c r="S115" s="681"/>
      <c r="T115" s="681"/>
      <c r="U115" s="681"/>
      <c r="V115" s="681"/>
      <c r="W115" s="681"/>
      <c r="X115" s="681"/>
      <c r="Y115" s="681"/>
      <c r="Z115" s="681"/>
      <c r="AA115" s="681"/>
      <c r="AB115" s="681"/>
      <c r="AC115" s="681"/>
      <c r="AD115" s="681"/>
      <c r="AE115" s="82">
        <f t="shared" si="21"/>
        <v>0</v>
      </c>
    </row>
    <row r="116" spans="1:31" ht="18" hidden="1" customHeight="1">
      <c r="A116" s="86" t="s">
        <v>257</v>
      </c>
      <c r="B116" s="51"/>
      <c r="C116" s="677"/>
      <c r="D116" s="845">
        <f t="shared" si="34"/>
        <v>0</v>
      </c>
      <c r="E116" s="678"/>
      <c r="F116" s="681"/>
      <c r="G116" s="681"/>
      <c r="H116" s="681"/>
      <c r="I116" s="856"/>
      <c r="J116" s="856"/>
      <c r="K116" s="681"/>
      <c r="L116" s="681"/>
      <c r="M116" s="681"/>
      <c r="N116" s="681"/>
      <c r="O116" s="681"/>
      <c r="P116" s="681"/>
      <c r="Q116" s="681"/>
      <c r="R116" s="681"/>
      <c r="S116" s="681"/>
      <c r="T116" s="681"/>
      <c r="U116" s="681"/>
      <c r="V116" s="681"/>
      <c r="W116" s="681"/>
      <c r="X116" s="681"/>
      <c r="Y116" s="681"/>
      <c r="Z116" s="681"/>
      <c r="AA116" s="681"/>
      <c r="AB116" s="681"/>
      <c r="AC116" s="681"/>
      <c r="AD116" s="681"/>
      <c r="AE116" s="82">
        <f t="shared" si="21"/>
        <v>0</v>
      </c>
    </row>
    <row r="117" spans="1:31" ht="18" hidden="1" customHeight="1">
      <c r="A117" s="85" t="s">
        <v>258</v>
      </c>
      <c r="B117" s="34"/>
      <c r="C117" s="35"/>
      <c r="D117" s="847"/>
      <c r="E117" s="36"/>
      <c r="F117" s="55"/>
      <c r="G117" s="55">
        <f>SUM(G118:G122)</f>
        <v>0</v>
      </c>
      <c r="H117" s="55">
        <f>SUM(H118:H122)</f>
        <v>0</v>
      </c>
      <c r="I117" s="857">
        <f t="shared" ref="I117:AD117" si="35">SUM(I118:I122)</f>
        <v>0</v>
      </c>
      <c r="J117" s="857">
        <f t="shared" si="35"/>
        <v>0</v>
      </c>
      <c r="K117" s="55">
        <f t="shared" si="35"/>
        <v>0</v>
      </c>
      <c r="L117" s="55">
        <f t="shared" si="35"/>
        <v>0</v>
      </c>
      <c r="M117" s="55">
        <f t="shared" si="35"/>
        <v>0</v>
      </c>
      <c r="N117" s="55">
        <f t="shared" si="35"/>
        <v>0</v>
      </c>
      <c r="O117" s="55">
        <f t="shared" si="35"/>
        <v>0</v>
      </c>
      <c r="P117" s="55">
        <f t="shared" si="35"/>
        <v>0</v>
      </c>
      <c r="Q117" s="55">
        <f t="shared" si="35"/>
        <v>0</v>
      </c>
      <c r="R117" s="55">
        <f t="shared" si="35"/>
        <v>0</v>
      </c>
      <c r="S117" s="55">
        <f t="shared" si="35"/>
        <v>0</v>
      </c>
      <c r="T117" s="55">
        <f t="shared" si="35"/>
        <v>0</v>
      </c>
      <c r="U117" s="55">
        <f t="shared" si="35"/>
        <v>0</v>
      </c>
      <c r="V117" s="55">
        <f t="shared" si="35"/>
        <v>0</v>
      </c>
      <c r="W117" s="55">
        <f t="shared" si="35"/>
        <v>0</v>
      </c>
      <c r="X117" s="55">
        <f t="shared" si="35"/>
        <v>0</v>
      </c>
      <c r="Y117" s="55">
        <f t="shared" si="35"/>
        <v>0</v>
      </c>
      <c r="Z117" s="55">
        <f t="shared" si="35"/>
        <v>0</v>
      </c>
      <c r="AA117" s="55">
        <f t="shared" si="35"/>
        <v>0</v>
      </c>
      <c r="AB117" s="55">
        <f t="shared" si="35"/>
        <v>0</v>
      </c>
      <c r="AC117" s="55">
        <f t="shared" si="35"/>
        <v>0</v>
      </c>
      <c r="AD117" s="55">
        <f t="shared" si="35"/>
        <v>0</v>
      </c>
      <c r="AE117" s="82">
        <f t="shared" si="21"/>
        <v>0</v>
      </c>
    </row>
    <row r="118" spans="1:31" ht="18" hidden="1" customHeight="1">
      <c r="A118" s="86" t="s">
        <v>259</v>
      </c>
      <c r="B118" s="51"/>
      <c r="C118" s="677"/>
      <c r="D118" s="845">
        <f>C118*$C$117*$C$110</f>
        <v>0</v>
      </c>
      <c r="E118" s="678"/>
      <c r="F118" s="681"/>
      <c r="G118" s="681"/>
      <c r="H118" s="681"/>
      <c r="I118" s="856"/>
      <c r="J118" s="856"/>
      <c r="K118" s="681"/>
      <c r="L118" s="681"/>
      <c r="M118" s="681"/>
      <c r="N118" s="681"/>
      <c r="O118" s="681"/>
      <c r="P118" s="681"/>
      <c r="Q118" s="681"/>
      <c r="R118" s="681"/>
      <c r="S118" s="681"/>
      <c r="T118" s="681"/>
      <c r="U118" s="681"/>
      <c r="V118" s="681"/>
      <c r="W118" s="681"/>
      <c r="X118" s="681"/>
      <c r="Y118" s="681"/>
      <c r="Z118" s="681"/>
      <c r="AA118" s="681"/>
      <c r="AB118" s="681"/>
      <c r="AC118" s="681"/>
      <c r="AD118" s="681"/>
      <c r="AE118" s="82">
        <f t="shared" si="21"/>
        <v>0</v>
      </c>
    </row>
    <row r="119" spans="1:31" ht="18" hidden="1" customHeight="1">
      <c r="A119" s="86" t="s">
        <v>260</v>
      </c>
      <c r="B119" s="51"/>
      <c r="C119" s="677"/>
      <c r="D119" s="845">
        <f t="shared" ref="D119:D122" si="36">C119*$C$117*$C$110</f>
        <v>0</v>
      </c>
      <c r="E119" s="678"/>
      <c r="F119" s="681"/>
      <c r="G119" s="681"/>
      <c r="H119" s="681"/>
      <c r="I119" s="856"/>
      <c r="J119" s="856"/>
      <c r="K119" s="681"/>
      <c r="L119" s="681"/>
      <c r="M119" s="681"/>
      <c r="N119" s="681"/>
      <c r="O119" s="681"/>
      <c r="P119" s="681"/>
      <c r="Q119" s="681"/>
      <c r="R119" s="681"/>
      <c r="S119" s="681"/>
      <c r="T119" s="681"/>
      <c r="U119" s="681"/>
      <c r="V119" s="681"/>
      <c r="W119" s="681"/>
      <c r="X119" s="681"/>
      <c r="Y119" s="681"/>
      <c r="Z119" s="681"/>
      <c r="AA119" s="681"/>
      <c r="AB119" s="681"/>
      <c r="AC119" s="681"/>
      <c r="AD119" s="681"/>
      <c r="AE119" s="82">
        <f t="shared" si="21"/>
        <v>0</v>
      </c>
    </row>
    <row r="120" spans="1:31" ht="18" hidden="1" customHeight="1">
      <c r="A120" s="86" t="s">
        <v>261</v>
      </c>
      <c r="B120" s="51"/>
      <c r="C120" s="677"/>
      <c r="D120" s="845">
        <f t="shared" si="36"/>
        <v>0</v>
      </c>
      <c r="E120" s="678"/>
      <c r="F120" s="681"/>
      <c r="G120" s="681"/>
      <c r="H120" s="681"/>
      <c r="I120" s="856"/>
      <c r="J120" s="856"/>
      <c r="K120" s="681"/>
      <c r="L120" s="681"/>
      <c r="M120" s="681"/>
      <c r="N120" s="681"/>
      <c r="O120" s="681"/>
      <c r="P120" s="681"/>
      <c r="Q120" s="681"/>
      <c r="R120" s="681"/>
      <c r="S120" s="681"/>
      <c r="T120" s="681"/>
      <c r="U120" s="681"/>
      <c r="V120" s="681"/>
      <c r="W120" s="681"/>
      <c r="X120" s="681"/>
      <c r="Y120" s="681"/>
      <c r="Z120" s="681"/>
      <c r="AA120" s="681"/>
      <c r="AB120" s="681"/>
      <c r="AC120" s="681"/>
      <c r="AD120" s="681"/>
      <c r="AE120" s="82">
        <f t="shared" si="21"/>
        <v>0</v>
      </c>
    </row>
    <row r="121" spans="1:31" ht="18" hidden="1" customHeight="1">
      <c r="A121" s="86" t="s">
        <v>262</v>
      </c>
      <c r="B121" s="51"/>
      <c r="C121" s="677"/>
      <c r="D121" s="845">
        <f t="shared" si="36"/>
        <v>0</v>
      </c>
      <c r="E121" s="678"/>
      <c r="F121" s="681"/>
      <c r="G121" s="681"/>
      <c r="H121" s="681"/>
      <c r="I121" s="856"/>
      <c r="J121" s="856"/>
      <c r="K121" s="681"/>
      <c r="L121" s="681"/>
      <c r="M121" s="681"/>
      <c r="N121" s="681"/>
      <c r="O121" s="681"/>
      <c r="P121" s="681"/>
      <c r="Q121" s="681"/>
      <c r="R121" s="681"/>
      <c r="S121" s="681"/>
      <c r="T121" s="681"/>
      <c r="U121" s="681"/>
      <c r="V121" s="681"/>
      <c r="W121" s="681"/>
      <c r="X121" s="681"/>
      <c r="Y121" s="681"/>
      <c r="Z121" s="681"/>
      <c r="AA121" s="681"/>
      <c r="AB121" s="681"/>
      <c r="AC121" s="681"/>
      <c r="AD121" s="681"/>
      <c r="AE121" s="82">
        <f t="shared" si="21"/>
        <v>0</v>
      </c>
    </row>
    <row r="122" spans="1:31" ht="18" hidden="1" customHeight="1">
      <c r="A122" s="86" t="s">
        <v>263</v>
      </c>
      <c r="B122" s="51"/>
      <c r="C122" s="677"/>
      <c r="D122" s="845">
        <f t="shared" si="36"/>
        <v>0</v>
      </c>
      <c r="E122" s="678"/>
      <c r="F122" s="681"/>
      <c r="G122" s="681"/>
      <c r="H122" s="681"/>
      <c r="I122" s="856"/>
      <c r="J122" s="856"/>
      <c r="K122" s="681"/>
      <c r="L122" s="681"/>
      <c r="M122" s="681"/>
      <c r="N122" s="681"/>
      <c r="O122" s="681"/>
      <c r="P122" s="681"/>
      <c r="Q122" s="681"/>
      <c r="R122" s="681"/>
      <c r="S122" s="681"/>
      <c r="T122" s="681"/>
      <c r="U122" s="681"/>
      <c r="V122" s="681"/>
      <c r="W122" s="681"/>
      <c r="X122" s="681"/>
      <c r="Y122" s="681"/>
      <c r="Z122" s="681"/>
      <c r="AA122" s="681"/>
      <c r="AB122" s="681"/>
      <c r="AC122" s="681"/>
      <c r="AD122" s="681"/>
      <c r="AE122" s="82">
        <f t="shared" si="21"/>
        <v>0</v>
      </c>
    </row>
    <row r="123" spans="1:31" ht="18" hidden="1" customHeight="1">
      <c r="A123" s="85" t="s">
        <v>264</v>
      </c>
      <c r="B123" s="34"/>
      <c r="C123" s="35"/>
      <c r="D123" s="847"/>
      <c r="E123" s="36"/>
      <c r="F123" s="55"/>
      <c r="G123" s="55">
        <f>SUM(G124:G128)</f>
        <v>0</v>
      </c>
      <c r="H123" s="55">
        <f t="shared" ref="H123" si="37">SUM(H124:H128)</f>
        <v>0</v>
      </c>
      <c r="I123" s="857">
        <f>SUM(I124:I128)</f>
        <v>0</v>
      </c>
      <c r="J123" s="857">
        <f t="shared" ref="J123:AD123" si="38">SUM(J124:J128)</f>
        <v>0</v>
      </c>
      <c r="K123" s="55">
        <f t="shared" si="38"/>
        <v>0</v>
      </c>
      <c r="L123" s="55">
        <f t="shared" si="38"/>
        <v>0</v>
      </c>
      <c r="M123" s="55">
        <f t="shared" si="38"/>
        <v>0</v>
      </c>
      <c r="N123" s="55">
        <f t="shared" si="38"/>
        <v>0</v>
      </c>
      <c r="O123" s="55">
        <f t="shared" si="38"/>
        <v>0</v>
      </c>
      <c r="P123" s="55">
        <f t="shared" si="38"/>
        <v>0</v>
      </c>
      <c r="Q123" s="55">
        <f t="shared" si="38"/>
        <v>0</v>
      </c>
      <c r="R123" s="55">
        <f t="shared" si="38"/>
        <v>0</v>
      </c>
      <c r="S123" s="55">
        <f t="shared" si="38"/>
        <v>0</v>
      </c>
      <c r="T123" s="55">
        <f t="shared" si="38"/>
        <v>0</v>
      </c>
      <c r="U123" s="55">
        <f t="shared" si="38"/>
        <v>0</v>
      </c>
      <c r="V123" s="55">
        <f t="shared" si="38"/>
        <v>0</v>
      </c>
      <c r="W123" s="55">
        <f t="shared" si="38"/>
        <v>0</v>
      </c>
      <c r="X123" s="55">
        <f t="shared" si="38"/>
        <v>0</v>
      </c>
      <c r="Y123" s="55">
        <f t="shared" si="38"/>
        <v>0</v>
      </c>
      <c r="Z123" s="55">
        <f t="shared" si="38"/>
        <v>0</v>
      </c>
      <c r="AA123" s="55">
        <f t="shared" si="38"/>
        <v>0</v>
      </c>
      <c r="AB123" s="55">
        <f t="shared" si="38"/>
        <v>0</v>
      </c>
      <c r="AC123" s="55">
        <f t="shared" si="38"/>
        <v>0</v>
      </c>
      <c r="AD123" s="55">
        <f t="shared" si="38"/>
        <v>0</v>
      </c>
      <c r="AE123" s="82">
        <f t="shared" si="21"/>
        <v>0</v>
      </c>
    </row>
    <row r="124" spans="1:31" ht="18" hidden="1" customHeight="1">
      <c r="A124" s="86" t="s">
        <v>265</v>
      </c>
      <c r="B124" s="51"/>
      <c r="C124" s="677"/>
      <c r="D124" s="845">
        <f>C124*$C$123*$C$110</f>
        <v>0</v>
      </c>
      <c r="E124" s="678"/>
      <c r="F124" s="681"/>
      <c r="G124" s="681"/>
      <c r="H124" s="681"/>
      <c r="I124" s="856"/>
      <c r="J124" s="856"/>
      <c r="K124" s="681"/>
      <c r="L124" s="681"/>
      <c r="M124" s="681"/>
      <c r="N124" s="681"/>
      <c r="O124" s="681"/>
      <c r="P124" s="681"/>
      <c r="Q124" s="681"/>
      <c r="R124" s="681"/>
      <c r="S124" s="681"/>
      <c r="T124" s="681"/>
      <c r="U124" s="681"/>
      <c r="V124" s="681"/>
      <c r="W124" s="681"/>
      <c r="X124" s="681"/>
      <c r="Y124" s="681"/>
      <c r="Z124" s="681"/>
      <c r="AA124" s="681"/>
      <c r="AB124" s="681"/>
      <c r="AC124" s="681"/>
      <c r="AD124" s="681"/>
      <c r="AE124" s="82">
        <f t="shared" si="21"/>
        <v>0</v>
      </c>
    </row>
    <row r="125" spans="1:31" ht="18" hidden="1" customHeight="1">
      <c r="A125" s="86" t="s">
        <v>266</v>
      </c>
      <c r="B125" s="51"/>
      <c r="C125" s="677"/>
      <c r="D125" s="845">
        <f>C125*$C$123*$C$110</f>
        <v>0</v>
      </c>
      <c r="E125" s="678"/>
      <c r="F125" s="681"/>
      <c r="G125" s="681"/>
      <c r="H125" s="681"/>
      <c r="I125" s="856"/>
      <c r="J125" s="856"/>
      <c r="K125" s="681"/>
      <c r="L125" s="681"/>
      <c r="M125" s="681"/>
      <c r="N125" s="681"/>
      <c r="O125" s="681"/>
      <c r="P125" s="681"/>
      <c r="Q125" s="681"/>
      <c r="R125" s="681"/>
      <c r="S125" s="681"/>
      <c r="T125" s="681"/>
      <c r="U125" s="681"/>
      <c r="V125" s="681"/>
      <c r="W125" s="681"/>
      <c r="X125" s="681"/>
      <c r="Y125" s="681"/>
      <c r="Z125" s="681"/>
      <c r="AA125" s="681"/>
      <c r="AB125" s="681"/>
      <c r="AC125" s="681"/>
      <c r="AD125" s="681"/>
      <c r="AE125" s="82">
        <f t="shared" si="21"/>
        <v>0</v>
      </c>
    </row>
    <row r="126" spans="1:31" ht="18" hidden="1" customHeight="1">
      <c r="A126" s="86" t="s">
        <v>267</v>
      </c>
      <c r="B126" s="51"/>
      <c r="C126" s="677"/>
      <c r="D126" s="845">
        <f>C126*$C$123*$C$110</f>
        <v>0</v>
      </c>
      <c r="E126" s="678"/>
      <c r="F126" s="681"/>
      <c r="G126" s="681"/>
      <c r="H126" s="681"/>
      <c r="I126" s="856"/>
      <c r="J126" s="856"/>
      <c r="K126" s="681"/>
      <c r="L126" s="681"/>
      <c r="M126" s="681"/>
      <c r="N126" s="681"/>
      <c r="O126" s="681"/>
      <c r="P126" s="681"/>
      <c r="Q126" s="681"/>
      <c r="R126" s="681"/>
      <c r="S126" s="681"/>
      <c r="T126" s="681"/>
      <c r="U126" s="681"/>
      <c r="V126" s="681"/>
      <c r="W126" s="681"/>
      <c r="X126" s="681"/>
      <c r="Y126" s="681"/>
      <c r="Z126" s="681"/>
      <c r="AA126" s="681"/>
      <c r="AB126" s="681"/>
      <c r="AC126" s="681"/>
      <c r="AD126" s="681"/>
      <c r="AE126" s="82">
        <f t="shared" si="21"/>
        <v>0</v>
      </c>
    </row>
    <row r="127" spans="1:31" ht="18" hidden="1" customHeight="1">
      <c r="A127" s="86" t="s">
        <v>268</v>
      </c>
      <c r="B127" s="51"/>
      <c r="C127" s="677"/>
      <c r="D127" s="845">
        <f>C127*$C$123*$C$110</f>
        <v>0</v>
      </c>
      <c r="E127" s="678"/>
      <c r="F127" s="681"/>
      <c r="G127" s="681"/>
      <c r="H127" s="681"/>
      <c r="I127" s="856"/>
      <c r="J127" s="856"/>
      <c r="K127" s="681"/>
      <c r="L127" s="681"/>
      <c r="M127" s="681"/>
      <c r="N127" s="681"/>
      <c r="O127" s="681"/>
      <c r="P127" s="681"/>
      <c r="Q127" s="681"/>
      <c r="R127" s="681"/>
      <c r="S127" s="681"/>
      <c r="T127" s="681"/>
      <c r="U127" s="681"/>
      <c r="V127" s="681"/>
      <c r="W127" s="681"/>
      <c r="X127" s="681"/>
      <c r="Y127" s="681"/>
      <c r="Z127" s="681"/>
      <c r="AA127" s="681"/>
      <c r="AB127" s="681"/>
      <c r="AC127" s="681"/>
      <c r="AD127" s="681"/>
      <c r="AE127" s="82">
        <f t="shared" si="21"/>
        <v>0</v>
      </c>
    </row>
    <row r="128" spans="1:31" ht="18" hidden="1" customHeight="1">
      <c r="A128" s="86" t="s">
        <v>269</v>
      </c>
      <c r="B128" s="51"/>
      <c r="C128" s="677"/>
      <c r="D128" s="845">
        <f>C128*$C$123*$C$110</f>
        <v>0</v>
      </c>
      <c r="E128" s="678"/>
      <c r="F128" s="681"/>
      <c r="G128" s="681"/>
      <c r="H128" s="681"/>
      <c r="I128" s="856"/>
      <c r="J128" s="856"/>
      <c r="K128" s="681"/>
      <c r="L128" s="681"/>
      <c r="M128" s="681"/>
      <c r="N128" s="681"/>
      <c r="O128" s="681"/>
      <c r="P128" s="681"/>
      <c r="Q128" s="681"/>
      <c r="R128" s="681"/>
      <c r="S128" s="681"/>
      <c r="T128" s="681"/>
      <c r="U128" s="681"/>
      <c r="V128" s="681"/>
      <c r="W128" s="681"/>
      <c r="X128" s="681"/>
      <c r="Y128" s="681"/>
      <c r="Z128" s="681"/>
      <c r="AA128" s="681"/>
      <c r="AB128" s="681"/>
      <c r="AC128" s="681"/>
      <c r="AD128" s="681"/>
      <c r="AE128" s="82">
        <f t="shared" si="21"/>
        <v>0</v>
      </c>
    </row>
    <row r="129" spans="1:31" ht="18" hidden="1" customHeight="1">
      <c r="A129" s="85" t="s">
        <v>270</v>
      </c>
      <c r="B129" s="34"/>
      <c r="C129" s="35"/>
      <c r="D129" s="847"/>
      <c r="E129" s="36"/>
      <c r="F129" s="55"/>
      <c r="G129" s="55">
        <f>SUM(G130:G134)</f>
        <v>0</v>
      </c>
      <c r="H129" s="55">
        <f t="shared" ref="H129" si="39">SUM(H130:H134)</f>
        <v>0</v>
      </c>
      <c r="I129" s="857">
        <f>SUM(I130:I134)</f>
        <v>0</v>
      </c>
      <c r="J129" s="857">
        <f>SUM(J130:J134)</f>
        <v>0</v>
      </c>
      <c r="K129" s="55">
        <f t="shared" ref="K129:AD129" si="40">SUM(K130:K134)</f>
        <v>0</v>
      </c>
      <c r="L129" s="55">
        <f t="shared" si="40"/>
        <v>0</v>
      </c>
      <c r="M129" s="55">
        <f t="shared" si="40"/>
        <v>0</v>
      </c>
      <c r="N129" s="55">
        <f t="shared" si="40"/>
        <v>0</v>
      </c>
      <c r="O129" s="55">
        <f t="shared" si="40"/>
        <v>0</v>
      </c>
      <c r="P129" s="55">
        <f t="shared" si="40"/>
        <v>0</v>
      </c>
      <c r="Q129" s="55">
        <f t="shared" si="40"/>
        <v>0</v>
      </c>
      <c r="R129" s="55">
        <f t="shared" si="40"/>
        <v>0</v>
      </c>
      <c r="S129" s="55">
        <f t="shared" si="40"/>
        <v>0</v>
      </c>
      <c r="T129" s="55">
        <f t="shared" si="40"/>
        <v>0</v>
      </c>
      <c r="U129" s="55">
        <f t="shared" si="40"/>
        <v>0</v>
      </c>
      <c r="V129" s="55">
        <f t="shared" si="40"/>
        <v>0</v>
      </c>
      <c r="W129" s="55">
        <f t="shared" si="40"/>
        <v>0</v>
      </c>
      <c r="X129" s="55">
        <f t="shared" si="40"/>
        <v>0</v>
      </c>
      <c r="Y129" s="55">
        <f t="shared" si="40"/>
        <v>0</v>
      </c>
      <c r="Z129" s="55">
        <f t="shared" si="40"/>
        <v>0</v>
      </c>
      <c r="AA129" s="55">
        <f t="shared" si="40"/>
        <v>0</v>
      </c>
      <c r="AB129" s="55">
        <f t="shared" si="40"/>
        <v>0</v>
      </c>
      <c r="AC129" s="55">
        <f t="shared" si="40"/>
        <v>0</v>
      </c>
      <c r="AD129" s="55">
        <f t="shared" si="40"/>
        <v>0</v>
      </c>
      <c r="AE129" s="82">
        <f t="shared" si="21"/>
        <v>0</v>
      </c>
    </row>
    <row r="130" spans="1:31" ht="18" hidden="1" customHeight="1">
      <c r="A130" s="86" t="s">
        <v>271</v>
      </c>
      <c r="B130" s="51"/>
      <c r="C130" s="677"/>
      <c r="D130" s="845">
        <f>C130*$C$129*$C$110</f>
        <v>0</v>
      </c>
      <c r="E130" s="678"/>
      <c r="F130" s="681"/>
      <c r="G130" s="681"/>
      <c r="H130" s="681"/>
      <c r="I130" s="856"/>
      <c r="J130" s="856"/>
      <c r="K130" s="681"/>
      <c r="L130" s="681"/>
      <c r="M130" s="681"/>
      <c r="N130" s="681"/>
      <c r="O130" s="681"/>
      <c r="P130" s="681"/>
      <c r="Q130" s="681"/>
      <c r="R130" s="681"/>
      <c r="S130" s="681"/>
      <c r="T130" s="681"/>
      <c r="U130" s="681"/>
      <c r="V130" s="681"/>
      <c r="W130" s="681"/>
      <c r="X130" s="681"/>
      <c r="Y130" s="681"/>
      <c r="Z130" s="681"/>
      <c r="AA130" s="681"/>
      <c r="AB130" s="681"/>
      <c r="AC130" s="681"/>
      <c r="AD130" s="681"/>
      <c r="AE130" s="82">
        <f t="shared" si="21"/>
        <v>0</v>
      </c>
    </row>
    <row r="131" spans="1:31" ht="18" hidden="1" customHeight="1">
      <c r="A131" s="86" t="s">
        <v>272</v>
      </c>
      <c r="B131" s="51"/>
      <c r="C131" s="677"/>
      <c r="D131" s="845">
        <f>C131*$C$129*$C$110</f>
        <v>0</v>
      </c>
      <c r="E131" s="678"/>
      <c r="F131" s="681"/>
      <c r="G131" s="681"/>
      <c r="H131" s="681"/>
      <c r="I131" s="856"/>
      <c r="J131" s="856"/>
      <c r="K131" s="681"/>
      <c r="L131" s="681"/>
      <c r="M131" s="681"/>
      <c r="N131" s="681"/>
      <c r="O131" s="681"/>
      <c r="P131" s="681"/>
      <c r="Q131" s="681"/>
      <c r="R131" s="681"/>
      <c r="S131" s="681"/>
      <c r="T131" s="681"/>
      <c r="U131" s="681"/>
      <c r="V131" s="681"/>
      <c r="W131" s="681"/>
      <c r="X131" s="681"/>
      <c r="Y131" s="681"/>
      <c r="Z131" s="681"/>
      <c r="AA131" s="681"/>
      <c r="AB131" s="681"/>
      <c r="AC131" s="681"/>
      <c r="AD131" s="681"/>
      <c r="AE131" s="82">
        <f t="shared" si="21"/>
        <v>0</v>
      </c>
    </row>
    <row r="132" spans="1:31" ht="18" hidden="1" customHeight="1">
      <c r="A132" s="86" t="s">
        <v>273</v>
      </c>
      <c r="B132" s="51"/>
      <c r="C132" s="677"/>
      <c r="D132" s="845">
        <f>C132*$C$129*$C$110</f>
        <v>0</v>
      </c>
      <c r="E132" s="678"/>
      <c r="F132" s="681"/>
      <c r="G132" s="681"/>
      <c r="H132" s="681"/>
      <c r="I132" s="856"/>
      <c r="J132" s="856"/>
      <c r="K132" s="681"/>
      <c r="L132" s="681"/>
      <c r="M132" s="681"/>
      <c r="N132" s="681"/>
      <c r="O132" s="681"/>
      <c r="P132" s="681"/>
      <c r="Q132" s="681"/>
      <c r="R132" s="681"/>
      <c r="S132" s="681"/>
      <c r="T132" s="681"/>
      <c r="U132" s="681"/>
      <c r="V132" s="681"/>
      <c r="W132" s="681"/>
      <c r="X132" s="681"/>
      <c r="Y132" s="681"/>
      <c r="Z132" s="681"/>
      <c r="AA132" s="681"/>
      <c r="AB132" s="681"/>
      <c r="AC132" s="681"/>
      <c r="AD132" s="681"/>
      <c r="AE132" s="82">
        <f t="shared" si="21"/>
        <v>0</v>
      </c>
    </row>
    <row r="133" spans="1:31" ht="18" hidden="1" customHeight="1">
      <c r="A133" s="86" t="s">
        <v>274</v>
      </c>
      <c r="B133" s="51"/>
      <c r="C133" s="677"/>
      <c r="D133" s="845">
        <f>C133*$C$129*$C$110</f>
        <v>0</v>
      </c>
      <c r="E133" s="678"/>
      <c r="F133" s="681"/>
      <c r="G133" s="681"/>
      <c r="H133" s="681"/>
      <c r="I133" s="856"/>
      <c r="J133" s="856"/>
      <c r="K133" s="681"/>
      <c r="L133" s="681"/>
      <c r="M133" s="681"/>
      <c r="N133" s="681"/>
      <c r="O133" s="681"/>
      <c r="P133" s="681"/>
      <c r="Q133" s="681"/>
      <c r="R133" s="681"/>
      <c r="S133" s="681"/>
      <c r="T133" s="681"/>
      <c r="U133" s="681"/>
      <c r="V133" s="681"/>
      <c r="W133" s="681"/>
      <c r="X133" s="681"/>
      <c r="Y133" s="681"/>
      <c r="Z133" s="681"/>
      <c r="AA133" s="681"/>
      <c r="AB133" s="681"/>
      <c r="AC133" s="681"/>
      <c r="AD133" s="681"/>
      <c r="AE133" s="82">
        <f t="shared" si="21"/>
        <v>0</v>
      </c>
    </row>
    <row r="134" spans="1:31" ht="18" hidden="1" customHeight="1">
      <c r="A134" s="86" t="s">
        <v>275</v>
      </c>
      <c r="B134" s="51"/>
      <c r="C134" s="677"/>
      <c r="D134" s="845">
        <f>C134*$C$129*$C$110</f>
        <v>0</v>
      </c>
      <c r="E134" s="678"/>
      <c r="F134" s="681"/>
      <c r="G134" s="681"/>
      <c r="H134" s="681"/>
      <c r="I134" s="856"/>
      <c r="J134" s="856"/>
      <c r="K134" s="681"/>
      <c r="L134" s="681"/>
      <c r="M134" s="681"/>
      <c r="N134" s="681"/>
      <c r="O134" s="681"/>
      <c r="P134" s="681"/>
      <c r="Q134" s="681"/>
      <c r="R134" s="681"/>
      <c r="S134" s="681"/>
      <c r="T134" s="681"/>
      <c r="U134" s="681"/>
      <c r="V134" s="681"/>
      <c r="W134" s="681"/>
      <c r="X134" s="681"/>
      <c r="Y134" s="681"/>
      <c r="Z134" s="681"/>
      <c r="AA134" s="681"/>
      <c r="AB134" s="681"/>
      <c r="AC134" s="681"/>
      <c r="AD134" s="681"/>
      <c r="AE134" s="82">
        <f t="shared" si="21"/>
        <v>0</v>
      </c>
    </row>
    <row r="135" spans="1:31" ht="18" hidden="1" customHeight="1">
      <c r="A135" s="85" t="s">
        <v>276</v>
      </c>
      <c r="B135" s="34"/>
      <c r="C135" s="35"/>
      <c r="D135" s="847"/>
      <c r="E135" s="36"/>
      <c r="F135" s="55"/>
      <c r="G135" s="55">
        <f>SUM(G136:G140)</f>
        <v>0</v>
      </c>
      <c r="H135" s="55">
        <f t="shared" ref="H135" si="41">SUM(H136:H140)</f>
        <v>0</v>
      </c>
      <c r="I135" s="857">
        <f>SUM(I136:I140)</f>
        <v>0</v>
      </c>
      <c r="J135" s="857">
        <f>SUM(J136:J140)</f>
        <v>0</v>
      </c>
      <c r="K135" s="55">
        <f>SUM(K136:K140)</f>
        <v>0</v>
      </c>
      <c r="L135" s="55">
        <f t="shared" ref="L135:AD135" si="42">SUM(L136:L140)</f>
        <v>0</v>
      </c>
      <c r="M135" s="55">
        <f t="shared" si="42"/>
        <v>0</v>
      </c>
      <c r="N135" s="55">
        <f t="shared" si="42"/>
        <v>0</v>
      </c>
      <c r="O135" s="55">
        <f t="shared" si="42"/>
        <v>0</v>
      </c>
      <c r="P135" s="55">
        <f t="shared" si="42"/>
        <v>0</v>
      </c>
      <c r="Q135" s="55">
        <f t="shared" si="42"/>
        <v>0</v>
      </c>
      <c r="R135" s="55">
        <f t="shared" si="42"/>
        <v>0</v>
      </c>
      <c r="S135" s="55">
        <f t="shared" si="42"/>
        <v>0</v>
      </c>
      <c r="T135" s="55">
        <f t="shared" si="42"/>
        <v>0</v>
      </c>
      <c r="U135" s="55">
        <f t="shared" si="42"/>
        <v>0</v>
      </c>
      <c r="V135" s="55">
        <f t="shared" si="42"/>
        <v>0</v>
      </c>
      <c r="W135" s="55">
        <f t="shared" si="42"/>
        <v>0</v>
      </c>
      <c r="X135" s="55">
        <f t="shared" si="42"/>
        <v>0</v>
      </c>
      <c r="Y135" s="55">
        <f t="shared" si="42"/>
        <v>0</v>
      </c>
      <c r="Z135" s="55">
        <f t="shared" si="42"/>
        <v>0</v>
      </c>
      <c r="AA135" s="55">
        <f t="shared" si="42"/>
        <v>0</v>
      </c>
      <c r="AB135" s="55">
        <f t="shared" si="42"/>
        <v>0</v>
      </c>
      <c r="AC135" s="55">
        <f t="shared" si="42"/>
        <v>0</v>
      </c>
      <c r="AD135" s="55">
        <f t="shared" si="42"/>
        <v>0</v>
      </c>
      <c r="AE135" s="82">
        <f t="shared" si="21"/>
        <v>0</v>
      </c>
    </row>
    <row r="136" spans="1:31" ht="18" hidden="1" customHeight="1">
      <c r="A136" s="86" t="s">
        <v>277</v>
      </c>
      <c r="B136" s="51"/>
      <c r="C136" s="677"/>
      <c r="D136" s="845">
        <f>C136*$C$135*$C$110</f>
        <v>0</v>
      </c>
      <c r="E136" s="678"/>
      <c r="F136" s="681"/>
      <c r="G136" s="681"/>
      <c r="H136" s="681"/>
      <c r="I136" s="856"/>
      <c r="J136" s="856"/>
      <c r="K136" s="681"/>
      <c r="L136" s="681"/>
      <c r="M136" s="681"/>
      <c r="N136" s="681"/>
      <c r="O136" s="681"/>
      <c r="P136" s="681"/>
      <c r="Q136" s="681"/>
      <c r="R136" s="681"/>
      <c r="S136" s="681"/>
      <c r="T136" s="681"/>
      <c r="U136" s="681"/>
      <c r="V136" s="681"/>
      <c r="W136" s="681"/>
      <c r="X136" s="681"/>
      <c r="Y136" s="681"/>
      <c r="Z136" s="681"/>
      <c r="AA136" s="681"/>
      <c r="AB136" s="681"/>
      <c r="AC136" s="681"/>
      <c r="AD136" s="681"/>
      <c r="AE136" s="82">
        <f t="shared" si="21"/>
        <v>0</v>
      </c>
    </row>
    <row r="137" spans="1:31" ht="18" hidden="1" customHeight="1">
      <c r="A137" s="86" t="s">
        <v>278</v>
      </c>
      <c r="B137" s="51"/>
      <c r="C137" s="677"/>
      <c r="D137" s="845">
        <f>C137*$C$135*$C$110</f>
        <v>0</v>
      </c>
      <c r="E137" s="678"/>
      <c r="F137" s="681"/>
      <c r="G137" s="681"/>
      <c r="H137" s="681"/>
      <c r="I137" s="856"/>
      <c r="J137" s="856"/>
      <c r="K137" s="681"/>
      <c r="L137" s="681"/>
      <c r="M137" s="681"/>
      <c r="N137" s="681"/>
      <c r="O137" s="681"/>
      <c r="P137" s="681"/>
      <c r="Q137" s="681"/>
      <c r="R137" s="681"/>
      <c r="S137" s="681"/>
      <c r="T137" s="681"/>
      <c r="U137" s="681"/>
      <c r="V137" s="681"/>
      <c r="W137" s="681"/>
      <c r="X137" s="681"/>
      <c r="Y137" s="681"/>
      <c r="Z137" s="681"/>
      <c r="AA137" s="681"/>
      <c r="AB137" s="681"/>
      <c r="AC137" s="681"/>
      <c r="AD137" s="681"/>
      <c r="AE137" s="82">
        <f t="shared" si="21"/>
        <v>0</v>
      </c>
    </row>
    <row r="138" spans="1:31" ht="18" hidden="1" customHeight="1">
      <c r="A138" s="86" t="s">
        <v>279</v>
      </c>
      <c r="B138" s="51"/>
      <c r="C138" s="677"/>
      <c r="D138" s="845">
        <f>C138*$C$135*$C$110</f>
        <v>0</v>
      </c>
      <c r="E138" s="678"/>
      <c r="F138" s="681"/>
      <c r="G138" s="681"/>
      <c r="H138" s="681"/>
      <c r="I138" s="856"/>
      <c r="J138" s="856"/>
      <c r="K138" s="681"/>
      <c r="L138" s="681"/>
      <c r="M138" s="681"/>
      <c r="N138" s="681"/>
      <c r="O138" s="681"/>
      <c r="P138" s="681"/>
      <c r="Q138" s="681"/>
      <c r="R138" s="681"/>
      <c r="S138" s="681"/>
      <c r="T138" s="681"/>
      <c r="U138" s="681"/>
      <c r="V138" s="681"/>
      <c r="W138" s="681"/>
      <c r="X138" s="681"/>
      <c r="Y138" s="681"/>
      <c r="Z138" s="681"/>
      <c r="AA138" s="681"/>
      <c r="AB138" s="681"/>
      <c r="AC138" s="681"/>
      <c r="AD138" s="681"/>
      <c r="AE138" s="82">
        <f t="shared" si="21"/>
        <v>0</v>
      </c>
    </row>
    <row r="139" spans="1:31" ht="18" hidden="1" customHeight="1">
      <c r="A139" s="86" t="s">
        <v>280</v>
      </c>
      <c r="B139" s="51"/>
      <c r="C139" s="677"/>
      <c r="D139" s="845">
        <f>C139*$C$135*$C$110</f>
        <v>0</v>
      </c>
      <c r="E139" s="678"/>
      <c r="F139" s="681"/>
      <c r="G139" s="681"/>
      <c r="H139" s="681"/>
      <c r="I139" s="856"/>
      <c r="J139" s="856"/>
      <c r="K139" s="681"/>
      <c r="L139" s="681"/>
      <c r="M139" s="681"/>
      <c r="N139" s="681"/>
      <c r="O139" s="681"/>
      <c r="P139" s="681"/>
      <c r="Q139" s="681"/>
      <c r="R139" s="681"/>
      <c r="S139" s="681"/>
      <c r="T139" s="681"/>
      <c r="U139" s="681"/>
      <c r="V139" s="681"/>
      <c r="W139" s="681"/>
      <c r="X139" s="681"/>
      <c r="Y139" s="681"/>
      <c r="Z139" s="681"/>
      <c r="AA139" s="681"/>
      <c r="AB139" s="681"/>
      <c r="AC139" s="681"/>
      <c r="AD139" s="681"/>
      <c r="AE139" s="82">
        <f t="shared" si="21"/>
        <v>0</v>
      </c>
    </row>
    <row r="140" spans="1:31" ht="18" hidden="1" customHeight="1">
      <c r="A140" s="86" t="s">
        <v>281</v>
      </c>
      <c r="B140" s="51"/>
      <c r="C140" s="677"/>
      <c r="D140" s="845">
        <f>C140*$C$135*$C$110</f>
        <v>0</v>
      </c>
      <c r="E140" s="678"/>
      <c r="F140" s="681"/>
      <c r="G140" s="681"/>
      <c r="H140" s="681"/>
      <c r="I140" s="856"/>
      <c r="J140" s="856"/>
      <c r="K140" s="681"/>
      <c r="L140" s="681"/>
      <c r="M140" s="681"/>
      <c r="N140" s="681"/>
      <c r="O140" s="681"/>
      <c r="P140" s="681"/>
      <c r="Q140" s="681"/>
      <c r="R140" s="681"/>
      <c r="S140" s="681"/>
      <c r="T140" s="681"/>
      <c r="U140" s="681"/>
      <c r="V140" s="681"/>
      <c r="W140" s="681"/>
      <c r="X140" s="681"/>
      <c r="Y140" s="681"/>
      <c r="Z140" s="681"/>
      <c r="AA140" s="681"/>
      <c r="AB140" s="681"/>
      <c r="AC140" s="681"/>
      <c r="AD140" s="681"/>
      <c r="AE140" s="82">
        <f t="shared" si="21"/>
        <v>0</v>
      </c>
    </row>
    <row r="141" spans="1:31" ht="18" hidden="1" customHeight="1">
      <c r="A141" s="84" t="s">
        <v>282</v>
      </c>
      <c r="B141" s="37"/>
      <c r="C141" s="38"/>
      <c r="D141" s="846"/>
      <c r="E141" s="39"/>
      <c r="F141" s="54"/>
      <c r="G141" s="54">
        <f>G142+G148+G154+G160+G166</f>
        <v>0</v>
      </c>
      <c r="H141" s="54">
        <f t="shared" ref="H141:R141" si="43">H142+H148+H154+H160+H166</f>
        <v>0</v>
      </c>
      <c r="I141" s="461">
        <f t="shared" si="43"/>
        <v>0</v>
      </c>
      <c r="J141" s="461">
        <f t="shared" si="43"/>
        <v>0</v>
      </c>
      <c r="K141" s="54">
        <f t="shared" si="43"/>
        <v>0</v>
      </c>
      <c r="L141" s="54">
        <f t="shared" si="43"/>
        <v>0</v>
      </c>
      <c r="M141" s="54">
        <f t="shared" si="43"/>
        <v>0</v>
      </c>
      <c r="N141" s="54">
        <f t="shared" si="43"/>
        <v>0</v>
      </c>
      <c r="O141" s="54">
        <f t="shared" si="43"/>
        <v>0</v>
      </c>
      <c r="P141" s="54">
        <f t="shared" si="43"/>
        <v>0</v>
      </c>
      <c r="Q141" s="54">
        <f>Q142+Q148+Q154+Q160+Q166</f>
        <v>0</v>
      </c>
      <c r="R141" s="54">
        <f t="shared" si="43"/>
        <v>0</v>
      </c>
      <c r="S141" s="54">
        <f t="shared" ref="S141:AD141" si="44">S142+S148+S154</f>
        <v>0</v>
      </c>
      <c r="T141" s="54">
        <f t="shared" si="44"/>
        <v>0</v>
      </c>
      <c r="U141" s="54">
        <f t="shared" si="44"/>
        <v>0</v>
      </c>
      <c r="V141" s="54">
        <f t="shared" si="44"/>
        <v>0</v>
      </c>
      <c r="W141" s="54">
        <f t="shared" si="44"/>
        <v>0</v>
      </c>
      <c r="X141" s="54">
        <f t="shared" si="44"/>
        <v>0</v>
      </c>
      <c r="Y141" s="54">
        <f t="shared" si="44"/>
        <v>0</v>
      </c>
      <c r="Z141" s="54">
        <f t="shared" si="44"/>
        <v>0</v>
      </c>
      <c r="AA141" s="54">
        <f t="shared" si="44"/>
        <v>0</v>
      </c>
      <c r="AB141" s="54">
        <f t="shared" si="44"/>
        <v>0</v>
      </c>
      <c r="AC141" s="54">
        <f t="shared" si="44"/>
        <v>0</v>
      </c>
      <c r="AD141" s="54">
        <f t="shared" si="44"/>
        <v>0</v>
      </c>
      <c r="AE141" s="82">
        <f t="shared" si="21"/>
        <v>0</v>
      </c>
    </row>
    <row r="142" spans="1:31" ht="18" hidden="1" customHeight="1">
      <c r="A142" s="85" t="s">
        <v>283</v>
      </c>
      <c r="B142" s="34"/>
      <c r="C142" s="35"/>
      <c r="D142" s="847"/>
      <c r="E142" s="36"/>
      <c r="F142" s="55"/>
      <c r="G142" s="55">
        <f>SUM(G143:G147)</f>
        <v>0</v>
      </c>
      <c r="H142" s="55">
        <f t="shared" ref="H142" si="45">SUM(H143:H147)</f>
        <v>0</v>
      </c>
      <c r="I142" s="857">
        <f>SUM(I143:I147)</f>
        <v>0</v>
      </c>
      <c r="J142" s="857">
        <f t="shared" ref="J142:AD142" si="46">SUM(J143:J147)</f>
        <v>0</v>
      </c>
      <c r="K142" s="55">
        <f t="shared" si="46"/>
        <v>0</v>
      </c>
      <c r="L142" s="55">
        <f t="shared" si="46"/>
        <v>0</v>
      </c>
      <c r="M142" s="55">
        <f t="shared" si="46"/>
        <v>0</v>
      </c>
      <c r="N142" s="55">
        <f t="shared" si="46"/>
        <v>0</v>
      </c>
      <c r="O142" s="55">
        <f t="shared" si="46"/>
        <v>0</v>
      </c>
      <c r="P142" s="55">
        <f t="shared" si="46"/>
        <v>0</v>
      </c>
      <c r="Q142" s="55">
        <f t="shared" si="46"/>
        <v>0</v>
      </c>
      <c r="R142" s="55">
        <f t="shared" si="46"/>
        <v>0</v>
      </c>
      <c r="S142" s="55">
        <f t="shared" si="46"/>
        <v>0</v>
      </c>
      <c r="T142" s="55">
        <f t="shared" si="46"/>
        <v>0</v>
      </c>
      <c r="U142" s="55">
        <f t="shared" si="46"/>
        <v>0</v>
      </c>
      <c r="V142" s="55">
        <f t="shared" si="46"/>
        <v>0</v>
      </c>
      <c r="W142" s="55">
        <f t="shared" si="46"/>
        <v>0</v>
      </c>
      <c r="X142" s="55">
        <f t="shared" si="46"/>
        <v>0</v>
      </c>
      <c r="Y142" s="55">
        <f t="shared" si="46"/>
        <v>0</v>
      </c>
      <c r="Z142" s="55">
        <f t="shared" si="46"/>
        <v>0</v>
      </c>
      <c r="AA142" s="55">
        <f t="shared" si="46"/>
        <v>0</v>
      </c>
      <c r="AB142" s="55">
        <f t="shared" si="46"/>
        <v>0</v>
      </c>
      <c r="AC142" s="55">
        <f t="shared" si="46"/>
        <v>0</v>
      </c>
      <c r="AD142" s="55">
        <f t="shared" si="46"/>
        <v>0</v>
      </c>
      <c r="AE142" s="82">
        <f t="shared" si="21"/>
        <v>0</v>
      </c>
    </row>
    <row r="143" spans="1:31" ht="18" hidden="1" customHeight="1">
      <c r="A143" s="86" t="s">
        <v>284</v>
      </c>
      <c r="B143" s="51"/>
      <c r="C143" s="677"/>
      <c r="D143" s="845">
        <f>C143*$C$142*$C$141</f>
        <v>0</v>
      </c>
      <c r="E143" s="678"/>
      <c r="F143" s="681"/>
      <c r="G143" s="681"/>
      <c r="H143" s="681"/>
      <c r="I143" s="856"/>
      <c r="J143" s="856"/>
      <c r="K143" s="681"/>
      <c r="L143" s="681"/>
      <c r="M143" s="681"/>
      <c r="N143" s="681"/>
      <c r="O143" s="681"/>
      <c r="P143" s="681"/>
      <c r="Q143" s="681"/>
      <c r="R143" s="681"/>
      <c r="S143" s="681"/>
      <c r="T143" s="681"/>
      <c r="U143" s="681"/>
      <c r="V143" s="681"/>
      <c r="W143" s="681"/>
      <c r="X143" s="681"/>
      <c r="Y143" s="681"/>
      <c r="Z143" s="681"/>
      <c r="AA143" s="681"/>
      <c r="AB143" s="681"/>
      <c r="AC143" s="681"/>
      <c r="AD143" s="681"/>
      <c r="AE143" s="82">
        <f t="shared" si="21"/>
        <v>0</v>
      </c>
    </row>
    <row r="144" spans="1:31" ht="18" hidden="1" customHeight="1">
      <c r="A144" s="86" t="s">
        <v>285</v>
      </c>
      <c r="B144" s="51"/>
      <c r="C144" s="677"/>
      <c r="D144" s="845">
        <f t="shared" ref="D144:D147" si="47">C144*$C$142*$C$141</f>
        <v>0</v>
      </c>
      <c r="E144" s="678"/>
      <c r="F144" s="681"/>
      <c r="G144" s="681"/>
      <c r="H144" s="681"/>
      <c r="I144" s="856"/>
      <c r="J144" s="856"/>
      <c r="K144" s="681"/>
      <c r="L144" s="681"/>
      <c r="M144" s="681"/>
      <c r="N144" s="681"/>
      <c r="O144" s="681"/>
      <c r="P144" s="681"/>
      <c r="Q144" s="681"/>
      <c r="R144" s="681"/>
      <c r="S144" s="681"/>
      <c r="T144" s="681"/>
      <c r="U144" s="681"/>
      <c r="V144" s="681"/>
      <c r="W144" s="681"/>
      <c r="X144" s="681"/>
      <c r="Y144" s="681"/>
      <c r="Z144" s="681"/>
      <c r="AA144" s="681"/>
      <c r="AB144" s="681"/>
      <c r="AC144" s="681"/>
      <c r="AD144" s="681"/>
      <c r="AE144" s="82">
        <f t="shared" si="21"/>
        <v>0</v>
      </c>
    </row>
    <row r="145" spans="1:31" ht="18" hidden="1" customHeight="1">
      <c r="A145" s="86" t="s">
        <v>286</v>
      </c>
      <c r="B145" s="51"/>
      <c r="C145" s="677"/>
      <c r="D145" s="845">
        <f t="shared" si="47"/>
        <v>0</v>
      </c>
      <c r="E145" s="678"/>
      <c r="F145" s="681"/>
      <c r="G145" s="681"/>
      <c r="H145" s="681"/>
      <c r="I145" s="856"/>
      <c r="J145" s="856"/>
      <c r="K145" s="681"/>
      <c r="L145" s="681"/>
      <c r="M145" s="681"/>
      <c r="N145" s="681"/>
      <c r="O145" s="681"/>
      <c r="P145" s="681"/>
      <c r="Q145" s="681"/>
      <c r="R145" s="681"/>
      <c r="S145" s="681"/>
      <c r="T145" s="681"/>
      <c r="U145" s="681"/>
      <c r="V145" s="681"/>
      <c r="W145" s="681"/>
      <c r="X145" s="681"/>
      <c r="Y145" s="681"/>
      <c r="Z145" s="681"/>
      <c r="AA145" s="681"/>
      <c r="AB145" s="681"/>
      <c r="AC145" s="681"/>
      <c r="AD145" s="681"/>
      <c r="AE145" s="82">
        <f t="shared" ref="AE145:AE171" si="48">F145-SUM(G145:AD145)</f>
        <v>0</v>
      </c>
    </row>
    <row r="146" spans="1:31" ht="18" hidden="1" customHeight="1">
      <c r="A146" s="86" t="s">
        <v>287</v>
      </c>
      <c r="B146" s="51"/>
      <c r="C146" s="677"/>
      <c r="D146" s="845">
        <f t="shared" si="47"/>
        <v>0</v>
      </c>
      <c r="E146" s="678"/>
      <c r="F146" s="681"/>
      <c r="G146" s="681"/>
      <c r="H146" s="681"/>
      <c r="I146" s="856"/>
      <c r="J146" s="856"/>
      <c r="K146" s="681"/>
      <c r="L146" s="681"/>
      <c r="M146" s="681"/>
      <c r="N146" s="681"/>
      <c r="O146" s="681"/>
      <c r="P146" s="681"/>
      <c r="Q146" s="681"/>
      <c r="R146" s="681"/>
      <c r="S146" s="681"/>
      <c r="T146" s="681"/>
      <c r="U146" s="681"/>
      <c r="V146" s="681"/>
      <c r="W146" s="681"/>
      <c r="X146" s="681"/>
      <c r="Y146" s="681"/>
      <c r="Z146" s="681"/>
      <c r="AA146" s="681"/>
      <c r="AB146" s="681"/>
      <c r="AC146" s="681"/>
      <c r="AD146" s="681"/>
      <c r="AE146" s="82">
        <f t="shared" si="48"/>
        <v>0</v>
      </c>
    </row>
    <row r="147" spans="1:31" ht="18" hidden="1" customHeight="1">
      <c r="A147" s="86" t="s">
        <v>288</v>
      </c>
      <c r="B147" s="51"/>
      <c r="C147" s="677"/>
      <c r="D147" s="845">
        <f t="shared" si="47"/>
        <v>0</v>
      </c>
      <c r="E147" s="678"/>
      <c r="F147" s="681"/>
      <c r="G147" s="681"/>
      <c r="H147" s="681"/>
      <c r="I147" s="856"/>
      <c r="J147" s="856"/>
      <c r="K147" s="681"/>
      <c r="L147" s="681"/>
      <c r="M147" s="681"/>
      <c r="N147" s="681"/>
      <c r="O147" s="681"/>
      <c r="P147" s="681"/>
      <c r="Q147" s="681"/>
      <c r="R147" s="681"/>
      <c r="S147" s="681"/>
      <c r="T147" s="681"/>
      <c r="U147" s="681"/>
      <c r="V147" s="681"/>
      <c r="W147" s="681"/>
      <c r="X147" s="681"/>
      <c r="Y147" s="681"/>
      <c r="Z147" s="681"/>
      <c r="AA147" s="681"/>
      <c r="AB147" s="681"/>
      <c r="AC147" s="681"/>
      <c r="AD147" s="681"/>
      <c r="AE147" s="82">
        <f t="shared" si="48"/>
        <v>0</v>
      </c>
    </row>
    <row r="148" spans="1:31" ht="18" hidden="1" customHeight="1">
      <c r="A148" s="85" t="s">
        <v>289</v>
      </c>
      <c r="B148" s="34"/>
      <c r="C148" s="35"/>
      <c r="D148" s="847"/>
      <c r="E148" s="36"/>
      <c r="F148" s="55"/>
      <c r="G148" s="55">
        <f>SUM(G149:G153)</f>
        <v>0</v>
      </c>
      <c r="H148" s="55">
        <f t="shared" ref="H148:I148" si="49">SUM(H149:H153)</f>
        <v>0</v>
      </c>
      <c r="I148" s="857">
        <f t="shared" si="49"/>
        <v>0</v>
      </c>
      <c r="J148" s="857">
        <f>SUM(J149:J153)</f>
        <v>0</v>
      </c>
      <c r="K148" s="55">
        <f t="shared" ref="K148:AD148" si="50">SUM(K149:K153)</f>
        <v>0</v>
      </c>
      <c r="L148" s="55">
        <f t="shared" si="50"/>
        <v>0</v>
      </c>
      <c r="M148" s="55">
        <f t="shared" si="50"/>
        <v>0</v>
      </c>
      <c r="N148" s="55">
        <f t="shared" si="50"/>
        <v>0</v>
      </c>
      <c r="O148" s="55">
        <f t="shared" si="50"/>
        <v>0</v>
      </c>
      <c r="P148" s="55">
        <f t="shared" si="50"/>
        <v>0</v>
      </c>
      <c r="Q148" s="55">
        <f t="shared" si="50"/>
        <v>0</v>
      </c>
      <c r="R148" s="55">
        <f t="shared" si="50"/>
        <v>0</v>
      </c>
      <c r="S148" s="55">
        <f t="shared" si="50"/>
        <v>0</v>
      </c>
      <c r="T148" s="55">
        <f t="shared" si="50"/>
        <v>0</v>
      </c>
      <c r="U148" s="55">
        <f t="shared" si="50"/>
        <v>0</v>
      </c>
      <c r="V148" s="55">
        <f t="shared" si="50"/>
        <v>0</v>
      </c>
      <c r="W148" s="55">
        <f t="shared" si="50"/>
        <v>0</v>
      </c>
      <c r="X148" s="55">
        <f t="shared" si="50"/>
        <v>0</v>
      </c>
      <c r="Y148" s="55">
        <f t="shared" si="50"/>
        <v>0</v>
      </c>
      <c r="Z148" s="55">
        <f t="shared" si="50"/>
        <v>0</v>
      </c>
      <c r="AA148" s="55">
        <f t="shared" si="50"/>
        <v>0</v>
      </c>
      <c r="AB148" s="55">
        <f t="shared" si="50"/>
        <v>0</v>
      </c>
      <c r="AC148" s="55">
        <f t="shared" si="50"/>
        <v>0</v>
      </c>
      <c r="AD148" s="55">
        <f t="shared" si="50"/>
        <v>0</v>
      </c>
      <c r="AE148" s="82">
        <f t="shared" si="48"/>
        <v>0</v>
      </c>
    </row>
    <row r="149" spans="1:31" ht="18" hidden="1" customHeight="1">
      <c r="A149" s="86" t="s">
        <v>290</v>
      </c>
      <c r="B149" s="51"/>
      <c r="C149" s="677"/>
      <c r="D149" s="845">
        <f>C149*$C$148*$C$141</f>
        <v>0</v>
      </c>
      <c r="E149" s="678"/>
      <c r="F149" s="681"/>
      <c r="G149" s="681"/>
      <c r="H149" s="681"/>
      <c r="I149" s="856"/>
      <c r="J149" s="856"/>
      <c r="K149" s="681"/>
      <c r="L149" s="681"/>
      <c r="M149" s="681"/>
      <c r="N149" s="681"/>
      <c r="O149" s="681"/>
      <c r="P149" s="681"/>
      <c r="Q149" s="681"/>
      <c r="R149" s="681"/>
      <c r="S149" s="681"/>
      <c r="T149" s="681"/>
      <c r="U149" s="681"/>
      <c r="V149" s="681"/>
      <c r="W149" s="681"/>
      <c r="X149" s="681"/>
      <c r="Y149" s="681"/>
      <c r="Z149" s="681"/>
      <c r="AA149" s="681"/>
      <c r="AB149" s="681"/>
      <c r="AC149" s="681"/>
      <c r="AD149" s="681"/>
      <c r="AE149" s="82">
        <f t="shared" si="48"/>
        <v>0</v>
      </c>
    </row>
    <row r="150" spans="1:31" ht="18" hidden="1" customHeight="1">
      <c r="A150" s="86" t="s">
        <v>291</v>
      </c>
      <c r="B150" s="51"/>
      <c r="C150" s="677"/>
      <c r="D150" s="845">
        <f>C150*$C$148*$C$141</f>
        <v>0</v>
      </c>
      <c r="E150" s="678"/>
      <c r="F150" s="681"/>
      <c r="G150" s="681"/>
      <c r="H150" s="681"/>
      <c r="I150" s="856"/>
      <c r="J150" s="856"/>
      <c r="K150" s="681"/>
      <c r="L150" s="681"/>
      <c r="M150" s="681"/>
      <c r="N150" s="681"/>
      <c r="O150" s="681"/>
      <c r="P150" s="681"/>
      <c r="Q150" s="681"/>
      <c r="R150" s="681"/>
      <c r="S150" s="681"/>
      <c r="T150" s="681"/>
      <c r="U150" s="681"/>
      <c r="V150" s="681"/>
      <c r="W150" s="681"/>
      <c r="X150" s="681"/>
      <c r="Y150" s="681"/>
      <c r="Z150" s="681"/>
      <c r="AA150" s="681"/>
      <c r="AB150" s="681"/>
      <c r="AC150" s="681"/>
      <c r="AD150" s="681"/>
      <c r="AE150" s="82">
        <f t="shared" si="48"/>
        <v>0</v>
      </c>
    </row>
    <row r="151" spans="1:31" ht="18" hidden="1" customHeight="1">
      <c r="A151" s="86" t="s">
        <v>292</v>
      </c>
      <c r="B151" s="51"/>
      <c r="C151" s="677"/>
      <c r="D151" s="845">
        <f>C151*$C$148*$C$141</f>
        <v>0</v>
      </c>
      <c r="E151" s="678"/>
      <c r="F151" s="681"/>
      <c r="G151" s="681"/>
      <c r="H151" s="681"/>
      <c r="I151" s="856"/>
      <c r="J151" s="856"/>
      <c r="K151" s="681"/>
      <c r="L151" s="681"/>
      <c r="M151" s="681"/>
      <c r="N151" s="681"/>
      <c r="O151" s="681"/>
      <c r="P151" s="681"/>
      <c r="Q151" s="681"/>
      <c r="R151" s="681"/>
      <c r="S151" s="681"/>
      <c r="T151" s="681"/>
      <c r="U151" s="681"/>
      <c r="V151" s="681"/>
      <c r="W151" s="681"/>
      <c r="X151" s="681"/>
      <c r="Y151" s="681"/>
      <c r="Z151" s="681"/>
      <c r="AA151" s="681"/>
      <c r="AB151" s="681"/>
      <c r="AC151" s="681"/>
      <c r="AD151" s="681"/>
      <c r="AE151" s="82">
        <f t="shared" si="48"/>
        <v>0</v>
      </c>
    </row>
    <row r="152" spans="1:31" ht="18" hidden="1" customHeight="1">
      <c r="A152" s="86" t="s">
        <v>293</v>
      </c>
      <c r="B152" s="51"/>
      <c r="C152" s="677"/>
      <c r="D152" s="845">
        <f>C152*$C$148*$C$141</f>
        <v>0</v>
      </c>
      <c r="E152" s="678"/>
      <c r="F152" s="681"/>
      <c r="G152" s="681"/>
      <c r="H152" s="681"/>
      <c r="I152" s="856"/>
      <c r="J152" s="856"/>
      <c r="K152" s="681"/>
      <c r="L152" s="681"/>
      <c r="M152" s="681"/>
      <c r="N152" s="681"/>
      <c r="O152" s="681"/>
      <c r="P152" s="681"/>
      <c r="Q152" s="681"/>
      <c r="R152" s="681"/>
      <c r="S152" s="681"/>
      <c r="T152" s="681"/>
      <c r="U152" s="681"/>
      <c r="V152" s="681"/>
      <c r="W152" s="681"/>
      <c r="X152" s="681"/>
      <c r="Y152" s="681"/>
      <c r="Z152" s="681"/>
      <c r="AA152" s="681"/>
      <c r="AB152" s="681"/>
      <c r="AC152" s="681"/>
      <c r="AD152" s="681"/>
      <c r="AE152" s="82">
        <f t="shared" si="48"/>
        <v>0</v>
      </c>
    </row>
    <row r="153" spans="1:31" ht="18" hidden="1" customHeight="1">
      <c r="A153" s="86" t="s">
        <v>294</v>
      </c>
      <c r="B153" s="51"/>
      <c r="C153" s="677"/>
      <c r="D153" s="845">
        <f>C153*$C$148*$C$141</f>
        <v>0</v>
      </c>
      <c r="E153" s="678"/>
      <c r="F153" s="681"/>
      <c r="G153" s="681"/>
      <c r="H153" s="681"/>
      <c r="I153" s="856"/>
      <c r="J153" s="856"/>
      <c r="K153" s="681"/>
      <c r="L153" s="681"/>
      <c r="M153" s="681"/>
      <c r="N153" s="681"/>
      <c r="O153" s="681"/>
      <c r="P153" s="681"/>
      <c r="Q153" s="681"/>
      <c r="R153" s="681"/>
      <c r="S153" s="681"/>
      <c r="T153" s="681"/>
      <c r="U153" s="681"/>
      <c r="V153" s="681"/>
      <c r="W153" s="681"/>
      <c r="X153" s="681"/>
      <c r="Y153" s="681"/>
      <c r="Z153" s="681"/>
      <c r="AA153" s="681"/>
      <c r="AB153" s="681"/>
      <c r="AC153" s="681"/>
      <c r="AD153" s="681"/>
      <c r="AE153" s="82">
        <f t="shared" si="48"/>
        <v>0</v>
      </c>
    </row>
    <row r="154" spans="1:31" ht="18" hidden="1" customHeight="1">
      <c r="A154" s="85" t="s">
        <v>295</v>
      </c>
      <c r="B154" s="34"/>
      <c r="C154" s="35"/>
      <c r="D154" s="847"/>
      <c r="E154" s="36"/>
      <c r="F154" s="55"/>
      <c r="G154" s="55">
        <f>SUM(G155:G159)</f>
        <v>0</v>
      </c>
      <c r="H154" s="55">
        <f t="shared" ref="H154:I154" si="51">SUM(H155:H159)</f>
        <v>0</v>
      </c>
      <c r="I154" s="857">
        <f t="shared" si="51"/>
        <v>0</v>
      </c>
      <c r="J154" s="857">
        <f>SUM(J155:J159)</f>
        <v>0</v>
      </c>
      <c r="K154" s="55">
        <f t="shared" ref="K154:AD154" si="52">SUM(K155:K159)</f>
        <v>0</v>
      </c>
      <c r="L154" s="55">
        <f t="shared" si="52"/>
        <v>0</v>
      </c>
      <c r="M154" s="55">
        <f t="shared" si="52"/>
        <v>0</v>
      </c>
      <c r="N154" s="55">
        <f t="shared" si="52"/>
        <v>0</v>
      </c>
      <c r="O154" s="55">
        <f t="shared" si="52"/>
        <v>0</v>
      </c>
      <c r="P154" s="55">
        <f t="shared" si="52"/>
        <v>0</v>
      </c>
      <c r="Q154" s="55">
        <f t="shared" si="52"/>
        <v>0</v>
      </c>
      <c r="R154" s="55">
        <f t="shared" si="52"/>
        <v>0</v>
      </c>
      <c r="S154" s="55">
        <f t="shared" si="52"/>
        <v>0</v>
      </c>
      <c r="T154" s="55">
        <f t="shared" si="52"/>
        <v>0</v>
      </c>
      <c r="U154" s="55">
        <f t="shared" si="52"/>
        <v>0</v>
      </c>
      <c r="V154" s="55">
        <f t="shared" si="52"/>
        <v>0</v>
      </c>
      <c r="W154" s="55">
        <f t="shared" si="52"/>
        <v>0</v>
      </c>
      <c r="X154" s="55">
        <f t="shared" si="52"/>
        <v>0</v>
      </c>
      <c r="Y154" s="55">
        <f t="shared" si="52"/>
        <v>0</v>
      </c>
      <c r="Z154" s="55">
        <f t="shared" si="52"/>
        <v>0</v>
      </c>
      <c r="AA154" s="55">
        <f t="shared" si="52"/>
        <v>0</v>
      </c>
      <c r="AB154" s="55">
        <f t="shared" si="52"/>
        <v>0</v>
      </c>
      <c r="AC154" s="55">
        <f t="shared" si="52"/>
        <v>0</v>
      </c>
      <c r="AD154" s="55">
        <f t="shared" si="52"/>
        <v>0</v>
      </c>
      <c r="AE154" s="82">
        <f t="shared" si="48"/>
        <v>0</v>
      </c>
    </row>
    <row r="155" spans="1:31" ht="18" hidden="1" customHeight="1">
      <c r="A155" s="86" t="s">
        <v>296</v>
      </c>
      <c r="B155" s="51"/>
      <c r="C155" s="677"/>
      <c r="D155" s="845">
        <f>C155*$C$154*$C$141</f>
        <v>0</v>
      </c>
      <c r="E155" s="678"/>
      <c r="F155" s="681"/>
      <c r="G155" s="681"/>
      <c r="H155" s="681"/>
      <c r="I155" s="856"/>
      <c r="J155" s="856"/>
      <c r="K155" s="681"/>
      <c r="L155" s="681"/>
      <c r="M155" s="681"/>
      <c r="N155" s="681"/>
      <c r="O155" s="681"/>
      <c r="P155" s="681"/>
      <c r="Q155" s="681"/>
      <c r="R155" s="681"/>
      <c r="S155" s="681"/>
      <c r="T155" s="681"/>
      <c r="U155" s="681"/>
      <c r="V155" s="681"/>
      <c r="W155" s="681"/>
      <c r="X155" s="681"/>
      <c r="Y155" s="681"/>
      <c r="Z155" s="681"/>
      <c r="AA155" s="681"/>
      <c r="AB155" s="681"/>
      <c r="AC155" s="681"/>
      <c r="AD155" s="681"/>
      <c r="AE155" s="82">
        <f t="shared" si="48"/>
        <v>0</v>
      </c>
    </row>
    <row r="156" spans="1:31" ht="18" hidden="1" customHeight="1">
      <c r="A156" s="86" t="s">
        <v>297</v>
      </c>
      <c r="B156" s="51"/>
      <c r="C156" s="677"/>
      <c r="D156" s="845">
        <f>C156*$C$154*$C$141</f>
        <v>0</v>
      </c>
      <c r="E156" s="678"/>
      <c r="F156" s="681"/>
      <c r="G156" s="681"/>
      <c r="H156" s="681"/>
      <c r="I156" s="856"/>
      <c r="J156" s="856"/>
      <c r="K156" s="681"/>
      <c r="L156" s="681"/>
      <c r="M156" s="681"/>
      <c r="N156" s="681"/>
      <c r="O156" s="681"/>
      <c r="P156" s="681"/>
      <c r="Q156" s="681"/>
      <c r="R156" s="681"/>
      <c r="S156" s="681"/>
      <c r="T156" s="681"/>
      <c r="U156" s="681"/>
      <c r="V156" s="681"/>
      <c r="W156" s="681"/>
      <c r="X156" s="681"/>
      <c r="Y156" s="681"/>
      <c r="Z156" s="681"/>
      <c r="AA156" s="681"/>
      <c r="AB156" s="681"/>
      <c r="AC156" s="681"/>
      <c r="AD156" s="681"/>
      <c r="AE156" s="82">
        <f t="shared" si="48"/>
        <v>0</v>
      </c>
    </row>
    <row r="157" spans="1:31" ht="18" hidden="1" customHeight="1">
      <c r="A157" s="86" t="s">
        <v>298</v>
      </c>
      <c r="B157" s="51"/>
      <c r="C157" s="677"/>
      <c r="D157" s="845">
        <f>C157*$C$154*$C$141</f>
        <v>0</v>
      </c>
      <c r="E157" s="678"/>
      <c r="F157" s="681"/>
      <c r="G157" s="681"/>
      <c r="H157" s="681"/>
      <c r="I157" s="856"/>
      <c r="J157" s="856"/>
      <c r="K157" s="681"/>
      <c r="L157" s="681"/>
      <c r="M157" s="681"/>
      <c r="N157" s="681"/>
      <c r="O157" s="681"/>
      <c r="P157" s="681"/>
      <c r="Q157" s="681"/>
      <c r="R157" s="681"/>
      <c r="S157" s="681"/>
      <c r="T157" s="681"/>
      <c r="U157" s="681"/>
      <c r="V157" s="681"/>
      <c r="W157" s="681"/>
      <c r="X157" s="681"/>
      <c r="Y157" s="681"/>
      <c r="Z157" s="681"/>
      <c r="AA157" s="681"/>
      <c r="AB157" s="681"/>
      <c r="AC157" s="681"/>
      <c r="AD157" s="681"/>
      <c r="AE157" s="82">
        <f t="shared" si="48"/>
        <v>0</v>
      </c>
    </row>
    <row r="158" spans="1:31" ht="18" hidden="1" customHeight="1">
      <c r="A158" s="86" t="s">
        <v>299</v>
      </c>
      <c r="B158" s="51"/>
      <c r="C158" s="677"/>
      <c r="D158" s="845">
        <f>C158*$C$154*$C$141</f>
        <v>0</v>
      </c>
      <c r="E158" s="678"/>
      <c r="F158" s="681"/>
      <c r="G158" s="681"/>
      <c r="H158" s="681"/>
      <c r="I158" s="856"/>
      <c r="J158" s="856"/>
      <c r="K158" s="681"/>
      <c r="L158" s="681"/>
      <c r="M158" s="681"/>
      <c r="N158" s="681"/>
      <c r="O158" s="681"/>
      <c r="P158" s="681"/>
      <c r="Q158" s="681"/>
      <c r="R158" s="681"/>
      <c r="S158" s="681"/>
      <c r="T158" s="681"/>
      <c r="U158" s="681"/>
      <c r="V158" s="681"/>
      <c r="W158" s="681"/>
      <c r="X158" s="681"/>
      <c r="Y158" s="681"/>
      <c r="Z158" s="681"/>
      <c r="AA158" s="681"/>
      <c r="AB158" s="681"/>
      <c r="AC158" s="681"/>
      <c r="AD158" s="681"/>
      <c r="AE158" s="82">
        <f t="shared" si="48"/>
        <v>0</v>
      </c>
    </row>
    <row r="159" spans="1:31" ht="18" hidden="1" customHeight="1">
      <c r="A159" s="86" t="s">
        <v>300</v>
      </c>
      <c r="B159" s="51"/>
      <c r="C159" s="677"/>
      <c r="D159" s="845">
        <f>C159*$C$154*$C$141</f>
        <v>0</v>
      </c>
      <c r="E159" s="678"/>
      <c r="F159" s="681"/>
      <c r="G159" s="681"/>
      <c r="H159" s="681"/>
      <c r="I159" s="856"/>
      <c r="J159" s="856"/>
      <c r="K159" s="681"/>
      <c r="L159" s="681"/>
      <c r="M159" s="681"/>
      <c r="N159" s="681"/>
      <c r="O159" s="681"/>
      <c r="P159" s="681"/>
      <c r="Q159" s="681"/>
      <c r="R159" s="681"/>
      <c r="S159" s="681"/>
      <c r="T159" s="681"/>
      <c r="U159" s="681"/>
      <c r="V159" s="681"/>
      <c r="W159" s="681"/>
      <c r="X159" s="681"/>
      <c r="Y159" s="681"/>
      <c r="Z159" s="681"/>
      <c r="AA159" s="681"/>
      <c r="AB159" s="681"/>
      <c r="AC159" s="681"/>
      <c r="AD159" s="681"/>
      <c r="AE159" s="82">
        <f t="shared" si="48"/>
        <v>0</v>
      </c>
    </row>
    <row r="160" spans="1:31" ht="18" hidden="1" customHeight="1">
      <c r="A160" s="85" t="s">
        <v>301</v>
      </c>
      <c r="B160" s="34"/>
      <c r="C160" s="35"/>
      <c r="D160" s="847"/>
      <c r="E160" s="36"/>
      <c r="F160" s="55"/>
      <c r="G160" s="55">
        <f>SUM(G161:G165)</f>
        <v>0</v>
      </c>
      <c r="H160" s="55">
        <f>SUM(H161:H165)</f>
        <v>0</v>
      </c>
      <c r="I160" s="857">
        <f t="shared" ref="I160" si="53">SUM(I161:I165)</f>
        <v>0</v>
      </c>
      <c r="J160" s="857">
        <f>SUM(J161:J165)</f>
        <v>0</v>
      </c>
      <c r="K160" s="55">
        <f t="shared" ref="K160:AD160" si="54">SUM(K161:K165)</f>
        <v>0</v>
      </c>
      <c r="L160" s="55">
        <f t="shared" si="54"/>
        <v>0</v>
      </c>
      <c r="M160" s="55">
        <f t="shared" si="54"/>
        <v>0</v>
      </c>
      <c r="N160" s="55">
        <f t="shared" si="54"/>
        <v>0</v>
      </c>
      <c r="O160" s="55">
        <f t="shared" si="54"/>
        <v>0</v>
      </c>
      <c r="P160" s="55">
        <f t="shared" si="54"/>
        <v>0</v>
      </c>
      <c r="Q160" s="55">
        <f t="shared" si="54"/>
        <v>0</v>
      </c>
      <c r="R160" s="55">
        <f t="shared" si="54"/>
        <v>0</v>
      </c>
      <c r="S160" s="55">
        <f t="shared" si="54"/>
        <v>0</v>
      </c>
      <c r="T160" s="55">
        <f t="shared" si="54"/>
        <v>0</v>
      </c>
      <c r="U160" s="55">
        <f t="shared" si="54"/>
        <v>0</v>
      </c>
      <c r="V160" s="55">
        <f t="shared" si="54"/>
        <v>0</v>
      </c>
      <c r="W160" s="55">
        <f t="shared" si="54"/>
        <v>0</v>
      </c>
      <c r="X160" s="55">
        <f t="shared" si="54"/>
        <v>0</v>
      </c>
      <c r="Y160" s="55">
        <f t="shared" si="54"/>
        <v>0</v>
      </c>
      <c r="Z160" s="55">
        <f t="shared" si="54"/>
        <v>0</v>
      </c>
      <c r="AA160" s="55">
        <f t="shared" si="54"/>
        <v>0</v>
      </c>
      <c r="AB160" s="55">
        <f t="shared" si="54"/>
        <v>0</v>
      </c>
      <c r="AC160" s="55">
        <f t="shared" si="54"/>
        <v>0</v>
      </c>
      <c r="AD160" s="55">
        <f t="shared" si="54"/>
        <v>0</v>
      </c>
      <c r="AE160" s="82">
        <f t="shared" si="48"/>
        <v>0</v>
      </c>
    </row>
    <row r="161" spans="1:31" ht="18" hidden="1" customHeight="1">
      <c r="A161" s="86" t="s">
        <v>302</v>
      </c>
      <c r="B161" s="51"/>
      <c r="C161" s="677"/>
      <c r="D161" s="845">
        <f>C161*$C$160*$C$141</f>
        <v>0</v>
      </c>
      <c r="E161" s="678"/>
      <c r="F161" s="681"/>
      <c r="G161" s="681"/>
      <c r="H161" s="681"/>
      <c r="I161" s="856"/>
      <c r="J161" s="856"/>
      <c r="K161" s="681"/>
      <c r="L161" s="681"/>
      <c r="M161" s="681"/>
      <c r="N161" s="681"/>
      <c r="O161" s="681"/>
      <c r="P161" s="681"/>
      <c r="Q161" s="681"/>
      <c r="R161" s="681"/>
      <c r="S161" s="681"/>
      <c r="T161" s="681"/>
      <c r="U161" s="681"/>
      <c r="V161" s="681"/>
      <c r="W161" s="681"/>
      <c r="X161" s="681"/>
      <c r="Y161" s="681"/>
      <c r="Z161" s="681"/>
      <c r="AA161" s="681"/>
      <c r="AB161" s="681"/>
      <c r="AC161" s="681"/>
      <c r="AD161" s="681"/>
      <c r="AE161" s="82">
        <f t="shared" si="48"/>
        <v>0</v>
      </c>
    </row>
    <row r="162" spans="1:31" ht="18" hidden="1" customHeight="1">
      <c r="A162" s="86" t="s">
        <v>303</v>
      </c>
      <c r="B162" s="51"/>
      <c r="C162" s="677"/>
      <c r="D162" s="845">
        <f>C162*$C$160*$C$141</f>
        <v>0</v>
      </c>
      <c r="E162" s="678"/>
      <c r="F162" s="681"/>
      <c r="G162" s="681"/>
      <c r="H162" s="681"/>
      <c r="I162" s="856"/>
      <c r="J162" s="856"/>
      <c r="K162" s="681"/>
      <c r="L162" s="681"/>
      <c r="M162" s="681"/>
      <c r="N162" s="681"/>
      <c r="O162" s="681"/>
      <c r="P162" s="681"/>
      <c r="Q162" s="681"/>
      <c r="R162" s="681"/>
      <c r="S162" s="681"/>
      <c r="T162" s="681"/>
      <c r="U162" s="681"/>
      <c r="V162" s="681"/>
      <c r="W162" s="681"/>
      <c r="X162" s="681"/>
      <c r="Y162" s="681"/>
      <c r="Z162" s="681"/>
      <c r="AA162" s="681"/>
      <c r="AB162" s="681"/>
      <c r="AC162" s="681"/>
      <c r="AD162" s="681"/>
      <c r="AE162" s="82">
        <f t="shared" si="48"/>
        <v>0</v>
      </c>
    </row>
    <row r="163" spans="1:31" ht="18" hidden="1" customHeight="1">
      <c r="A163" s="86" t="s">
        <v>304</v>
      </c>
      <c r="B163" s="51"/>
      <c r="C163" s="677"/>
      <c r="D163" s="845">
        <f>C163*$C$160*$C$141</f>
        <v>0</v>
      </c>
      <c r="E163" s="678"/>
      <c r="F163" s="681"/>
      <c r="G163" s="681"/>
      <c r="H163" s="681"/>
      <c r="I163" s="856"/>
      <c r="J163" s="856"/>
      <c r="K163" s="681"/>
      <c r="L163" s="681"/>
      <c r="M163" s="681"/>
      <c r="N163" s="681"/>
      <c r="O163" s="681"/>
      <c r="P163" s="681"/>
      <c r="Q163" s="681"/>
      <c r="R163" s="681"/>
      <c r="S163" s="681"/>
      <c r="T163" s="681"/>
      <c r="U163" s="681"/>
      <c r="V163" s="681"/>
      <c r="W163" s="681"/>
      <c r="X163" s="681"/>
      <c r="Y163" s="681"/>
      <c r="Z163" s="681"/>
      <c r="AA163" s="681"/>
      <c r="AB163" s="681"/>
      <c r="AC163" s="681"/>
      <c r="AD163" s="681"/>
      <c r="AE163" s="82">
        <f t="shared" si="48"/>
        <v>0</v>
      </c>
    </row>
    <row r="164" spans="1:31" ht="18" hidden="1" customHeight="1">
      <c r="A164" s="86" t="s">
        <v>305</v>
      </c>
      <c r="B164" s="51"/>
      <c r="C164" s="677"/>
      <c r="D164" s="845">
        <f>C164*$C$160*$C$141</f>
        <v>0</v>
      </c>
      <c r="E164" s="678"/>
      <c r="F164" s="681"/>
      <c r="G164" s="681"/>
      <c r="H164" s="681"/>
      <c r="I164" s="856"/>
      <c r="J164" s="856"/>
      <c r="K164" s="681"/>
      <c r="L164" s="681"/>
      <c r="M164" s="681"/>
      <c r="N164" s="681"/>
      <c r="O164" s="681"/>
      <c r="P164" s="681"/>
      <c r="Q164" s="681"/>
      <c r="R164" s="681"/>
      <c r="S164" s="681"/>
      <c r="T164" s="681"/>
      <c r="U164" s="681"/>
      <c r="V164" s="681"/>
      <c r="W164" s="681"/>
      <c r="X164" s="681"/>
      <c r="Y164" s="681"/>
      <c r="Z164" s="681"/>
      <c r="AA164" s="681"/>
      <c r="AB164" s="681"/>
      <c r="AC164" s="681"/>
      <c r="AD164" s="681"/>
      <c r="AE164" s="82">
        <f t="shared" si="48"/>
        <v>0</v>
      </c>
    </row>
    <row r="165" spans="1:31" ht="18" hidden="1" customHeight="1">
      <c r="A165" s="86" t="s">
        <v>306</v>
      </c>
      <c r="B165" s="51"/>
      <c r="C165" s="677"/>
      <c r="D165" s="845">
        <f>C165*$C$160*$C$141</f>
        <v>0</v>
      </c>
      <c r="E165" s="678"/>
      <c r="F165" s="681"/>
      <c r="G165" s="681"/>
      <c r="H165" s="681"/>
      <c r="I165" s="856"/>
      <c r="J165" s="856"/>
      <c r="K165" s="681"/>
      <c r="L165" s="681"/>
      <c r="M165" s="681"/>
      <c r="N165" s="681"/>
      <c r="O165" s="681"/>
      <c r="P165" s="681"/>
      <c r="Q165" s="681"/>
      <c r="R165" s="681"/>
      <c r="S165" s="681"/>
      <c r="T165" s="681"/>
      <c r="U165" s="681"/>
      <c r="V165" s="681"/>
      <c r="W165" s="681"/>
      <c r="X165" s="681"/>
      <c r="Y165" s="681"/>
      <c r="Z165" s="681"/>
      <c r="AA165" s="681"/>
      <c r="AB165" s="681"/>
      <c r="AC165" s="681"/>
      <c r="AD165" s="681"/>
      <c r="AE165" s="82">
        <f t="shared" si="48"/>
        <v>0</v>
      </c>
    </row>
    <row r="166" spans="1:31" ht="18" hidden="1" customHeight="1">
      <c r="A166" s="85" t="s">
        <v>307</v>
      </c>
      <c r="B166" s="34"/>
      <c r="C166" s="35"/>
      <c r="D166" s="847"/>
      <c r="E166" s="36"/>
      <c r="F166" s="55"/>
      <c r="G166" s="55">
        <f>SUM(G167:G171)</f>
        <v>0</v>
      </c>
      <c r="H166" s="55">
        <f>SUM(H167:H171)</f>
        <v>0</v>
      </c>
      <c r="I166" s="857">
        <f t="shared" ref="I166" si="55">SUM(I167:I171)</f>
        <v>0</v>
      </c>
      <c r="J166" s="857">
        <f>SUM(J167:J171)</f>
        <v>0</v>
      </c>
      <c r="K166" s="55">
        <f t="shared" ref="K166:AD166" si="56">SUM(K167:K171)</f>
        <v>0</v>
      </c>
      <c r="L166" s="55">
        <f t="shared" si="56"/>
        <v>0</v>
      </c>
      <c r="M166" s="55">
        <f t="shared" si="56"/>
        <v>0</v>
      </c>
      <c r="N166" s="55">
        <f t="shared" si="56"/>
        <v>0</v>
      </c>
      <c r="O166" s="55">
        <f t="shared" si="56"/>
        <v>0</v>
      </c>
      <c r="P166" s="55">
        <f t="shared" si="56"/>
        <v>0</v>
      </c>
      <c r="Q166" s="55">
        <f t="shared" si="56"/>
        <v>0</v>
      </c>
      <c r="R166" s="55">
        <f t="shared" si="56"/>
        <v>0</v>
      </c>
      <c r="S166" s="55">
        <f t="shared" si="56"/>
        <v>0</v>
      </c>
      <c r="T166" s="55">
        <f t="shared" si="56"/>
        <v>0</v>
      </c>
      <c r="U166" s="55">
        <f t="shared" si="56"/>
        <v>0</v>
      </c>
      <c r="V166" s="55">
        <f t="shared" si="56"/>
        <v>0</v>
      </c>
      <c r="W166" s="55">
        <f t="shared" si="56"/>
        <v>0</v>
      </c>
      <c r="X166" s="55">
        <f t="shared" si="56"/>
        <v>0</v>
      </c>
      <c r="Y166" s="55">
        <f t="shared" si="56"/>
        <v>0</v>
      </c>
      <c r="Z166" s="55">
        <f t="shared" si="56"/>
        <v>0</v>
      </c>
      <c r="AA166" s="55">
        <f t="shared" si="56"/>
        <v>0</v>
      </c>
      <c r="AB166" s="55">
        <f t="shared" si="56"/>
        <v>0</v>
      </c>
      <c r="AC166" s="55">
        <f t="shared" si="56"/>
        <v>0</v>
      </c>
      <c r="AD166" s="55">
        <f t="shared" si="56"/>
        <v>0</v>
      </c>
      <c r="AE166" s="82">
        <f t="shared" si="48"/>
        <v>0</v>
      </c>
    </row>
    <row r="167" spans="1:31" ht="18" hidden="1" customHeight="1">
      <c r="A167" s="86" t="s">
        <v>308</v>
      </c>
      <c r="B167" s="51"/>
      <c r="C167" s="677"/>
      <c r="D167" s="845">
        <f>C167*$C$166*$C$141</f>
        <v>0</v>
      </c>
      <c r="E167" s="678"/>
      <c r="F167" s="681"/>
      <c r="G167" s="681"/>
      <c r="H167" s="681"/>
      <c r="I167" s="856"/>
      <c r="J167" s="856"/>
      <c r="K167" s="681"/>
      <c r="L167" s="681"/>
      <c r="M167" s="681"/>
      <c r="N167" s="681"/>
      <c r="O167" s="681"/>
      <c r="P167" s="681"/>
      <c r="Q167" s="681"/>
      <c r="R167" s="681"/>
      <c r="S167" s="681"/>
      <c r="T167" s="681"/>
      <c r="U167" s="681"/>
      <c r="V167" s="681"/>
      <c r="W167" s="681"/>
      <c r="X167" s="681"/>
      <c r="Y167" s="681"/>
      <c r="Z167" s="681"/>
      <c r="AA167" s="681"/>
      <c r="AB167" s="681"/>
      <c r="AC167" s="681"/>
      <c r="AD167" s="681"/>
      <c r="AE167" s="82">
        <f t="shared" si="48"/>
        <v>0</v>
      </c>
    </row>
    <row r="168" spans="1:31" ht="18" hidden="1" customHeight="1">
      <c r="A168" s="86" t="s">
        <v>309</v>
      </c>
      <c r="B168" s="51"/>
      <c r="C168" s="677"/>
      <c r="D168" s="845">
        <f>C168*$C$166*$C$141</f>
        <v>0</v>
      </c>
      <c r="E168" s="678"/>
      <c r="F168" s="681"/>
      <c r="G168" s="681"/>
      <c r="H168" s="681"/>
      <c r="I168" s="856"/>
      <c r="J168" s="856"/>
      <c r="K168" s="681"/>
      <c r="L168" s="681"/>
      <c r="M168" s="681"/>
      <c r="N168" s="681"/>
      <c r="O168" s="681"/>
      <c r="P168" s="681"/>
      <c r="Q168" s="681"/>
      <c r="R168" s="681"/>
      <c r="S168" s="681"/>
      <c r="T168" s="681"/>
      <c r="U168" s="681"/>
      <c r="V168" s="681"/>
      <c r="W168" s="681"/>
      <c r="X168" s="681"/>
      <c r="Y168" s="681"/>
      <c r="Z168" s="681"/>
      <c r="AA168" s="681"/>
      <c r="AB168" s="681"/>
      <c r="AC168" s="681"/>
      <c r="AD168" s="681"/>
      <c r="AE168" s="82">
        <f t="shared" si="48"/>
        <v>0</v>
      </c>
    </row>
    <row r="169" spans="1:31" ht="18" hidden="1" customHeight="1">
      <c r="A169" s="86" t="s">
        <v>310</v>
      </c>
      <c r="B169" s="51"/>
      <c r="C169" s="677"/>
      <c r="D169" s="845">
        <f>C169*$C$166*$C$141</f>
        <v>0</v>
      </c>
      <c r="E169" s="678"/>
      <c r="F169" s="681"/>
      <c r="G169" s="681"/>
      <c r="H169" s="681"/>
      <c r="I169" s="856"/>
      <c r="J169" s="856"/>
      <c r="K169" s="681"/>
      <c r="L169" s="681"/>
      <c r="M169" s="681"/>
      <c r="N169" s="681"/>
      <c r="O169" s="681"/>
      <c r="P169" s="681"/>
      <c r="Q169" s="681"/>
      <c r="R169" s="681"/>
      <c r="S169" s="681"/>
      <c r="T169" s="681"/>
      <c r="U169" s="681"/>
      <c r="V169" s="681"/>
      <c r="W169" s="681"/>
      <c r="X169" s="681"/>
      <c r="Y169" s="681"/>
      <c r="Z169" s="681"/>
      <c r="AA169" s="681"/>
      <c r="AB169" s="681"/>
      <c r="AC169" s="681"/>
      <c r="AD169" s="681"/>
      <c r="AE169" s="82">
        <f t="shared" si="48"/>
        <v>0</v>
      </c>
    </row>
    <row r="170" spans="1:31" ht="18" hidden="1" customHeight="1">
      <c r="A170" s="86" t="s">
        <v>311</v>
      </c>
      <c r="B170" s="51"/>
      <c r="C170" s="677"/>
      <c r="D170" s="845">
        <f>C170*$C$166*$C$141</f>
        <v>0</v>
      </c>
      <c r="E170" s="678"/>
      <c r="F170" s="681"/>
      <c r="G170" s="681"/>
      <c r="H170" s="681"/>
      <c r="I170" s="856"/>
      <c r="J170" s="856"/>
      <c r="K170" s="681"/>
      <c r="L170" s="681"/>
      <c r="M170" s="681"/>
      <c r="N170" s="681"/>
      <c r="O170" s="681"/>
      <c r="P170" s="681"/>
      <c r="Q170" s="681"/>
      <c r="R170" s="681"/>
      <c r="S170" s="681"/>
      <c r="T170" s="681"/>
      <c r="U170" s="681"/>
      <c r="V170" s="681"/>
      <c r="W170" s="681"/>
      <c r="X170" s="681"/>
      <c r="Y170" s="681"/>
      <c r="Z170" s="681"/>
      <c r="AA170" s="681"/>
      <c r="AB170" s="681"/>
      <c r="AC170" s="681"/>
      <c r="AD170" s="681"/>
      <c r="AE170" s="82">
        <f t="shared" si="48"/>
        <v>0</v>
      </c>
    </row>
    <row r="171" spans="1:31" ht="18" hidden="1" customHeight="1">
      <c r="A171" s="86" t="s">
        <v>312</v>
      </c>
      <c r="B171" s="51"/>
      <c r="C171" s="677"/>
      <c r="D171" s="845">
        <f>C171*$C$166*$C$141</f>
        <v>0</v>
      </c>
      <c r="E171" s="678"/>
      <c r="F171" s="681"/>
      <c r="G171" s="681"/>
      <c r="H171" s="681"/>
      <c r="I171" s="856"/>
      <c r="J171" s="856"/>
      <c r="K171" s="681"/>
      <c r="L171" s="681"/>
      <c r="M171" s="681"/>
      <c r="N171" s="681"/>
      <c r="O171" s="681"/>
      <c r="P171" s="681"/>
      <c r="Q171" s="681"/>
      <c r="R171" s="681"/>
      <c r="S171" s="681"/>
      <c r="T171" s="681"/>
      <c r="U171" s="681"/>
      <c r="V171" s="681"/>
      <c r="W171" s="681"/>
      <c r="X171" s="681"/>
      <c r="Y171" s="681"/>
      <c r="Z171" s="681"/>
      <c r="AA171" s="681"/>
      <c r="AB171" s="681"/>
      <c r="AC171" s="681"/>
      <c r="AD171" s="681"/>
      <c r="AE171" s="82">
        <f t="shared" si="48"/>
        <v>0</v>
      </c>
    </row>
    <row r="172" spans="1:31" ht="18" hidden="1" customHeight="1">
      <c r="A172" s="84" t="s">
        <v>313</v>
      </c>
      <c r="B172" s="37"/>
      <c r="C172" s="38"/>
      <c r="D172" s="846"/>
      <c r="E172" s="39"/>
      <c r="F172" s="54"/>
      <c r="G172" s="54">
        <f>G173+G179+G185+G191+G197</f>
        <v>0</v>
      </c>
      <c r="H172" s="54">
        <f t="shared" ref="H172:R172" si="57">H173+H179+H185+H191+H197</f>
        <v>0</v>
      </c>
      <c r="I172" s="461">
        <f t="shared" si="57"/>
        <v>0</v>
      </c>
      <c r="J172" s="461">
        <f t="shared" si="57"/>
        <v>0</v>
      </c>
      <c r="K172" s="54">
        <f t="shared" si="57"/>
        <v>0</v>
      </c>
      <c r="L172" s="54">
        <f t="shared" si="57"/>
        <v>0</v>
      </c>
      <c r="M172" s="54">
        <f t="shared" si="57"/>
        <v>0</v>
      </c>
      <c r="N172" s="54">
        <f>N173+N179+N185+N191+N197</f>
        <v>0</v>
      </c>
      <c r="O172" s="54">
        <f t="shared" si="57"/>
        <v>0</v>
      </c>
      <c r="P172" s="54">
        <f t="shared" si="57"/>
        <v>0</v>
      </c>
      <c r="Q172" s="54">
        <f t="shared" si="57"/>
        <v>0</v>
      </c>
      <c r="R172" s="54">
        <f t="shared" si="57"/>
        <v>0</v>
      </c>
      <c r="S172" s="54">
        <f t="shared" ref="S172:AD172" si="58">S173+S179+S185</f>
        <v>0</v>
      </c>
      <c r="T172" s="54">
        <f t="shared" si="58"/>
        <v>0</v>
      </c>
      <c r="U172" s="54">
        <f t="shared" si="58"/>
        <v>0</v>
      </c>
      <c r="V172" s="54">
        <f t="shared" si="58"/>
        <v>0</v>
      </c>
      <c r="W172" s="54">
        <f t="shared" si="58"/>
        <v>0</v>
      </c>
      <c r="X172" s="54">
        <f t="shared" si="58"/>
        <v>0</v>
      </c>
      <c r="Y172" s="54">
        <f t="shared" si="58"/>
        <v>0</v>
      </c>
      <c r="Z172" s="54">
        <f t="shared" si="58"/>
        <v>0</v>
      </c>
      <c r="AA172" s="54">
        <f t="shared" si="58"/>
        <v>0</v>
      </c>
      <c r="AB172" s="54">
        <f t="shared" si="58"/>
        <v>0</v>
      </c>
      <c r="AC172" s="54">
        <f t="shared" si="58"/>
        <v>0</v>
      </c>
      <c r="AD172" s="54">
        <f t="shared" si="58"/>
        <v>0</v>
      </c>
      <c r="AE172" s="82">
        <f t="shared" ref="AE172:AE175" si="59">F172-SUM(G172:AD172)</f>
        <v>0</v>
      </c>
    </row>
    <row r="173" spans="1:31" ht="18" hidden="1" customHeight="1">
      <c r="A173" s="85" t="s">
        <v>314</v>
      </c>
      <c r="B173" s="34"/>
      <c r="C173" s="35"/>
      <c r="D173" s="847"/>
      <c r="E173" s="36"/>
      <c r="F173" s="55"/>
      <c r="G173" s="55">
        <f>SUM(G174:G178)</f>
        <v>0</v>
      </c>
      <c r="H173" s="55">
        <f t="shared" ref="H173" si="60">SUM(H174:H178)</f>
        <v>0</v>
      </c>
      <c r="I173" s="857">
        <f>SUM(I174:I178)</f>
        <v>0</v>
      </c>
      <c r="J173" s="857">
        <f t="shared" ref="J173:AD173" si="61">SUM(J174:J178)</f>
        <v>0</v>
      </c>
      <c r="K173" s="55">
        <f t="shared" si="61"/>
        <v>0</v>
      </c>
      <c r="L173" s="55">
        <f t="shared" si="61"/>
        <v>0</v>
      </c>
      <c r="M173" s="55">
        <f t="shared" si="61"/>
        <v>0</v>
      </c>
      <c r="N173" s="55">
        <f t="shared" si="61"/>
        <v>0</v>
      </c>
      <c r="O173" s="55">
        <f t="shared" si="61"/>
        <v>0</v>
      </c>
      <c r="P173" s="55">
        <f t="shared" si="61"/>
        <v>0</v>
      </c>
      <c r="Q173" s="55">
        <f t="shared" si="61"/>
        <v>0</v>
      </c>
      <c r="R173" s="55">
        <f t="shared" si="61"/>
        <v>0</v>
      </c>
      <c r="S173" s="55">
        <f t="shared" si="61"/>
        <v>0</v>
      </c>
      <c r="T173" s="55">
        <f t="shared" si="61"/>
        <v>0</v>
      </c>
      <c r="U173" s="55">
        <f t="shared" si="61"/>
        <v>0</v>
      </c>
      <c r="V173" s="55">
        <f t="shared" si="61"/>
        <v>0</v>
      </c>
      <c r="W173" s="55">
        <f t="shared" si="61"/>
        <v>0</v>
      </c>
      <c r="X173" s="55">
        <f t="shared" si="61"/>
        <v>0</v>
      </c>
      <c r="Y173" s="55">
        <f t="shared" si="61"/>
        <v>0</v>
      </c>
      <c r="Z173" s="55">
        <f t="shared" si="61"/>
        <v>0</v>
      </c>
      <c r="AA173" s="55">
        <f t="shared" si="61"/>
        <v>0</v>
      </c>
      <c r="AB173" s="55">
        <f t="shared" si="61"/>
        <v>0</v>
      </c>
      <c r="AC173" s="55">
        <f t="shared" si="61"/>
        <v>0</v>
      </c>
      <c r="AD173" s="55">
        <f t="shared" si="61"/>
        <v>0</v>
      </c>
      <c r="AE173" s="82">
        <f t="shared" si="59"/>
        <v>0</v>
      </c>
    </row>
    <row r="174" spans="1:31" ht="18" hidden="1" customHeight="1">
      <c r="A174" s="86" t="s">
        <v>315</v>
      </c>
      <c r="B174" s="51"/>
      <c r="C174" s="677"/>
      <c r="D174" s="845">
        <f>C174*$C$173*$C$172</f>
        <v>0</v>
      </c>
      <c r="E174" s="678"/>
      <c r="F174" s="681"/>
      <c r="G174" s="681"/>
      <c r="H174" s="681"/>
      <c r="I174" s="856"/>
      <c r="J174" s="856"/>
      <c r="K174" s="681"/>
      <c r="L174" s="681"/>
      <c r="M174" s="681"/>
      <c r="N174" s="681"/>
      <c r="O174" s="681"/>
      <c r="P174" s="681"/>
      <c r="Q174" s="681"/>
      <c r="R174" s="681"/>
      <c r="S174" s="681"/>
      <c r="T174" s="681"/>
      <c r="U174" s="681"/>
      <c r="V174" s="681"/>
      <c r="W174" s="681"/>
      <c r="X174" s="681"/>
      <c r="Y174" s="681"/>
      <c r="Z174" s="681"/>
      <c r="AA174" s="681"/>
      <c r="AB174" s="681"/>
      <c r="AC174" s="681"/>
      <c r="AD174" s="681"/>
      <c r="AE174" s="82">
        <f t="shared" si="59"/>
        <v>0</v>
      </c>
    </row>
    <row r="175" spans="1:31" ht="18" hidden="1" customHeight="1">
      <c r="A175" s="86" t="s">
        <v>316</v>
      </c>
      <c r="B175" s="51"/>
      <c r="C175" s="677"/>
      <c r="D175" s="845">
        <f>C175*$C$173*$C$172</f>
        <v>0</v>
      </c>
      <c r="E175" s="678"/>
      <c r="F175" s="681"/>
      <c r="G175" s="681"/>
      <c r="H175" s="681"/>
      <c r="I175" s="856"/>
      <c r="J175" s="856"/>
      <c r="K175" s="681"/>
      <c r="L175" s="681"/>
      <c r="M175" s="681"/>
      <c r="N175" s="681"/>
      <c r="O175" s="681"/>
      <c r="P175" s="681"/>
      <c r="Q175" s="681"/>
      <c r="R175" s="681"/>
      <c r="S175" s="681"/>
      <c r="T175" s="681"/>
      <c r="U175" s="681"/>
      <c r="V175" s="681"/>
      <c r="W175" s="681"/>
      <c r="X175" s="681"/>
      <c r="Y175" s="681"/>
      <c r="Z175" s="681"/>
      <c r="AA175" s="681"/>
      <c r="AB175" s="681"/>
      <c r="AC175" s="681"/>
      <c r="AD175" s="681"/>
      <c r="AE175" s="82">
        <f t="shared" si="59"/>
        <v>0</v>
      </c>
    </row>
    <row r="176" spans="1:31" ht="18" hidden="1" customHeight="1">
      <c r="A176" s="86" t="s">
        <v>317</v>
      </c>
      <c r="B176" s="51"/>
      <c r="C176" s="677"/>
      <c r="D176" s="845">
        <f>C176*$C$173*$C$172</f>
        <v>0</v>
      </c>
      <c r="E176" s="678"/>
      <c r="F176" s="681"/>
      <c r="G176" s="681"/>
      <c r="H176" s="681"/>
      <c r="I176" s="856"/>
      <c r="J176" s="856"/>
      <c r="K176" s="681"/>
      <c r="L176" s="681"/>
      <c r="M176" s="681"/>
      <c r="N176" s="681"/>
      <c r="O176" s="681"/>
      <c r="P176" s="681"/>
      <c r="Q176" s="681"/>
      <c r="R176" s="681"/>
      <c r="S176" s="681"/>
      <c r="T176" s="681"/>
      <c r="U176" s="681"/>
      <c r="V176" s="681"/>
      <c r="W176" s="681"/>
      <c r="X176" s="681"/>
      <c r="Y176" s="681"/>
      <c r="Z176" s="681"/>
      <c r="AA176" s="681"/>
      <c r="AB176" s="681"/>
      <c r="AC176" s="681"/>
      <c r="AD176" s="681"/>
      <c r="AE176" s="82">
        <f t="shared" ref="AE176:AE202" si="62">F176-SUM(G176:AD176)</f>
        <v>0</v>
      </c>
    </row>
    <row r="177" spans="1:31" ht="18" hidden="1" customHeight="1">
      <c r="A177" s="86" t="s">
        <v>318</v>
      </c>
      <c r="B177" s="51"/>
      <c r="C177" s="677"/>
      <c r="D177" s="845">
        <f>C177*$C$173*$C$172</f>
        <v>0</v>
      </c>
      <c r="E177" s="678"/>
      <c r="F177" s="681"/>
      <c r="G177" s="681"/>
      <c r="H177" s="681"/>
      <c r="I177" s="856"/>
      <c r="J177" s="856"/>
      <c r="K177" s="681"/>
      <c r="L177" s="681"/>
      <c r="M177" s="681"/>
      <c r="N177" s="681"/>
      <c r="O177" s="681"/>
      <c r="P177" s="681"/>
      <c r="Q177" s="681"/>
      <c r="R177" s="681"/>
      <c r="S177" s="681"/>
      <c r="T177" s="681"/>
      <c r="U177" s="681"/>
      <c r="V177" s="681"/>
      <c r="W177" s="681"/>
      <c r="X177" s="681"/>
      <c r="Y177" s="681"/>
      <c r="Z177" s="681"/>
      <c r="AA177" s="681"/>
      <c r="AB177" s="681"/>
      <c r="AC177" s="681"/>
      <c r="AD177" s="681"/>
      <c r="AE177" s="82">
        <f t="shared" si="62"/>
        <v>0</v>
      </c>
    </row>
    <row r="178" spans="1:31" ht="18" hidden="1" customHeight="1">
      <c r="A178" s="86" t="s">
        <v>319</v>
      </c>
      <c r="B178" s="51"/>
      <c r="C178" s="677"/>
      <c r="D178" s="845">
        <f>C178*$C$173*$C$172</f>
        <v>0</v>
      </c>
      <c r="E178" s="678"/>
      <c r="F178" s="681"/>
      <c r="G178" s="681"/>
      <c r="H178" s="681"/>
      <c r="I178" s="856"/>
      <c r="J178" s="856"/>
      <c r="K178" s="681"/>
      <c r="L178" s="681"/>
      <c r="M178" s="681"/>
      <c r="N178" s="681"/>
      <c r="O178" s="681"/>
      <c r="P178" s="681"/>
      <c r="Q178" s="681"/>
      <c r="R178" s="681"/>
      <c r="S178" s="681"/>
      <c r="T178" s="681"/>
      <c r="U178" s="681"/>
      <c r="V178" s="681"/>
      <c r="W178" s="681"/>
      <c r="X178" s="681"/>
      <c r="Y178" s="681"/>
      <c r="Z178" s="681"/>
      <c r="AA178" s="681"/>
      <c r="AB178" s="681"/>
      <c r="AC178" s="681"/>
      <c r="AD178" s="681"/>
      <c r="AE178" s="82">
        <f t="shared" si="62"/>
        <v>0</v>
      </c>
    </row>
    <row r="179" spans="1:31" ht="18" hidden="1" customHeight="1">
      <c r="A179" s="85" t="s">
        <v>320</v>
      </c>
      <c r="B179" s="34"/>
      <c r="C179" s="35"/>
      <c r="D179" s="847"/>
      <c r="E179" s="36"/>
      <c r="F179" s="55"/>
      <c r="G179" s="55">
        <f>SUM(G180:G184)</f>
        <v>0</v>
      </c>
      <c r="H179" s="55">
        <f t="shared" ref="H179:I179" si="63">SUM(H180:H184)</f>
        <v>0</v>
      </c>
      <c r="I179" s="857">
        <f t="shared" si="63"/>
        <v>0</v>
      </c>
      <c r="J179" s="857">
        <f>SUM(J180:J184)</f>
        <v>0</v>
      </c>
      <c r="K179" s="55">
        <f t="shared" ref="K179:AD179" si="64">SUM(K180:K184)</f>
        <v>0</v>
      </c>
      <c r="L179" s="55">
        <f t="shared" si="64"/>
        <v>0</v>
      </c>
      <c r="M179" s="55">
        <f t="shared" si="64"/>
        <v>0</v>
      </c>
      <c r="N179" s="55">
        <f t="shared" si="64"/>
        <v>0</v>
      </c>
      <c r="O179" s="55">
        <f t="shared" si="64"/>
        <v>0</v>
      </c>
      <c r="P179" s="55">
        <f t="shared" si="64"/>
        <v>0</v>
      </c>
      <c r="Q179" s="55">
        <f t="shared" si="64"/>
        <v>0</v>
      </c>
      <c r="R179" s="55">
        <f t="shared" si="64"/>
        <v>0</v>
      </c>
      <c r="S179" s="55">
        <f t="shared" si="64"/>
        <v>0</v>
      </c>
      <c r="T179" s="55">
        <f t="shared" si="64"/>
        <v>0</v>
      </c>
      <c r="U179" s="55">
        <f t="shared" si="64"/>
        <v>0</v>
      </c>
      <c r="V179" s="55">
        <f t="shared" si="64"/>
        <v>0</v>
      </c>
      <c r="W179" s="55">
        <f t="shared" si="64"/>
        <v>0</v>
      </c>
      <c r="X179" s="55">
        <f t="shared" si="64"/>
        <v>0</v>
      </c>
      <c r="Y179" s="55">
        <f t="shared" si="64"/>
        <v>0</v>
      </c>
      <c r="Z179" s="55">
        <f t="shared" si="64"/>
        <v>0</v>
      </c>
      <c r="AA179" s="55">
        <f t="shared" si="64"/>
        <v>0</v>
      </c>
      <c r="AB179" s="55">
        <f t="shared" si="64"/>
        <v>0</v>
      </c>
      <c r="AC179" s="55">
        <f t="shared" si="64"/>
        <v>0</v>
      </c>
      <c r="AD179" s="55">
        <f t="shared" si="64"/>
        <v>0</v>
      </c>
      <c r="AE179" s="82">
        <f t="shared" si="62"/>
        <v>0</v>
      </c>
    </row>
    <row r="180" spans="1:31" ht="18" hidden="1" customHeight="1">
      <c r="A180" s="86" t="s">
        <v>321</v>
      </c>
      <c r="B180" s="51"/>
      <c r="C180" s="677"/>
      <c r="D180" s="845">
        <f>C180*$C$179*$C$172</f>
        <v>0</v>
      </c>
      <c r="E180" s="678"/>
      <c r="F180" s="681"/>
      <c r="G180" s="681"/>
      <c r="H180" s="681"/>
      <c r="I180" s="856"/>
      <c r="J180" s="856"/>
      <c r="K180" s="681"/>
      <c r="L180" s="681"/>
      <c r="M180" s="681"/>
      <c r="N180" s="681"/>
      <c r="O180" s="681"/>
      <c r="P180" s="681"/>
      <c r="Q180" s="681"/>
      <c r="R180" s="681"/>
      <c r="S180" s="681"/>
      <c r="T180" s="681"/>
      <c r="U180" s="681"/>
      <c r="V180" s="681"/>
      <c r="W180" s="681"/>
      <c r="X180" s="681"/>
      <c r="Y180" s="681"/>
      <c r="Z180" s="681"/>
      <c r="AA180" s="681"/>
      <c r="AB180" s="681"/>
      <c r="AC180" s="681"/>
      <c r="AD180" s="681"/>
      <c r="AE180" s="82">
        <f t="shared" si="62"/>
        <v>0</v>
      </c>
    </row>
    <row r="181" spans="1:31" ht="18" hidden="1" customHeight="1">
      <c r="A181" s="86" t="s">
        <v>322</v>
      </c>
      <c r="B181" s="51"/>
      <c r="C181" s="677"/>
      <c r="D181" s="845">
        <f t="shared" ref="D181:D183" si="65">C181*$C$179*$C$172</f>
        <v>0</v>
      </c>
      <c r="E181" s="678"/>
      <c r="F181" s="681"/>
      <c r="G181" s="681"/>
      <c r="H181" s="681"/>
      <c r="I181" s="856"/>
      <c r="J181" s="856"/>
      <c r="K181" s="681"/>
      <c r="L181" s="681"/>
      <c r="M181" s="681"/>
      <c r="N181" s="681"/>
      <c r="O181" s="681"/>
      <c r="P181" s="681"/>
      <c r="Q181" s="681"/>
      <c r="R181" s="681"/>
      <c r="S181" s="681"/>
      <c r="T181" s="681"/>
      <c r="U181" s="681"/>
      <c r="V181" s="681"/>
      <c r="W181" s="681"/>
      <c r="X181" s="681"/>
      <c r="Y181" s="681"/>
      <c r="Z181" s="681"/>
      <c r="AA181" s="681"/>
      <c r="AB181" s="681"/>
      <c r="AC181" s="681"/>
      <c r="AD181" s="681"/>
      <c r="AE181" s="82">
        <f t="shared" si="62"/>
        <v>0</v>
      </c>
    </row>
    <row r="182" spans="1:31" ht="18" hidden="1" customHeight="1">
      <c r="A182" s="86" t="s">
        <v>323</v>
      </c>
      <c r="B182" s="51"/>
      <c r="C182" s="677"/>
      <c r="D182" s="845">
        <f t="shared" si="65"/>
        <v>0</v>
      </c>
      <c r="E182" s="678"/>
      <c r="F182" s="681"/>
      <c r="G182" s="681"/>
      <c r="H182" s="681"/>
      <c r="I182" s="856"/>
      <c r="J182" s="856"/>
      <c r="K182" s="681"/>
      <c r="L182" s="681"/>
      <c r="M182" s="681"/>
      <c r="N182" s="681"/>
      <c r="O182" s="681"/>
      <c r="P182" s="681"/>
      <c r="Q182" s="681"/>
      <c r="R182" s="681"/>
      <c r="S182" s="681"/>
      <c r="T182" s="681"/>
      <c r="U182" s="681"/>
      <c r="V182" s="681"/>
      <c r="W182" s="681"/>
      <c r="X182" s="681"/>
      <c r="Y182" s="681"/>
      <c r="Z182" s="681"/>
      <c r="AA182" s="681"/>
      <c r="AB182" s="681"/>
      <c r="AC182" s="681"/>
      <c r="AD182" s="681"/>
      <c r="AE182" s="82">
        <f t="shared" si="62"/>
        <v>0</v>
      </c>
    </row>
    <row r="183" spans="1:31" ht="18" hidden="1" customHeight="1">
      <c r="A183" s="86" t="s">
        <v>324</v>
      </c>
      <c r="B183" s="51"/>
      <c r="C183" s="677"/>
      <c r="D183" s="845">
        <f t="shared" si="65"/>
        <v>0</v>
      </c>
      <c r="E183" s="678"/>
      <c r="F183" s="681"/>
      <c r="G183" s="681"/>
      <c r="H183" s="681"/>
      <c r="I183" s="856"/>
      <c r="J183" s="856"/>
      <c r="K183" s="681"/>
      <c r="L183" s="681"/>
      <c r="M183" s="681"/>
      <c r="N183" s="681"/>
      <c r="O183" s="681"/>
      <c r="P183" s="681"/>
      <c r="Q183" s="681"/>
      <c r="R183" s="681"/>
      <c r="S183" s="681"/>
      <c r="T183" s="681"/>
      <c r="U183" s="681"/>
      <c r="V183" s="681"/>
      <c r="W183" s="681"/>
      <c r="X183" s="681"/>
      <c r="Y183" s="681"/>
      <c r="Z183" s="681"/>
      <c r="AA183" s="681"/>
      <c r="AB183" s="681"/>
      <c r="AC183" s="681"/>
      <c r="AD183" s="681"/>
      <c r="AE183" s="82">
        <f t="shared" si="62"/>
        <v>0</v>
      </c>
    </row>
    <row r="184" spans="1:31" ht="18" hidden="1" customHeight="1">
      <c r="A184" s="86" t="s">
        <v>325</v>
      </c>
      <c r="B184" s="51"/>
      <c r="C184" s="677"/>
      <c r="D184" s="845">
        <f>C184*$C$179*$C$172</f>
        <v>0</v>
      </c>
      <c r="E184" s="678"/>
      <c r="F184" s="681"/>
      <c r="G184" s="681"/>
      <c r="H184" s="681"/>
      <c r="I184" s="856"/>
      <c r="J184" s="856"/>
      <c r="K184" s="681"/>
      <c r="L184" s="681"/>
      <c r="M184" s="681"/>
      <c r="N184" s="681"/>
      <c r="O184" s="681"/>
      <c r="P184" s="681"/>
      <c r="Q184" s="681"/>
      <c r="R184" s="681"/>
      <c r="S184" s="681"/>
      <c r="T184" s="681"/>
      <c r="U184" s="681"/>
      <c r="V184" s="681"/>
      <c r="W184" s="681"/>
      <c r="X184" s="681"/>
      <c r="Y184" s="681"/>
      <c r="Z184" s="681"/>
      <c r="AA184" s="681"/>
      <c r="AB184" s="681"/>
      <c r="AC184" s="681"/>
      <c r="AD184" s="681"/>
      <c r="AE184" s="82">
        <f t="shared" si="62"/>
        <v>0</v>
      </c>
    </row>
    <row r="185" spans="1:31" ht="18" hidden="1" customHeight="1">
      <c r="A185" s="85" t="s">
        <v>326</v>
      </c>
      <c r="B185" s="34"/>
      <c r="C185" s="35"/>
      <c r="D185" s="847"/>
      <c r="E185" s="36"/>
      <c r="F185" s="55"/>
      <c r="G185" s="55">
        <f>SUM(G186:G190)</f>
        <v>0</v>
      </c>
      <c r="H185" s="55">
        <f t="shared" ref="H185:I185" si="66">SUM(H186:H190)</f>
        <v>0</v>
      </c>
      <c r="I185" s="857">
        <f t="shared" si="66"/>
        <v>0</v>
      </c>
      <c r="J185" s="857">
        <f>SUM(J186:J190)</f>
        <v>0</v>
      </c>
      <c r="K185" s="55">
        <f t="shared" ref="K185:AD185" si="67">SUM(K186:K190)</f>
        <v>0</v>
      </c>
      <c r="L185" s="55">
        <f t="shared" si="67"/>
        <v>0</v>
      </c>
      <c r="M185" s="55">
        <f t="shared" si="67"/>
        <v>0</v>
      </c>
      <c r="N185" s="55">
        <f t="shared" si="67"/>
        <v>0</v>
      </c>
      <c r="O185" s="55">
        <f t="shared" si="67"/>
        <v>0</v>
      </c>
      <c r="P185" s="55">
        <f t="shared" si="67"/>
        <v>0</v>
      </c>
      <c r="Q185" s="55">
        <f t="shared" si="67"/>
        <v>0</v>
      </c>
      <c r="R185" s="55">
        <f t="shared" si="67"/>
        <v>0</v>
      </c>
      <c r="S185" s="55">
        <f t="shared" si="67"/>
        <v>0</v>
      </c>
      <c r="T185" s="55">
        <f t="shared" si="67"/>
        <v>0</v>
      </c>
      <c r="U185" s="55">
        <f t="shared" si="67"/>
        <v>0</v>
      </c>
      <c r="V185" s="55">
        <f t="shared" si="67"/>
        <v>0</v>
      </c>
      <c r="W185" s="55">
        <f t="shared" si="67"/>
        <v>0</v>
      </c>
      <c r="X185" s="55">
        <f t="shared" si="67"/>
        <v>0</v>
      </c>
      <c r="Y185" s="55">
        <f t="shared" si="67"/>
        <v>0</v>
      </c>
      <c r="Z185" s="55">
        <f t="shared" si="67"/>
        <v>0</v>
      </c>
      <c r="AA185" s="55">
        <f t="shared" si="67"/>
        <v>0</v>
      </c>
      <c r="AB185" s="55">
        <f t="shared" si="67"/>
        <v>0</v>
      </c>
      <c r="AC185" s="55">
        <f t="shared" si="67"/>
        <v>0</v>
      </c>
      <c r="AD185" s="55">
        <f t="shared" si="67"/>
        <v>0</v>
      </c>
      <c r="AE185" s="82">
        <f t="shared" si="62"/>
        <v>0</v>
      </c>
    </row>
    <row r="186" spans="1:31" ht="18" hidden="1" customHeight="1">
      <c r="A186" s="86" t="s">
        <v>327</v>
      </c>
      <c r="B186" s="51"/>
      <c r="C186" s="677"/>
      <c r="D186" s="845">
        <f>C186*$C$185*$C$172</f>
        <v>0</v>
      </c>
      <c r="E186" s="678"/>
      <c r="F186" s="681"/>
      <c r="G186" s="681"/>
      <c r="H186" s="681"/>
      <c r="I186" s="856"/>
      <c r="J186" s="856"/>
      <c r="K186" s="681"/>
      <c r="L186" s="681"/>
      <c r="M186" s="681"/>
      <c r="N186" s="681"/>
      <c r="O186" s="681"/>
      <c r="P186" s="681"/>
      <c r="Q186" s="681"/>
      <c r="R186" s="681"/>
      <c r="S186" s="681"/>
      <c r="T186" s="681"/>
      <c r="U186" s="681"/>
      <c r="V186" s="681"/>
      <c r="W186" s="681"/>
      <c r="X186" s="681"/>
      <c r="Y186" s="681"/>
      <c r="Z186" s="681"/>
      <c r="AA186" s="681"/>
      <c r="AB186" s="681"/>
      <c r="AC186" s="681"/>
      <c r="AD186" s="681"/>
      <c r="AE186" s="82">
        <f t="shared" si="62"/>
        <v>0</v>
      </c>
    </row>
    <row r="187" spans="1:31" ht="18" hidden="1" customHeight="1">
      <c r="A187" s="86" t="s">
        <v>328</v>
      </c>
      <c r="B187" s="51"/>
      <c r="C187" s="677"/>
      <c r="D187" s="845">
        <f t="shared" ref="D187:D189" si="68">C187*$C$185*$C$172</f>
        <v>0</v>
      </c>
      <c r="E187" s="678"/>
      <c r="F187" s="681"/>
      <c r="G187" s="681"/>
      <c r="H187" s="681"/>
      <c r="I187" s="856"/>
      <c r="J187" s="856"/>
      <c r="K187" s="681"/>
      <c r="L187" s="681"/>
      <c r="M187" s="681"/>
      <c r="N187" s="681"/>
      <c r="O187" s="681"/>
      <c r="P187" s="681"/>
      <c r="Q187" s="681"/>
      <c r="R187" s="681"/>
      <c r="S187" s="681"/>
      <c r="T187" s="681"/>
      <c r="U187" s="681"/>
      <c r="V187" s="681"/>
      <c r="W187" s="681"/>
      <c r="X187" s="681"/>
      <c r="Y187" s="681"/>
      <c r="Z187" s="681"/>
      <c r="AA187" s="681"/>
      <c r="AB187" s="681"/>
      <c r="AC187" s="681"/>
      <c r="AD187" s="681"/>
      <c r="AE187" s="82">
        <f t="shared" si="62"/>
        <v>0</v>
      </c>
    </row>
    <row r="188" spans="1:31" ht="18" hidden="1" customHeight="1">
      <c r="A188" s="86" t="s">
        <v>329</v>
      </c>
      <c r="B188" s="51"/>
      <c r="C188" s="677"/>
      <c r="D188" s="845">
        <f t="shared" si="68"/>
        <v>0</v>
      </c>
      <c r="E188" s="678"/>
      <c r="F188" s="681"/>
      <c r="G188" s="681"/>
      <c r="H188" s="681"/>
      <c r="I188" s="856"/>
      <c r="J188" s="856"/>
      <c r="K188" s="681"/>
      <c r="L188" s="681"/>
      <c r="M188" s="681"/>
      <c r="N188" s="681"/>
      <c r="O188" s="681"/>
      <c r="P188" s="681"/>
      <c r="Q188" s="681"/>
      <c r="R188" s="681"/>
      <c r="S188" s="681"/>
      <c r="T188" s="681"/>
      <c r="U188" s="681"/>
      <c r="V188" s="681"/>
      <c r="W188" s="681"/>
      <c r="X188" s="681"/>
      <c r="Y188" s="681"/>
      <c r="Z188" s="681"/>
      <c r="AA188" s="681"/>
      <c r="AB188" s="681"/>
      <c r="AC188" s="681"/>
      <c r="AD188" s="681"/>
      <c r="AE188" s="82">
        <f t="shared" si="62"/>
        <v>0</v>
      </c>
    </row>
    <row r="189" spans="1:31" ht="18" hidden="1" customHeight="1">
      <c r="A189" s="86" t="s">
        <v>330</v>
      </c>
      <c r="B189" s="51"/>
      <c r="C189" s="677"/>
      <c r="D189" s="845">
        <f t="shared" si="68"/>
        <v>0</v>
      </c>
      <c r="E189" s="678"/>
      <c r="F189" s="681"/>
      <c r="G189" s="681"/>
      <c r="H189" s="681"/>
      <c r="I189" s="856"/>
      <c r="J189" s="856"/>
      <c r="K189" s="681"/>
      <c r="L189" s="681"/>
      <c r="M189" s="681"/>
      <c r="N189" s="681"/>
      <c r="O189" s="681"/>
      <c r="P189" s="681"/>
      <c r="Q189" s="681"/>
      <c r="R189" s="681"/>
      <c r="S189" s="681"/>
      <c r="T189" s="681"/>
      <c r="U189" s="681"/>
      <c r="V189" s="681"/>
      <c r="W189" s="681"/>
      <c r="X189" s="681"/>
      <c r="Y189" s="681"/>
      <c r="Z189" s="681"/>
      <c r="AA189" s="681"/>
      <c r="AB189" s="681"/>
      <c r="AC189" s="681"/>
      <c r="AD189" s="681"/>
      <c r="AE189" s="82">
        <f t="shared" si="62"/>
        <v>0</v>
      </c>
    </row>
    <row r="190" spans="1:31" ht="18" hidden="1" customHeight="1">
      <c r="A190" s="86" t="s">
        <v>331</v>
      </c>
      <c r="B190" s="51"/>
      <c r="C190" s="677"/>
      <c r="D190" s="845">
        <f>C190*$C$185*$C$172</f>
        <v>0</v>
      </c>
      <c r="E190" s="678"/>
      <c r="F190" s="681"/>
      <c r="G190" s="681"/>
      <c r="H190" s="681"/>
      <c r="I190" s="856"/>
      <c r="J190" s="856"/>
      <c r="K190" s="681"/>
      <c r="L190" s="681"/>
      <c r="M190" s="681"/>
      <c r="N190" s="681"/>
      <c r="O190" s="681"/>
      <c r="P190" s="681"/>
      <c r="Q190" s="681"/>
      <c r="R190" s="681"/>
      <c r="S190" s="681"/>
      <c r="T190" s="681"/>
      <c r="U190" s="681"/>
      <c r="V190" s="681"/>
      <c r="W190" s="681"/>
      <c r="X190" s="681"/>
      <c r="Y190" s="681"/>
      <c r="Z190" s="681"/>
      <c r="AA190" s="681"/>
      <c r="AB190" s="681"/>
      <c r="AC190" s="681"/>
      <c r="AD190" s="681"/>
      <c r="AE190" s="82">
        <f t="shared" si="62"/>
        <v>0</v>
      </c>
    </row>
    <row r="191" spans="1:31" ht="18" hidden="1" customHeight="1">
      <c r="A191" s="85" t="s">
        <v>332</v>
      </c>
      <c r="B191" s="34"/>
      <c r="C191" s="35"/>
      <c r="D191" s="847"/>
      <c r="E191" s="36"/>
      <c r="F191" s="55"/>
      <c r="G191" s="55">
        <f>SUM(G192:G196)</f>
        <v>0</v>
      </c>
      <c r="H191" s="55">
        <f>SUM(H192:H196)</f>
        <v>0</v>
      </c>
      <c r="I191" s="857">
        <f t="shared" ref="I191" si="69">SUM(I192:I196)</f>
        <v>0</v>
      </c>
      <c r="J191" s="857">
        <f>SUM(J192:J196)</f>
        <v>0</v>
      </c>
      <c r="K191" s="55">
        <f t="shared" ref="K191:AD191" si="70">SUM(K192:K196)</f>
        <v>0</v>
      </c>
      <c r="L191" s="55">
        <f t="shared" si="70"/>
        <v>0</v>
      </c>
      <c r="M191" s="55">
        <f t="shared" si="70"/>
        <v>0</v>
      </c>
      <c r="N191" s="55">
        <f t="shared" si="70"/>
        <v>0</v>
      </c>
      <c r="O191" s="55">
        <f t="shared" si="70"/>
        <v>0</v>
      </c>
      <c r="P191" s="55">
        <f t="shared" si="70"/>
        <v>0</v>
      </c>
      <c r="Q191" s="55">
        <f t="shared" si="70"/>
        <v>0</v>
      </c>
      <c r="R191" s="55">
        <f t="shared" si="70"/>
        <v>0</v>
      </c>
      <c r="S191" s="55">
        <f t="shared" si="70"/>
        <v>0</v>
      </c>
      <c r="T191" s="55">
        <f t="shared" si="70"/>
        <v>0</v>
      </c>
      <c r="U191" s="55">
        <f t="shared" si="70"/>
        <v>0</v>
      </c>
      <c r="V191" s="55">
        <f t="shared" si="70"/>
        <v>0</v>
      </c>
      <c r="W191" s="55">
        <f t="shared" si="70"/>
        <v>0</v>
      </c>
      <c r="X191" s="55">
        <f t="shared" si="70"/>
        <v>0</v>
      </c>
      <c r="Y191" s="55">
        <f t="shared" si="70"/>
        <v>0</v>
      </c>
      <c r="Z191" s="55">
        <f t="shared" si="70"/>
        <v>0</v>
      </c>
      <c r="AA191" s="55">
        <f t="shared" si="70"/>
        <v>0</v>
      </c>
      <c r="AB191" s="55">
        <f t="shared" si="70"/>
        <v>0</v>
      </c>
      <c r="AC191" s="55">
        <f t="shared" si="70"/>
        <v>0</v>
      </c>
      <c r="AD191" s="55">
        <f t="shared" si="70"/>
        <v>0</v>
      </c>
      <c r="AE191" s="82">
        <f t="shared" si="62"/>
        <v>0</v>
      </c>
    </row>
    <row r="192" spans="1:31" ht="18" hidden="1" customHeight="1">
      <c r="A192" s="86" t="s">
        <v>333</v>
      </c>
      <c r="B192" s="51"/>
      <c r="C192" s="677"/>
      <c r="D192" s="845">
        <f>C192*$C$191*$C$172</f>
        <v>0</v>
      </c>
      <c r="E192" s="678"/>
      <c r="F192" s="681"/>
      <c r="G192" s="681"/>
      <c r="H192" s="681"/>
      <c r="I192" s="856"/>
      <c r="J192" s="856"/>
      <c r="K192" s="681"/>
      <c r="L192" s="681"/>
      <c r="M192" s="681"/>
      <c r="N192" s="681"/>
      <c r="O192" s="681"/>
      <c r="P192" s="681"/>
      <c r="Q192" s="681"/>
      <c r="R192" s="681"/>
      <c r="S192" s="681"/>
      <c r="T192" s="681"/>
      <c r="U192" s="681"/>
      <c r="V192" s="681"/>
      <c r="W192" s="681"/>
      <c r="X192" s="681"/>
      <c r="Y192" s="681"/>
      <c r="Z192" s="681"/>
      <c r="AA192" s="681"/>
      <c r="AB192" s="681"/>
      <c r="AC192" s="681"/>
      <c r="AD192" s="681"/>
      <c r="AE192" s="82">
        <f t="shared" si="62"/>
        <v>0</v>
      </c>
    </row>
    <row r="193" spans="1:31" ht="18" hidden="1" customHeight="1">
      <c r="A193" s="86" t="s">
        <v>334</v>
      </c>
      <c r="B193" s="51"/>
      <c r="C193" s="677"/>
      <c r="D193" s="845">
        <f t="shared" ref="D193:D194" si="71">C193*$C$191*$C$172</f>
        <v>0</v>
      </c>
      <c r="E193" s="678"/>
      <c r="F193" s="681"/>
      <c r="G193" s="681"/>
      <c r="H193" s="681"/>
      <c r="I193" s="856"/>
      <c r="J193" s="856"/>
      <c r="K193" s="681"/>
      <c r="L193" s="681"/>
      <c r="M193" s="681"/>
      <c r="N193" s="681"/>
      <c r="O193" s="681"/>
      <c r="P193" s="681"/>
      <c r="Q193" s="681"/>
      <c r="R193" s="681"/>
      <c r="S193" s="681"/>
      <c r="T193" s="681"/>
      <c r="U193" s="681"/>
      <c r="V193" s="681"/>
      <c r="W193" s="681"/>
      <c r="X193" s="681"/>
      <c r="Y193" s="681"/>
      <c r="Z193" s="681"/>
      <c r="AA193" s="681"/>
      <c r="AB193" s="681"/>
      <c r="AC193" s="681"/>
      <c r="AD193" s="681"/>
      <c r="AE193" s="82">
        <f t="shared" si="62"/>
        <v>0</v>
      </c>
    </row>
    <row r="194" spans="1:31" ht="18" hidden="1" customHeight="1">
      <c r="A194" s="86" t="s">
        <v>335</v>
      </c>
      <c r="B194" s="51"/>
      <c r="C194" s="677"/>
      <c r="D194" s="845">
        <f t="shared" si="71"/>
        <v>0</v>
      </c>
      <c r="E194" s="678"/>
      <c r="F194" s="681"/>
      <c r="G194" s="681"/>
      <c r="H194" s="681"/>
      <c r="I194" s="856"/>
      <c r="J194" s="856"/>
      <c r="K194" s="681"/>
      <c r="L194" s="681"/>
      <c r="M194" s="681"/>
      <c r="N194" s="681"/>
      <c r="O194" s="681"/>
      <c r="P194" s="681"/>
      <c r="Q194" s="681"/>
      <c r="R194" s="681"/>
      <c r="S194" s="681"/>
      <c r="T194" s="681"/>
      <c r="U194" s="681"/>
      <c r="V194" s="681"/>
      <c r="W194" s="681"/>
      <c r="X194" s="681"/>
      <c r="Y194" s="681"/>
      <c r="Z194" s="681"/>
      <c r="AA194" s="681"/>
      <c r="AB194" s="681"/>
      <c r="AC194" s="681"/>
      <c r="AD194" s="681"/>
      <c r="AE194" s="82">
        <f t="shared" si="62"/>
        <v>0</v>
      </c>
    </row>
    <row r="195" spans="1:31" ht="18" hidden="1" customHeight="1">
      <c r="A195" s="86" t="s">
        <v>336</v>
      </c>
      <c r="B195" s="51"/>
      <c r="C195" s="677"/>
      <c r="D195" s="845">
        <f>C195*$C$191*$C$172</f>
        <v>0</v>
      </c>
      <c r="E195" s="678"/>
      <c r="F195" s="681"/>
      <c r="G195" s="681"/>
      <c r="H195" s="681"/>
      <c r="I195" s="856"/>
      <c r="J195" s="856"/>
      <c r="K195" s="681"/>
      <c r="L195" s="681"/>
      <c r="M195" s="681"/>
      <c r="N195" s="681"/>
      <c r="O195" s="681"/>
      <c r="P195" s="681"/>
      <c r="Q195" s="681"/>
      <c r="R195" s="681"/>
      <c r="S195" s="681"/>
      <c r="T195" s="681"/>
      <c r="U195" s="681"/>
      <c r="V195" s="681"/>
      <c r="W195" s="681"/>
      <c r="X195" s="681"/>
      <c r="Y195" s="681"/>
      <c r="Z195" s="681"/>
      <c r="AA195" s="681"/>
      <c r="AB195" s="681"/>
      <c r="AC195" s="681"/>
      <c r="AD195" s="681"/>
      <c r="AE195" s="82">
        <f t="shared" si="62"/>
        <v>0</v>
      </c>
    </row>
    <row r="196" spans="1:31" ht="18" hidden="1" customHeight="1">
      <c r="A196" s="86" t="s">
        <v>337</v>
      </c>
      <c r="B196" s="51"/>
      <c r="C196" s="677"/>
      <c r="D196" s="845">
        <f>C196*$C$191*$C$172</f>
        <v>0</v>
      </c>
      <c r="E196" s="678"/>
      <c r="F196" s="681"/>
      <c r="G196" s="681"/>
      <c r="H196" s="681"/>
      <c r="I196" s="856"/>
      <c r="J196" s="856"/>
      <c r="K196" s="681"/>
      <c r="L196" s="681"/>
      <c r="M196" s="681"/>
      <c r="N196" s="681"/>
      <c r="O196" s="681"/>
      <c r="P196" s="681"/>
      <c r="Q196" s="681"/>
      <c r="R196" s="681"/>
      <c r="S196" s="681"/>
      <c r="T196" s="681"/>
      <c r="U196" s="681"/>
      <c r="V196" s="681"/>
      <c r="W196" s="681"/>
      <c r="X196" s="681"/>
      <c r="Y196" s="681"/>
      <c r="Z196" s="681"/>
      <c r="AA196" s="681"/>
      <c r="AB196" s="681"/>
      <c r="AC196" s="681"/>
      <c r="AD196" s="681"/>
      <c r="AE196" s="82">
        <f t="shared" si="62"/>
        <v>0</v>
      </c>
    </row>
    <row r="197" spans="1:31" ht="18" hidden="1" customHeight="1">
      <c r="A197" s="85" t="s">
        <v>338</v>
      </c>
      <c r="B197" s="34"/>
      <c r="C197" s="35"/>
      <c r="D197" s="847"/>
      <c r="E197" s="36"/>
      <c r="F197" s="55"/>
      <c r="G197" s="55">
        <f>SUM(G198:G202)</f>
        <v>0</v>
      </c>
      <c r="H197" s="55">
        <f>SUM(H198:H202)</f>
        <v>0</v>
      </c>
      <c r="I197" s="857">
        <f t="shared" ref="I197" si="72">SUM(I198:I202)</f>
        <v>0</v>
      </c>
      <c r="J197" s="857">
        <f>SUM(J198:J202)</f>
        <v>0</v>
      </c>
      <c r="K197" s="55">
        <f t="shared" ref="K197:AD197" si="73">SUM(K198:K202)</f>
        <v>0</v>
      </c>
      <c r="L197" s="55">
        <f t="shared" si="73"/>
        <v>0</v>
      </c>
      <c r="M197" s="55">
        <f t="shared" si="73"/>
        <v>0</v>
      </c>
      <c r="N197" s="55">
        <f t="shared" si="73"/>
        <v>0</v>
      </c>
      <c r="O197" s="55">
        <f t="shared" si="73"/>
        <v>0</v>
      </c>
      <c r="P197" s="55">
        <f t="shared" si="73"/>
        <v>0</v>
      </c>
      <c r="Q197" s="55">
        <f t="shared" si="73"/>
        <v>0</v>
      </c>
      <c r="R197" s="55">
        <f t="shared" si="73"/>
        <v>0</v>
      </c>
      <c r="S197" s="55">
        <f t="shared" si="73"/>
        <v>0</v>
      </c>
      <c r="T197" s="55">
        <f t="shared" si="73"/>
        <v>0</v>
      </c>
      <c r="U197" s="55">
        <f t="shared" si="73"/>
        <v>0</v>
      </c>
      <c r="V197" s="55">
        <f t="shared" si="73"/>
        <v>0</v>
      </c>
      <c r="W197" s="55">
        <f t="shared" si="73"/>
        <v>0</v>
      </c>
      <c r="X197" s="55">
        <f t="shared" si="73"/>
        <v>0</v>
      </c>
      <c r="Y197" s="55">
        <f t="shared" si="73"/>
        <v>0</v>
      </c>
      <c r="Z197" s="55">
        <f t="shared" si="73"/>
        <v>0</v>
      </c>
      <c r="AA197" s="55">
        <f t="shared" si="73"/>
        <v>0</v>
      </c>
      <c r="AB197" s="55">
        <f t="shared" si="73"/>
        <v>0</v>
      </c>
      <c r="AC197" s="55">
        <f t="shared" si="73"/>
        <v>0</v>
      </c>
      <c r="AD197" s="55">
        <f t="shared" si="73"/>
        <v>0</v>
      </c>
      <c r="AE197" s="82">
        <f t="shared" si="62"/>
        <v>0</v>
      </c>
    </row>
    <row r="198" spans="1:31" ht="18" hidden="1" customHeight="1">
      <c r="A198" s="86" t="s">
        <v>339</v>
      </c>
      <c r="B198" s="51"/>
      <c r="C198" s="677"/>
      <c r="D198" s="845">
        <f>C198*$C$197*$C$172</f>
        <v>0</v>
      </c>
      <c r="E198" s="678"/>
      <c r="F198" s="681"/>
      <c r="G198" s="681"/>
      <c r="H198" s="681"/>
      <c r="I198" s="856"/>
      <c r="J198" s="856"/>
      <c r="K198" s="681"/>
      <c r="L198" s="681"/>
      <c r="M198" s="681"/>
      <c r="N198" s="681"/>
      <c r="O198" s="681"/>
      <c r="P198" s="681"/>
      <c r="Q198" s="681"/>
      <c r="R198" s="681"/>
      <c r="S198" s="681"/>
      <c r="T198" s="681"/>
      <c r="U198" s="681"/>
      <c r="V198" s="681"/>
      <c r="W198" s="681"/>
      <c r="X198" s="681"/>
      <c r="Y198" s="681"/>
      <c r="Z198" s="681"/>
      <c r="AA198" s="681"/>
      <c r="AB198" s="681"/>
      <c r="AC198" s="681"/>
      <c r="AD198" s="681"/>
      <c r="AE198" s="82">
        <f t="shared" si="62"/>
        <v>0</v>
      </c>
    </row>
    <row r="199" spans="1:31" ht="18" hidden="1" customHeight="1">
      <c r="A199" s="86" t="s">
        <v>340</v>
      </c>
      <c r="B199" s="51"/>
      <c r="C199" s="677"/>
      <c r="D199" s="845">
        <f t="shared" ref="D199:D202" si="74">C199*$C$197*$C$172</f>
        <v>0</v>
      </c>
      <c r="E199" s="678"/>
      <c r="F199" s="681"/>
      <c r="G199" s="681"/>
      <c r="H199" s="681"/>
      <c r="I199" s="856"/>
      <c r="J199" s="856"/>
      <c r="K199" s="681"/>
      <c r="L199" s="681"/>
      <c r="M199" s="681"/>
      <c r="N199" s="681"/>
      <c r="O199" s="681"/>
      <c r="P199" s="681"/>
      <c r="Q199" s="681"/>
      <c r="R199" s="681"/>
      <c r="S199" s="681"/>
      <c r="T199" s="681"/>
      <c r="U199" s="681"/>
      <c r="V199" s="681"/>
      <c r="W199" s="681"/>
      <c r="X199" s="681"/>
      <c r="Y199" s="681"/>
      <c r="Z199" s="681"/>
      <c r="AA199" s="681"/>
      <c r="AB199" s="681"/>
      <c r="AC199" s="681"/>
      <c r="AD199" s="681"/>
      <c r="AE199" s="82">
        <f t="shared" si="62"/>
        <v>0</v>
      </c>
    </row>
    <row r="200" spans="1:31" ht="18" hidden="1" customHeight="1">
      <c r="A200" s="86" t="s">
        <v>341</v>
      </c>
      <c r="B200" s="51"/>
      <c r="C200" s="677"/>
      <c r="D200" s="845">
        <f t="shared" si="74"/>
        <v>0</v>
      </c>
      <c r="E200" s="678"/>
      <c r="F200" s="681"/>
      <c r="G200" s="681"/>
      <c r="H200" s="681"/>
      <c r="I200" s="856"/>
      <c r="J200" s="856"/>
      <c r="K200" s="681"/>
      <c r="L200" s="681"/>
      <c r="M200" s="681"/>
      <c r="N200" s="681"/>
      <c r="O200" s="681"/>
      <c r="P200" s="681"/>
      <c r="Q200" s="681"/>
      <c r="R200" s="681"/>
      <c r="S200" s="681"/>
      <c r="T200" s="681"/>
      <c r="U200" s="681"/>
      <c r="V200" s="681"/>
      <c r="W200" s="681"/>
      <c r="X200" s="681"/>
      <c r="Y200" s="681"/>
      <c r="Z200" s="681"/>
      <c r="AA200" s="681"/>
      <c r="AB200" s="681"/>
      <c r="AC200" s="681"/>
      <c r="AD200" s="681"/>
      <c r="AE200" s="82">
        <f t="shared" si="62"/>
        <v>0</v>
      </c>
    </row>
    <row r="201" spans="1:31" ht="18" hidden="1" customHeight="1">
      <c r="A201" s="86" t="s">
        <v>342</v>
      </c>
      <c r="B201" s="51"/>
      <c r="C201" s="677"/>
      <c r="D201" s="845">
        <f>C201*$C$197*$C$172</f>
        <v>0</v>
      </c>
      <c r="E201" s="678"/>
      <c r="F201" s="681"/>
      <c r="G201" s="681"/>
      <c r="H201" s="681"/>
      <c r="I201" s="856"/>
      <c r="J201" s="856"/>
      <c r="K201" s="681"/>
      <c r="L201" s="681"/>
      <c r="M201" s="681"/>
      <c r="N201" s="681"/>
      <c r="O201" s="681"/>
      <c r="P201" s="681"/>
      <c r="Q201" s="681"/>
      <c r="R201" s="681"/>
      <c r="S201" s="681"/>
      <c r="T201" s="681"/>
      <c r="U201" s="681"/>
      <c r="V201" s="681"/>
      <c r="W201" s="681"/>
      <c r="X201" s="681"/>
      <c r="Y201" s="681"/>
      <c r="Z201" s="681"/>
      <c r="AA201" s="681"/>
      <c r="AB201" s="681"/>
      <c r="AC201" s="681"/>
      <c r="AD201" s="681"/>
      <c r="AE201" s="82">
        <f t="shared" si="62"/>
        <v>0</v>
      </c>
    </row>
    <row r="202" spans="1:31" ht="18" hidden="1" customHeight="1">
      <c r="A202" s="86" t="s">
        <v>343</v>
      </c>
      <c r="B202" s="51"/>
      <c r="C202" s="677"/>
      <c r="D202" s="845">
        <f t="shared" si="74"/>
        <v>0</v>
      </c>
      <c r="E202" s="678"/>
      <c r="F202" s="681"/>
      <c r="G202" s="681"/>
      <c r="H202" s="681"/>
      <c r="I202" s="856"/>
      <c r="J202" s="856"/>
      <c r="K202" s="681"/>
      <c r="L202" s="681"/>
      <c r="M202" s="681"/>
      <c r="N202" s="681"/>
      <c r="O202" s="681"/>
      <c r="P202" s="681"/>
      <c r="Q202" s="681"/>
      <c r="R202" s="681"/>
      <c r="S202" s="681"/>
      <c r="T202" s="681"/>
      <c r="U202" s="681"/>
      <c r="V202" s="681"/>
      <c r="W202" s="681"/>
      <c r="X202" s="681"/>
      <c r="Y202" s="681"/>
      <c r="Z202" s="681"/>
      <c r="AA202" s="681"/>
      <c r="AB202" s="681"/>
      <c r="AC202" s="681"/>
      <c r="AD202" s="681"/>
      <c r="AE202" s="82">
        <f t="shared" si="62"/>
        <v>0</v>
      </c>
    </row>
    <row r="203" spans="1:31" ht="18" customHeight="1">
      <c r="A203" s="1003" t="s">
        <v>344</v>
      </c>
      <c r="B203" s="1004"/>
      <c r="C203" s="1004"/>
      <c r="D203" s="1004"/>
      <c r="E203" s="1004"/>
      <c r="F203" s="1004"/>
      <c r="G203" s="844">
        <f>(IFERROR(((G19/$F$19)*$D$19),0)+(IFERROR(((G20/$F$20)*$D$20),0)))+(IFERROR(((G21/$F$21)*D21),0))+(IFERROR(((G22/$F$22)*$D$22),0))+(IFERROR(((G23/$F$23)*$D$23),0))+(IFERROR(((G25/$F$25)*$D$25),0))+(IFERROR(((G26/$F$26)*$D$26),0))+(IFERROR(((G27/$F$27)*$D$27),0))+(IFERROR(((G28/$F$28)*$D$28),0))+(IFERROR(((G29/$F$29)*$D$29),0))+(IFERROR(((G31/$F$31)*$D$31),0))+(IFERROR(((G32/$F$32)*$D$32),0))+(IFERROR(((G33/$F$33)*$D$33),0))+(IFERROR(((G34/$F$34)*$D$34),0))+(IFERROR(((G35/$F$35)*$D$35),0))+(IFERROR(((G37/$F$37)*$D$37),0))+(IFERROR(((G38/$F$38)*$D$38),0))+(IFERROR(((G39/$F$39)*$D$39),0))+(IFERROR(((G40/$F$40)*$D$40),0))+(IFERROR(((G41/$F$41)*$D$41),0))+(IFERROR(((G43/$F$43)*$D$43),0))+(IFERROR(((G44/$F$44)*$D$44),0))+(IFERROR(((G45/$F$45)*$D$45),0))+(IFERROR(((G46/$F$46)*$D$46),0))+(IFERROR(((G47/$F$47)*$D$47),0))+(IFERROR(((G50/$F$50)*$D$50),0))+(IFERROR(((G51/$F$51)*$D$51),0))+(IFERROR(((G52/$F$52)*$D$52),0))+(IFERROR(((G53/$F$53)*$D$53),0))+(IFERROR(((G54/$F$54)*$D$54),0))+(IFERROR(((G56/$F$56)*$D$56),0))+(IFERROR(((G57/$F$57)*$D$57),0))+(IFERROR(((G58/$F$58)*$D$58),0))+(IFERROR(((G59/$F$59)*$D$59),0))+(IFERROR(((G60/$F$60)*$D$60),0))+(IFERROR(((G62/$F$62)*$D$62),0))+(IFERROR(((G63/$F$63)*$D$63),0))+(IFERROR(((G64/$F$64)*$D$64),0))+(IFERROR(((G65/$F$65)*$D$65),0))+(IFERROR(((G66/$F$66)*$D$66),0))+(IFERROR(((G68/$F$68)*$D$68),0))+(IFERROR(((G69/$F$69)*$D$69),0))+(IFERROR(((G70/$F$70)*$D$70),0))+(IFERROR(((G71/$F$71)*$D$71),0))+(IFERROR(((G72/$F$72)*$D$72),0))+(IFERROR(((G74/$F$74)*$D$74),0))+(IFERROR(((G75/$F$75)*$D$75),0))+(IFERROR(((G76/$F$76)*$D$76),0))+(IFERROR(((G77/$F$77)*$D$77),0))+(IFERROR(((G78/$F$78)*$D$78),0))+(IFERROR(((G81/$F$81)*$D$81),0))+(IFERROR(((G82/$F$82)*$D$82),0))+(IFERROR(((G83/$F$83)*$D$83),0))+(IFERROR(((G84/$F$84)*$D$84),0))+(IFERROR(((G85/$F$85)*$D$85),0))+(IFERROR(((G87/$F$87)*$D$87),0))+(IFERROR(((G88/$F$88)*$D$88),0))+(IFERROR(((G89/$F$89)*$D$89),0))+(IFERROR(((G90/$F$90)*$D$90),0))+(IFERROR(((G91/$F$91)*$D$91),0))+(IFERROR(((G93/$F$93)*$D$93),0))+(IFERROR(((G94/$F$94)*$D$94),0))+(IFERROR(((G95/$F$95)*$D$95),0))+(IFERROR(((G96/$F$96)*$D$96),0))+(IFERROR(((G97/$F$97)*$D$97),0))+(IFERROR(((G99/$F$99)*$D$99),0))+(IFERROR(((G100/$F$100)*$D$100),0))+(IFERROR(((G101/$F$101)*$D$101),0))+(IFERROR(((G102/$F$102)*$D$102),0))+(IFERROR(((G103/$F$103)*$D$103),0))+(IFERROR(((G105/$F$105)*$D$105),0))+(IFERROR(((G106/$F$106)*$D$106),0))+(IFERROR(((G107/$F$107)*$D$107),0))+(IFERROR(((G108/$F$108)*$D$108),0))+(IFERROR(((G109/$F$109)*$D$109),0))+(IFERROR(((G112/$F$112)*$D$112),0))+(IFERROR(((G113/$F$113)*$D$113),0))+(IFERROR(((G114/$F$114)*$D$114),0))+(IFERROR(((G115/$F$115)*$D$115),0))+(IFERROR(((G116/$F$116)*$D$116),0))+(IFERROR(((G118/$F$118)*$D$118),0))+(IFERROR(((G119/$F$119)*$D$119),0))+(IFERROR(((G120/$F$120)*$D$120),0))+(IFERROR(((G121/$F$121)*$D$121),0))+(IFERROR(((G122/$F$122)*$D$122),0))+(IFERROR(((G124/$F$124)*$D$124),0))+(IFERROR(((G125/$F$125)*$D$125),0))+(IFERROR(((G126/$F$126)*$D$126),0))+(IFERROR(((G127/$F$127)*$D$127),0))+(IFERROR(((G128/$F$128)*$D$128),0))+(IFERROR(((G130/$F$130)*$D$130),0))+(IFERROR(((G131/$F$131)*$D$131),0))+(IFERROR(((G132/$F$132)*$D$132),0))+(IFERROR(((G133/$F$133)*$D$133),0))+(IFERROR(((G134/$F$134)*$D$134),0))+(IFERROR(((G136/$F$136)*$D$136),0))+(IFERROR(((G137/$F$137)*$D$137),0))+(IFERROR(((G138/$F$138)*$D$138),0))+(IFERROR(((G139/$F$139)*$D$139),0))+(IFERROR(((G140/$F$140)*$D$140),0))+(IFERROR(((G143/$F$143)*$D$143),0))+(IFERROR(((G144/$F$144)*$D$144),0))+(IFERROR(((G145/$F$145)*$D$145),0))+(IFERROR(((G146/$F$146)*$D$146),0))+(IFERROR(((G147/$F$147)*$D$147),0))+(IFERROR(((G149/$F$149)*$D$149),0))+(IFERROR(((G150/$F$150)*$D$150),0))+(IFERROR(((G151/$F$151)*$D$151),0))+(IFERROR(((G152/$F$152)*$D$152),0))+(IFERROR(((G153/$F$153)*$D$153),0))+(IFERROR(((G155/$F$155)*$D$155),0))+(IFERROR(((G156/$F$156)*$D$156),0))+(IFERROR(((G157/$F$157)*$D$157),0))+(IFERROR(((G158/$F$158)*$D$158),0))+(IFERROR(((G159/$F$159)*$D$159),0))+(IFERROR(((G161/$F$161)*$D$161),0))+(IFERROR(((G162/F162)*D162),0))+(IFERROR(((G163/$F$163)*$D$163),0))+(IFERROR(((G164/$F$164)*$D$164),0))+(IFERROR(((G165/$F$165)*$D$165),0))+(IFERROR(((G167/$F$167)*$D$167),0))+(IFERROR(((G168/$F$168)*$D$168),0))+(IFERROR(((G169/$F$169)*$D$169),0))+(IFERROR(((G170/$F$170)*$D$170),0))+(IFERROR(((G171/$F$171)*$D$171),0))+(IFERROR(((G174/$F$174)*$D$174),0))+(IFERROR(((G175/$F$175)*$D$175),0))+(IFERROR(((G176/$F$176)*$D$176),0))+(IFERROR(((G177/$F$177)*$D$177),0))+(IFERROR(((G178/$F$178)*$D$178),0))+(IFERROR(((G180/$F$180)*$D$180),0))+(IFERROR(((G181/$F$181)*$D$181),0))+(IFERROR(((G182/$F$182)*$D$182),0))+(IFERROR(((G183/$F$183)*$D$183),0))+(IFERROR(((G184/$F$184)*$D$184),0))+(IFERROR(((G186/$F$186)*$D$186),0))+(IFERROR(((G187/$F$187)*$D$187),0))+(IFERROR(((G188/$F$188)*$D$188),0))+(IFERROR(((G189/$F$189)*$D$189),0))+(IFERROR(((G190/$F$190)*$D$190),0))+(IFERROR(((G192/$F$192)*$D$192),0))+(IFERROR(((G193/$F$193)*$D$193),0))+(IFERROR(((G194/$F$194)*$D$194),0))+(IFERROR(((G195/$F$195)*$D$195),0))+(IFERROR(((G196/$F$196)*$D$196),0))+(IFERROR(((G198/$F$198)*$D$198),0))+(IFERROR(((G199/$F$199)*$D$199),0))+(IFERROR(((G200/$F$200)*$D$200),0))+(IFERROR(((G201/$F$201)*$D$201),0))+(IFERROR(((G202/$F$202)*$D$202),0))</f>
        <v>0.16675101871317707</v>
      </c>
      <c r="H203" s="844">
        <f t="shared" ref="H203:AD203" si="75">(IFERROR(((H19/$F$19)*$D$19),0)+(IFERROR(((H20/$F$20)*$D$20),0)))+(IFERROR(((H21/$F$21)*E21),0))+(IFERROR(((H22/$F$22)*$D$22),0))+(IFERROR(((H23/$F$23)*$D$23),0))+(IFERROR(((H25/$F$25)*$D$25),0))+(IFERROR(((H26/$F$26)*$D$26),0))+(IFERROR(((H27/$F$27)*$D$27),0))+(IFERROR(((H28/$F$28)*$D$28),0))+(IFERROR(((H29/$F$29)*$D$29),0))+(IFERROR(((H31/$F$31)*$D$31),0))+(IFERROR(((H32/$F$32)*$D$32),0))+(IFERROR(((H33/$F$33)*$D$33),0))+(IFERROR(((H34/$F$34)*$D$34),0))+(IFERROR(((H35/$F$35)*$D$35),0))+(IFERROR(((H37/$F$37)*$D$37),0))+(IFERROR(((H38/$F$38)*$D$38),0))+(IFERROR(((H39/$F$39)*$D$39),0))+(IFERROR(((H40/$F$40)*$D$40),0))+(IFERROR(((H41/$F$41)*$D$41),0))+(IFERROR(((H43/$F$43)*$D$43),0))+(IFERROR(((H44/$F$44)*$D$44),0))+(IFERROR(((H45/$F$45)*$D$45),0))+(IFERROR(((H46/$F$46)*$D$46),0))+(IFERROR(((H47/$F$47)*$D$47),0))+(IFERROR(((H50/$F$50)*$D$50),0))+(IFERROR(((H51/$F$51)*$D$51),0))+(IFERROR(((H52/$F$52)*$D$52),0))+(IFERROR(((H53/$F$53)*$D$53),0))+(IFERROR(((H54/$F$54)*$D$54),0))+(IFERROR(((H56/$F$56)*$D$56),0))+(IFERROR(((H57/$F$57)*$D$57),0))+(IFERROR(((H58/$F$58)*$D$58),0))+(IFERROR(((H59/$F$59)*$D$59),0))+(IFERROR(((H60/$F$60)*$D$60),0))+(IFERROR(((H62/$F$62)*$D$62),0))+(IFERROR(((H63/$F$63)*$D$63),0))+(IFERROR(((H64/$F$64)*$D$64),0))+(IFERROR(((H65/$F$65)*$D$65),0))+(IFERROR(((H66/$F$66)*$D$66),0))+(IFERROR(((H68/$F$68)*$D$68),0))+(IFERROR(((H69/$F$69)*$D$69),0))+(IFERROR(((H70/$F$70)*$D$70),0))+(IFERROR(((H71/$F$71)*$D$71),0))+(IFERROR(((H72/$F$72)*$D$72),0))+(IFERROR(((H74/$F$74)*$D$74),0))+(IFERROR(((H75/$F$75)*$D$75),0))+(IFERROR(((H76/$F$76)*$D$76),0))+(IFERROR(((H77/$F$77)*$D$77),0))+(IFERROR(((H78/$F$78)*$D$78),0))+(IFERROR(((H81/$F$81)*$D$81),0))+(IFERROR(((H82/$F$82)*$D$82),0))+(IFERROR(((H83/$F$83)*$D$83),0))+(IFERROR(((H84/$F$84)*$D$84),0))+(IFERROR(((H85/$F$85)*$D$85),0))+(IFERROR(((H87/$F$87)*$D$87),0))+(IFERROR(((H88/$F$88)*$D$88),0))+(IFERROR(((H89/$F$89)*$D$89),0))+(IFERROR(((H90/$F$90)*$D$90),0))+(IFERROR(((H91/$F$91)*$D$91),0))+(IFERROR(((H93/$F$93)*$D$93),0))+(IFERROR(((H94/$F$94)*$D$94),0))+(IFERROR(((H95/$F$95)*$D$95),0))+(IFERROR(((H96/$F$96)*$D$96),0))+(IFERROR(((H97/$F$97)*$D$97),0))+(IFERROR(((H99/$F$99)*$D$99),0))+(IFERROR(((H100/$F$100)*$D$100),0))+(IFERROR(((H101/$F$101)*$D$101),0))+(IFERROR(((H102/$F$102)*$D$102),0))+(IFERROR(((H103/$F$103)*$D$103),0))+(IFERROR(((H105/$F$105)*$D$105),0))+(IFERROR(((H106/$F$106)*$D$106),0))+(IFERROR(((H107/$F$107)*$D$107),0))+(IFERROR(((H108/$F$108)*$D$108),0))+(IFERROR(((H109/$F$109)*$D$109),0))+(IFERROR(((H112/$F$112)*$D$112),0))+(IFERROR(((H113/$F$113)*$D$113),0))+(IFERROR(((H114/$F$114)*$D$114),0))+(IFERROR(((H115/$F$115)*$D$115),0))+(IFERROR(((H116/$F$116)*$D$116),0))+(IFERROR(((H118/$F$118)*$D$118),0))+(IFERROR(((H119/$F$119)*$D$119),0))+(IFERROR(((H120/$F$120)*$D$120),0))+(IFERROR(((H121/$F$121)*$D$121),0))+(IFERROR(((H122/$F$122)*$D$122),0))+(IFERROR(((H124/$F$124)*$D$124),0))+(IFERROR(((H125/$F$125)*$D$125),0))+(IFERROR(((H126/$F$126)*$D$126),0))+(IFERROR(((H127/$F$127)*$D$127),0))+(IFERROR(((H128/$F$128)*$D$128),0))+(IFERROR(((H130/$F$130)*$D$130),0))+(IFERROR(((H131/$F$131)*$D$131),0))+(IFERROR(((H132/$F$132)*$D$132),0))+(IFERROR(((H133/$F$133)*$D$133),0))+(IFERROR(((H134/$F$134)*$D$134),0))+(IFERROR(((H136/$F$136)*$D$136),0))+(IFERROR(((H137/$F$137)*$D$137),0))+(IFERROR(((H138/$F$138)*$D$138),0))+(IFERROR(((H139/$F$139)*$D$139),0))+(IFERROR(((H140/$F$140)*$D$140),0))+(IFERROR(((H143/$F$143)*$D$143),0))+(IFERROR(((H144/$F$144)*$D$144),0))+(IFERROR(((H145/$F$145)*$D$145),0))+(IFERROR(((H146/$F$146)*$D$146),0))+(IFERROR(((H147/$F$147)*$D$147),0))+(IFERROR(((H149/$F$149)*$D$149),0))+(IFERROR(((H150/$F$150)*$D$150),0))+(IFERROR(((H151/$F$151)*$D$151),0))+(IFERROR(((H152/$F$152)*$D$152),0))+(IFERROR(((H153/$F$153)*$D$153),0))+(IFERROR(((H155/$F$155)*$D$155),0))+(IFERROR(((H156/$F$156)*$D$156),0))+(IFERROR(((H157/$F$157)*$D$157),0))+(IFERROR(((H158/$F$158)*$D$158),0))+(IFERROR(((H159/$F$159)*$D$159),0))+(IFERROR(((H161/$F$161)*$D$161),0))+(IFERROR(((H162/G162)*E162),0))+(IFERROR(((H163/$F$163)*$D$163),0))+(IFERROR(((H164/$F$164)*$D$164),0))+(IFERROR(((H165/$F$165)*$D$165),0))+(IFERROR(((H167/$F$167)*$D$167),0))+(IFERROR(((H168/$F$168)*$D$168),0))+(IFERROR(((H169/$F$169)*$D$169),0))+(IFERROR(((H170/$F$170)*$D$170),0))+(IFERROR(((H171/$F$171)*$D$171),0))+(IFERROR(((H174/$F$174)*$D$174),0))+(IFERROR(((H175/$F$175)*$D$175),0))+(IFERROR(((H176/$F$176)*$D$176),0))+(IFERROR(((H177/$F$177)*$D$177),0))+(IFERROR(((H178/$F$178)*$D$178),0))+(IFERROR(((H180/$F$180)*$D$180),0))+(IFERROR(((H181/$F$181)*$D$181),0))+(IFERROR(((H182/$F$182)*$D$182),0))+(IFERROR(((H183/$F$183)*$D$183),0))+(IFERROR(((H184/$F$184)*$D$184),0))+(IFERROR(((H186/$F$186)*$D$186),0))+(IFERROR(((H187/$F$187)*$D$187),0))+(IFERROR(((H188/$F$188)*$D$188),0))+(IFERROR(((H189/$F$189)*$D$189),0))+(IFERROR(((H190/$F$190)*$D$190),0))+(IFERROR(((H192/$F$192)*$D$192),0))+(IFERROR(((H193/$F$193)*$D$193),0))+(IFERROR(((H194/$F$194)*$D$194),0))+(IFERROR(((H195/$F$195)*$D$195),0))+(IFERROR(((H196/$F$196)*$D$196),0))+(IFERROR(((H198/$F$198)*$D$198),0))+(IFERROR(((H199/$F$199)*$D$199),0))+(IFERROR(((H200/$F$200)*$D$200),0))+(IFERROR(((H201/$F$201)*$D$201),0))+(IFERROR(((H202/$F$202)*$D$202),0))</f>
        <v>0.16675101871317707</v>
      </c>
      <c r="I203" s="844">
        <f t="shared" si="75"/>
        <v>0.3332489812868229</v>
      </c>
      <c r="J203" s="844">
        <f t="shared" si="75"/>
        <v>0.3332489812868229</v>
      </c>
      <c r="K203" s="844">
        <f t="shared" si="75"/>
        <v>0</v>
      </c>
      <c r="L203" s="844">
        <f t="shared" si="75"/>
        <v>0</v>
      </c>
      <c r="M203" s="844">
        <f t="shared" si="75"/>
        <v>0</v>
      </c>
      <c r="N203" s="844">
        <f t="shared" si="75"/>
        <v>0</v>
      </c>
      <c r="O203" s="844">
        <f t="shared" si="75"/>
        <v>0</v>
      </c>
      <c r="P203" s="844">
        <f t="shared" si="75"/>
        <v>0</v>
      </c>
      <c r="Q203" s="844">
        <f t="shared" si="75"/>
        <v>0</v>
      </c>
      <c r="R203" s="844">
        <f t="shared" si="75"/>
        <v>0</v>
      </c>
      <c r="S203" s="844">
        <f t="shared" si="75"/>
        <v>0</v>
      </c>
      <c r="T203" s="844">
        <f t="shared" si="75"/>
        <v>0</v>
      </c>
      <c r="U203" s="844">
        <f t="shared" si="75"/>
        <v>0</v>
      </c>
      <c r="V203" s="844">
        <f t="shared" si="75"/>
        <v>0</v>
      </c>
      <c r="W203" s="844">
        <f t="shared" si="75"/>
        <v>0</v>
      </c>
      <c r="X203" s="844">
        <f t="shared" si="75"/>
        <v>0</v>
      </c>
      <c r="Y203" s="844">
        <f t="shared" si="75"/>
        <v>0</v>
      </c>
      <c r="Z203" s="844">
        <f t="shared" si="75"/>
        <v>0</v>
      </c>
      <c r="AA203" s="844">
        <f t="shared" si="75"/>
        <v>0</v>
      </c>
      <c r="AB203" s="844">
        <f t="shared" si="75"/>
        <v>0</v>
      </c>
      <c r="AC203" s="844">
        <f t="shared" si="75"/>
        <v>0</v>
      </c>
      <c r="AD203" s="844">
        <f t="shared" si="75"/>
        <v>0</v>
      </c>
    </row>
    <row r="204" spans="1:31" ht="18" customHeight="1" thickBot="1">
      <c r="A204" s="1005" t="s">
        <v>345</v>
      </c>
      <c r="B204" s="1006"/>
      <c r="C204" s="1006"/>
      <c r="D204" s="1006"/>
      <c r="E204" s="1006"/>
      <c r="F204" s="1006"/>
      <c r="G204" s="87">
        <f>G203</f>
        <v>0.16675101871317707</v>
      </c>
      <c r="H204" s="87">
        <f>H203+G204</f>
        <v>0.33350203742635415</v>
      </c>
      <c r="I204" s="87">
        <f t="shared" ref="I204:AC204" si="76">I203+H204</f>
        <v>0.6667510187131771</v>
      </c>
      <c r="J204" s="87">
        <f>J203+I204</f>
        <v>1</v>
      </c>
      <c r="K204" s="87">
        <v>0</v>
      </c>
      <c r="L204" s="87">
        <f t="shared" si="76"/>
        <v>0</v>
      </c>
      <c r="M204" s="87">
        <f t="shared" si="76"/>
        <v>0</v>
      </c>
      <c r="N204" s="87">
        <f t="shared" si="76"/>
        <v>0</v>
      </c>
      <c r="O204" s="87">
        <f t="shared" si="76"/>
        <v>0</v>
      </c>
      <c r="P204" s="87">
        <f t="shared" si="76"/>
        <v>0</v>
      </c>
      <c r="Q204" s="87">
        <f t="shared" si="76"/>
        <v>0</v>
      </c>
      <c r="R204" s="87">
        <f>R203+Q204</f>
        <v>0</v>
      </c>
      <c r="S204" s="87">
        <f t="shared" si="76"/>
        <v>0</v>
      </c>
      <c r="T204" s="87">
        <f t="shared" si="76"/>
        <v>0</v>
      </c>
      <c r="U204" s="87">
        <f t="shared" si="76"/>
        <v>0</v>
      </c>
      <c r="V204" s="87">
        <f t="shared" si="76"/>
        <v>0</v>
      </c>
      <c r="W204" s="87">
        <f t="shared" si="76"/>
        <v>0</v>
      </c>
      <c r="X204" s="87">
        <f t="shared" si="76"/>
        <v>0</v>
      </c>
      <c r="Y204" s="87">
        <f t="shared" si="76"/>
        <v>0</v>
      </c>
      <c r="Z204" s="87">
        <f t="shared" si="76"/>
        <v>0</v>
      </c>
      <c r="AA204" s="87">
        <f t="shared" si="76"/>
        <v>0</v>
      </c>
      <c r="AB204" s="87">
        <f t="shared" si="76"/>
        <v>0</v>
      </c>
      <c r="AC204" s="87">
        <f t="shared" si="76"/>
        <v>0</v>
      </c>
      <c r="AD204" s="87">
        <f>AD203+AC204</f>
        <v>0</v>
      </c>
    </row>
    <row r="205" spans="1:31" ht="18" customHeight="1" thickBot="1">
      <c r="A205" s="76"/>
      <c r="B205" s="76"/>
      <c r="C205" s="76"/>
      <c r="D205" s="77"/>
      <c r="E205" s="76"/>
      <c r="F205" s="76"/>
      <c r="G205" s="378"/>
      <c r="H205" s="378"/>
      <c r="I205" s="378"/>
      <c r="J205" s="378"/>
      <c r="K205" s="378"/>
      <c r="L205" s="378"/>
      <c r="M205" s="378"/>
      <c r="N205" s="378"/>
      <c r="O205" s="378"/>
      <c r="P205" s="378"/>
      <c r="Q205" s="378"/>
      <c r="R205" s="378"/>
      <c r="S205" s="378"/>
      <c r="T205" s="378"/>
      <c r="U205" s="378"/>
      <c r="V205" s="378"/>
      <c r="W205" s="378"/>
      <c r="X205" s="378"/>
      <c r="Y205" s="378"/>
      <c r="Z205" s="378"/>
      <c r="AA205" s="378"/>
      <c r="AB205" s="378"/>
      <c r="AC205" s="378"/>
      <c r="AD205" s="378"/>
    </row>
    <row r="206" spans="1:31" ht="18" customHeight="1" thickBot="1">
      <c r="A206" s="89"/>
      <c r="C206" s="90"/>
      <c r="E206" s="979" t="s">
        <v>346</v>
      </c>
      <c r="F206" s="980"/>
      <c r="G206" s="980"/>
      <c r="H206" s="980"/>
      <c r="I206" s="980"/>
      <c r="J206" s="980"/>
      <c r="K206" s="980"/>
      <c r="L206" s="980"/>
      <c r="M206" s="980"/>
      <c r="N206" s="980"/>
      <c r="O206" s="980"/>
      <c r="P206" s="980"/>
      <c r="Q206" s="981"/>
      <c r="R206" s="410" t="s">
        <v>347</v>
      </c>
      <c r="S206" s="982"/>
      <c r="T206" s="983"/>
      <c r="U206" s="983"/>
      <c r="V206" s="983"/>
      <c r="W206" s="983"/>
      <c r="X206" s="983"/>
      <c r="Y206" s="983"/>
      <c r="Z206" s="983"/>
      <c r="AA206" s="983"/>
      <c r="AB206" s="983"/>
      <c r="AC206" s="983"/>
      <c r="AD206" s="984"/>
    </row>
    <row r="207" spans="1:31" ht="18" customHeight="1">
      <c r="E207" s="1010" t="s">
        <v>348</v>
      </c>
      <c r="F207" s="1011"/>
      <c r="G207" s="1011"/>
      <c r="H207" s="1011"/>
      <c r="I207" s="1011"/>
      <c r="J207" s="1011"/>
      <c r="K207" s="1011"/>
      <c r="L207" s="1011"/>
      <c r="M207" s="1011"/>
      <c r="N207" s="1011"/>
      <c r="O207" s="1011"/>
      <c r="P207" s="1011"/>
      <c r="Q207" s="1011"/>
      <c r="R207" s="1012"/>
      <c r="S207" s="1012"/>
      <c r="T207" s="1012"/>
      <c r="U207" s="1012"/>
      <c r="V207" s="1012"/>
      <c r="W207" s="1012"/>
      <c r="X207" s="1012"/>
      <c r="Y207" s="1012"/>
      <c r="Z207" s="1012"/>
      <c r="AA207" s="1012"/>
      <c r="AB207" s="1012"/>
      <c r="AC207" s="1012"/>
      <c r="AD207" s="1013"/>
    </row>
    <row r="208" spans="1:31" ht="27.75" customHeight="1">
      <c r="E208" s="1014" t="s">
        <v>349</v>
      </c>
      <c r="F208" s="973" t="s">
        <v>350</v>
      </c>
      <c r="G208" s="973" t="s">
        <v>351</v>
      </c>
      <c r="H208" s="973"/>
      <c r="I208" s="973"/>
      <c r="J208" s="973"/>
      <c r="K208" s="973"/>
      <c r="L208" s="973"/>
      <c r="M208" s="973"/>
      <c r="N208" s="973"/>
      <c r="O208" s="973"/>
      <c r="P208" s="973"/>
      <c r="Q208" s="973"/>
      <c r="R208" s="955"/>
      <c r="S208" s="955"/>
      <c r="T208" s="955"/>
      <c r="U208" s="955"/>
      <c r="V208" s="955"/>
      <c r="W208" s="955"/>
      <c r="X208" s="955"/>
      <c r="Y208" s="955"/>
      <c r="Z208" s="955"/>
      <c r="AA208" s="955"/>
      <c r="AB208" s="955"/>
      <c r="AC208" s="955"/>
      <c r="AD208" s="974"/>
    </row>
    <row r="209" spans="3:33" ht="18" customHeight="1">
      <c r="E209" s="1014"/>
      <c r="F209" s="973"/>
      <c r="G209" s="374" t="s">
        <v>125</v>
      </c>
      <c r="H209" s="374" t="s">
        <v>126</v>
      </c>
      <c r="I209" s="374" t="s">
        <v>127</v>
      </c>
      <c r="J209" s="374" t="s">
        <v>128</v>
      </c>
      <c r="K209" s="374" t="s">
        <v>129</v>
      </c>
      <c r="L209" s="374" t="s">
        <v>130</v>
      </c>
      <c r="M209" s="374" t="s">
        <v>131</v>
      </c>
      <c r="N209" s="374" t="s">
        <v>132</v>
      </c>
      <c r="O209" s="374" t="s">
        <v>133</v>
      </c>
      <c r="P209" s="374" t="s">
        <v>134</v>
      </c>
      <c r="Q209" s="374" t="s">
        <v>135</v>
      </c>
      <c r="R209" s="374" t="s">
        <v>136</v>
      </c>
      <c r="S209" s="374" t="s">
        <v>137</v>
      </c>
      <c r="T209" s="374" t="s">
        <v>138</v>
      </c>
      <c r="U209" s="374" t="s">
        <v>139</v>
      </c>
      <c r="V209" s="374" t="s">
        <v>140</v>
      </c>
      <c r="W209" s="374" t="s">
        <v>141</v>
      </c>
      <c r="X209" s="374" t="s">
        <v>142</v>
      </c>
      <c r="Y209" s="374" t="s">
        <v>143</v>
      </c>
      <c r="Z209" s="374" t="s">
        <v>144</v>
      </c>
      <c r="AA209" s="374" t="s">
        <v>145</v>
      </c>
      <c r="AB209" s="374" t="s">
        <v>146</v>
      </c>
      <c r="AC209" s="374" t="s">
        <v>147</v>
      </c>
      <c r="AD209" s="79" t="s">
        <v>148</v>
      </c>
    </row>
    <row r="210" spans="3:33" ht="21" customHeight="1">
      <c r="E210" s="682">
        <f>+F210</f>
        <v>91699020</v>
      </c>
      <c r="F210" s="683">
        <v>91699020</v>
      </c>
      <c r="G210" s="684">
        <f t="shared" ref="G210:AD210" si="77">$F$210*G211</f>
        <v>15290904.999999998</v>
      </c>
      <c r="H210" s="684">
        <f t="shared" si="77"/>
        <v>15290904.999999998</v>
      </c>
      <c r="I210" s="684">
        <f t="shared" si="77"/>
        <v>30558605</v>
      </c>
      <c r="J210" s="684">
        <f t="shared" si="77"/>
        <v>30558605</v>
      </c>
      <c r="K210" s="684">
        <v>0</v>
      </c>
      <c r="L210" s="684">
        <f t="shared" si="77"/>
        <v>0</v>
      </c>
      <c r="M210" s="684">
        <f t="shared" si="77"/>
        <v>0</v>
      </c>
      <c r="N210" s="684">
        <f t="shared" si="77"/>
        <v>0</v>
      </c>
      <c r="O210" s="684">
        <f t="shared" si="77"/>
        <v>0</v>
      </c>
      <c r="P210" s="684">
        <f t="shared" si="77"/>
        <v>0</v>
      </c>
      <c r="Q210" s="684">
        <f t="shared" si="77"/>
        <v>0</v>
      </c>
      <c r="R210" s="684">
        <f t="shared" si="77"/>
        <v>0</v>
      </c>
      <c r="S210" s="684">
        <f t="shared" si="77"/>
        <v>0</v>
      </c>
      <c r="T210" s="684">
        <f t="shared" si="77"/>
        <v>0</v>
      </c>
      <c r="U210" s="684">
        <f t="shared" si="77"/>
        <v>0</v>
      </c>
      <c r="V210" s="684">
        <f t="shared" si="77"/>
        <v>0</v>
      </c>
      <c r="W210" s="684">
        <f t="shared" si="77"/>
        <v>0</v>
      </c>
      <c r="X210" s="684">
        <f t="shared" si="77"/>
        <v>0</v>
      </c>
      <c r="Y210" s="684">
        <f t="shared" si="77"/>
        <v>0</v>
      </c>
      <c r="Z210" s="684">
        <f t="shared" si="77"/>
        <v>0</v>
      </c>
      <c r="AA210" s="684">
        <f t="shared" si="77"/>
        <v>0</v>
      </c>
      <c r="AB210" s="684">
        <f t="shared" si="77"/>
        <v>0</v>
      </c>
      <c r="AC210" s="684">
        <f t="shared" si="77"/>
        <v>0</v>
      </c>
      <c r="AD210" s="685">
        <f t="shared" si="77"/>
        <v>0</v>
      </c>
      <c r="AE210" s="409"/>
      <c r="AF210" s="409"/>
      <c r="AG210" s="409"/>
    </row>
    <row r="211" spans="3:33" ht="21" customHeight="1">
      <c r="E211" s="975" t="s">
        <v>352</v>
      </c>
      <c r="F211" s="976"/>
      <c r="G211" s="379">
        <f>+G203</f>
        <v>0.16675101871317707</v>
      </c>
      <c r="H211" s="379">
        <f>+H203</f>
        <v>0.16675101871317707</v>
      </c>
      <c r="I211" s="379">
        <f>+I203</f>
        <v>0.3332489812868229</v>
      </c>
      <c r="J211" s="379">
        <f>+J203</f>
        <v>0.3332489812868229</v>
      </c>
      <c r="K211" s="379">
        <v>0</v>
      </c>
      <c r="L211" s="379">
        <f t="shared" ref="L211:AD211" si="78">L203</f>
        <v>0</v>
      </c>
      <c r="M211" s="379">
        <f t="shared" si="78"/>
        <v>0</v>
      </c>
      <c r="N211" s="379">
        <f t="shared" si="78"/>
        <v>0</v>
      </c>
      <c r="O211" s="379">
        <f t="shared" si="78"/>
        <v>0</v>
      </c>
      <c r="P211" s="379">
        <f t="shared" si="78"/>
        <v>0</v>
      </c>
      <c r="Q211" s="379">
        <f t="shared" si="78"/>
        <v>0</v>
      </c>
      <c r="R211" s="379">
        <f t="shared" si="78"/>
        <v>0</v>
      </c>
      <c r="S211" s="379">
        <f t="shared" si="78"/>
        <v>0</v>
      </c>
      <c r="T211" s="379">
        <f t="shared" si="78"/>
        <v>0</v>
      </c>
      <c r="U211" s="379">
        <f t="shared" si="78"/>
        <v>0</v>
      </c>
      <c r="V211" s="379">
        <f t="shared" si="78"/>
        <v>0</v>
      </c>
      <c r="W211" s="379">
        <f t="shared" si="78"/>
        <v>0</v>
      </c>
      <c r="X211" s="379">
        <f t="shared" si="78"/>
        <v>0</v>
      </c>
      <c r="Y211" s="379">
        <f t="shared" si="78"/>
        <v>0</v>
      </c>
      <c r="Z211" s="379">
        <f t="shared" si="78"/>
        <v>0</v>
      </c>
      <c r="AA211" s="379">
        <f t="shared" si="78"/>
        <v>0</v>
      </c>
      <c r="AB211" s="379">
        <f t="shared" si="78"/>
        <v>0</v>
      </c>
      <c r="AC211" s="379">
        <f t="shared" si="78"/>
        <v>0</v>
      </c>
      <c r="AD211" s="380">
        <f t="shared" si="78"/>
        <v>0</v>
      </c>
    </row>
    <row r="212" spans="3:33" ht="21" customHeight="1" thickBot="1">
      <c r="E212" s="975" t="s">
        <v>353</v>
      </c>
      <c r="F212" s="976"/>
      <c r="G212" s="379">
        <f>+G211</f>
        <v>0.16675101871317707</v>
      </c>
      <c r="H212" s="379">
        <f>+G212+H211</f>
        <v>0.33350203742635415</v>
      </c>
      <c r="I212" s="379">
        <f>+H212+I211</f>
        <v>0.6667510187131771</v>
      </c>
      <c r="J212" s="379">
        <f>+I212+J211</f>
        <v>1</v>
      </c>
      <c r="K212" s="379">
        <v>0</v>
      </c>
      <c r="L212" s="379">
        <f>+K212+L211</f>
        <v>0</v>
      </c>
      <c r="M212" s="379">
        <f t="shared" ref="M212:AD212" si="79">+L212+M211</f>
        <v>0</v>
      </c>
      <c r="N212" s="379">
        <f t="shared" si="79"/>
        <v>0</v>
      </c>
      <c r="O212" s="379">
        <f t="shared" si="79"/>
        <v>0</v>
      </c>
      <c r="P212" s="379">
        <f t="shared" si="79"/>
        <v>0</v>
      </c>
      <c r="Q212" s="379">
        <f t="shared" si="79"/>
        <v>0</v>
      </c>
      <c r="R212" s="379">
        <f t="shared" si="79"/>
        <v>0</v>
      </c>
      <c r="S212" s="379">
        <f t="shared" si="79"/>
        <v>0</v>
      </c>
      <c r="T212" s="379">
        <f t="shared" si="79"/>
        <v>0</v>
      </c>
      <c r="U212" s="379">
        <f t="shared" si="79"/>
        <v>0</v>
      </c>
      <c r="V212" s="379">
        <f t="shared" si="79"/>
        <v>0</v>
      </c>
      <c r="W212" s="379">
        <f t="shared" si="79"/>
        <v>0</v>
      </c>
      <c r="X212" s="379">
        <f t="shared" si="79"/>
        <v>0</v>
      </c>
      <c r="Y212" s="379">
        <f t="shared" si="79"/>
        <v>0</v>
      </c>
      <c r="Z212" s="379">
        <f t="shared" si="79"/>
        <v>0</v>
      </c>
      <c r="AA212" s="379">
        <f t="shared" si="79"/>
        <v>0</v>
      </c>
      <c r="AB212" s="379">
        <f t="shared" si="79"/>
        <v>0</v>
      </c>
      <c r="AC212" s="379">
        <f t="shared" si="79"/>
        <v>0</v>
      </c>
      <c r="AD212" s="380">
        <f t="shared" si="79"/>
        <v>0</v>
      </c>
    </row>
    <row r="213" spans="3:33" ht="21" customHeight="1">
      <c r="C213" s="966" t="s">
        <v>354</v>
      </c>
      <c r="D213" s="967"/>
      <c r="E213" s="1015" t="s">
        <v>355</v>
      </c>
      <c r="F213" s="1016"/>
      <c r="G213" s="98"/>
      <c r="H213" s="98"/>
      <c r="I213" s="98"/>
      <c r="J213" s="98"/>
      <c r="K213" s="98"/>
      <c r="L213" s="98"/>
      <c r="M213" s="98"/>
      <c r="N213" s="98"/>
      <c r="O213" s="98"/>
      <c r="P213" s="98"/>
      <c r="Q213" s="98"/>
      <c r="R213" s="98"/>
      <c r="S213" s="98"/>
      <c r="T213" s="98"/>
      <c r="U213" s="98"/>
      <c r="V213" s="98"/>
      <c r="W213" s="98"/>
      <c r="X213" s="98"/>
      <c r="Y213" s="98"/>
      <c r="Z213" s="98"/>
      <c r="AA213" s="98"/>
      <c r="AB213" s="98"/>
      <c r="AC213" s="98"/>
      <c r="AD213" s="474"/>
    </row>
    <row r="214" spans="3:33" ht="21" customHeight="1">
      <c r="C214" s="968"/>
      <c r="D214" s="969"/>
      <c r="E214" s="1008" t="s">
        <v>356</v>
      </c>
      <c r="F214" s="1009"/>
      <c r="G214" s="92">
        <f t="shared" ref="G214:AD214" si="80">IFERROR(G213/$F$210,0)</f>
        <v>0</v>
      </c>
      <c r="H214" s="92">
        <f t="shared" si="80"/>
        <v>0</v>
      </c>
      <c r="I214" s="92">
        <f t="shared" si="80"/>
        <v>0</v>
      </c>
      <c r="J214" s="92">
        <f t="shared" si="80"/>
        <v>0</v>
      </c>
      <c r="K214" s="92">
        <f t="shared" si="80"/>
        <v>0</v>
      </c>
      <c r="L214" s="92">
        <f t="shared" si="80"/>
        <v>0</v>
      </c>
      <c r="M214" s="92">
        <f t="shared" si="80"/>
        <v>0</v>
      </c>
      <c r="N214" s="92">
        <f t="shared" si="80"/>
        <v>0</v>
      </c>
      <c r="O214" s="92">
        <f t="shared" si="80"/>
        <v>0</v>
      </c>
      <c r="P214" s="92">
        <f t="shared" si="80"/>
        <v>0</v>
      </c>
      <c r="Q214" s="92">
        <f t="shared" si="80"/>
        <v>0</v>
      </c>
      <c r="R214" s="92">
        <f t="shared" si="80"/>
        <v>0</v>
      </c>
      <c r="S214" s="92">
        <f t="shared" si="80"/>
        <v>0</v>
      </c>
      <c r="T214" s="92">
        <f t="shared" si="80"/>
        <v>0</v>
      </c>
      <c r="U214" s="92">
        <f t="shared" si="80"/>
        <v>0</v>
      </c>
      <c r="V214" s="92">
        <f t="shared" si="80"/>
        <v>0</v>
      </c>
      <c r="W214" s="92">
        <f t="shared" si="80"/>
        <v>0</v>
      </c>
      <c r="X214" s="92">
        <f t="shared" si="80"/>
        <v>0</v>
      </c>
      <c r="Y214" s="92">
        <f t="shared" si="80"/>
        <v>0</v>
      </c>
      <c r="Z214" s="92">
        <f t="shared" si="80"/>
        <v>0</v>
      </c>
      <c r="AA214" s="92">
        <f t="shared" si="80"/>
        <v>0</v>
      </c>
      <c r="AB214" s="92">
        <f t="shared" si="80"/>
        <v>0</v>
      </c>
      <c r="AC214" s="92">
        <f t="shared" si="80"/>
        <v>0</v>
      </c>
      <c r="AD214" s="381">
        <f t="shared" si="80"/>
        <v>0</v>
      </c>
    </row>
    <row r="215" spans="3:33" ht="21" customHeight="1" thickBot="1">
      <c r="C215" s="970"/>
      <c r="D215" s="971"/>
      <c r="E215" s="977" t="s">
        <v>357</v>
      </c>
      <c r="F215" s="978"/>
      <c r="G215" s="382">
        <f>G214</f>
        <v>0</v>
      </c>
      <c r="H215" s="382">
        <f>G215+H214</f>
        <v>0</v>
      </c>
      <c r="I215" s="382">
        <f>H215+I214</f>
        <v>0</v>
      </c>
      <c r="J215" s="382">
        <f t="shared" ref="J215:AD215" si="81">I215+J214</f>
        <v>0</v>
      </c>
      <c r="K215" s="382">
        <f t="shared" si="81"/>
        <v>0</v>
      </c>
      <c r="L215" s="382">
        <f t="shared" si="81"/>
        <v>0</v>
      </c>
      <c r="M215" s="382">
        <f t="shared" si="81"/>
        <v>0</v>
      </c>
      <c r="N215" s="382">
        <f t="shared" si="81"/>
        <v>0</v>
      </c>
      <c r="O215" s="382">
        <f t="shared" si="81"/>
        <v>0</v>
      </c>
      <c r="P215" s="382">
        <f t="shared" si="81"/>
        <v>0</v>
      </c>
      <c r="Q215" s="382">
        <f t="shared" si="81"/>
        <v>0</v>
      </c>
      <c r="R215" s="382">
        <f t="shared" si="81"/>
        <v>0</v>
      </c>
      <c r="S215" s="382">
        <f t="shared" si="81"/>
        <v>0</v>
      </c>
      <c r="T215" s="382">
        <f t="shared" si="81"/>
        <v>0</v>
      </c>
      <c r="U215" s="382">
        <f t="shared" si="81"/>
        <v>0</v>
      </c>
      <c r="V215" s="382">
        <f t="shared" si="81"/>
        <v>0</v>
      </c>
      <c r="W215" s="382">
        <f t="shared" si="81"/>
        <v>0</v>
      </c>
      <c r="X215" s="382">
        <f t="shared" si="81"/>
        <v>0</v>
      </c>
      <c r="Y215" s="382">
        <f t="shared" si="81"/>
        <v>0</v>
      </c>
      <c r="Z215" s="382">
        <f t="shared" si="81"/>
        <v>0</v>
      </c>
      <c r="AA215" s="382">
        <f t="shared" si="81"/>
        <v>0</v>
      </c>
      <c r="AB215" s="382">
        <f t="shared" si="81"/>
        <v>0</v>
      </c>
      <c r="AC215" s="382">
        <f t="shared" si="81"/>
        <v>0</v>
      </c>
      <c r="AD215" s="383">
        <f t="shared" si="81"/>
        <v>0</v>
      </c>
      <c r="AG215" s="65">
        <v>16.68</v>
      </c>
    </row>
    <row r="216" spans="3:33" ht="18" customHeight="1" thickBot="1">
      <c r="E216" s="93"/>
      <c r="F216" s="93"/>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G216" s="65">
        <v>16.68</v>
      </c>
    </row>
    <row r="217" spans="3:33" ht="20.100000000000001" customHeight="1">
      <c r="C217" s="997" t="s">
        <v>358</v>
      </c>
      <c r="D217" s="998"/>
      <c r="E217" s="998"/>
      <c r="F217" s="998"/>
      <c r="G217" s="998"/>
      <c r="H217" s="998"/>
      <c r="I217" s="998"/>
      <c r="J217" s="998"/>
      <c r="K217" s="998"/>
      <c r="L217" s="998"/>
      <c r="M217" s="998"/>
      <c r="N217" s="998"/>
      <c r="O217" s="998"/>
      <c r="P217" s="998"/>
      <c r="Q217" s="998"/>
      <c r="R217" s="998"/>
      <c r="S217" s="998"/>
      <c r="T217" s="998"/>
      <c r="U217" s="998"/>
      <c r="V217" s="998"/>
      <c r="W217" s="998"/>
      <c r="X217" s="998"/>
      <c r="Y217" s="998"/>
      <c r="Z217" s="998"/>
      <c r="AA217" s="998"/>
      <c r="AB217" s="998"/>
      <c r="AC217" s="998"/>
      <c r="AD217" s="998"/>
      <c r="AE217" s="999"/>
      <c r="AG217" s="65">
        <v>33.32</v>
      </c>
    </row>
    <row r="218" spans="3:33" ht="20.100000000000001" customHeight="1">
      <c r="C218" s="946" t="s">
        <v>359</v>
      </c>
      <c r="D218" s="953" t="s">
        <v>360</v>
      </c>
      <c r="E218" s="949" t="s">
        <v>361</v>
      </c>
      <c r="F218" s="955" t="s">
        <v>351</v>
      </c>
      <c r="G218" s="956"/>
      <c r="H218" s="956"/>
      <c r="I218" s="956"/>
      <c r="J218" s="956"/>
      <c r="K218" s="956"/>
      <c r="L218" s="956"/>
      <c r="M218" s="956"/>
      <c r="N218" s="956"/>
      <c r="O218" s="956"/>
      <c r="P218" s="956"/>
      <c r="Q218" s="956"/>
      <c r="R218" s="956"/>
      <c r="S218" s="956"/>
      <c r="T218" s="956"/>
      <c r="U218" s="956"/>
      <c r="V218" s="956"/>
      <c r="W218" s="956"/>
      <c r="X218" s="956"/>
      <c r="Y218" s="956"/>
      <c r="Z218" s="956"/>
      <c r="AA218" s="956"/>
      <c r="AB218" s="956"/>
      <c r="AC218" s="956"/>
      <c r="AD218" s="956"/>
      <c r="AE218" s="957"/>
      <c r="AG218" s="65">
        <v>33.32</v>
      </c>
    </row>
    <row r="219" spans="3:33" ht="45.75" customHeight="1">
      <c r="C219" s="946"/>
      <c r="D219" s="954"/>
      <c r="E219" s="949"/>
      <c r="F219" s="94"/>
      <c r="G219" s="374" t="s">
        <v>125</v>
      </c>
      <c r="H219" s="374" t="s">
        <v>126</v>
      </c>
      <c r="I219" s="374" t="s">
        <v>127</v>
      </c>
      <c r="J219" s="374" t="s">
        <v>128</v>
      </c>
      <c r="K219" s="374" t="s">
        <v>129</v>
      </c>
      <c r="L219" s="374" t="s">
        <v>130</v>
      </c>
      <c r="M219" s="374" t="s">
        <v>131</v>
      </c>
      <c r="N219" s="374" t="s">
        <v>132</v>
      </c>
      <c r="O219" s="374" t="s">
        <v>133</v>
      </c>
      <c r="P219" s="374" t="s">
        <v>134</v>
      </c>
      <c r="Q219" s="374" t="s">
        <v>135</v>
      </c>
      <c r="R219" s="374" t="s">
        <v>136</v>
      </c>
      <c r="S219" s="374" t="s">
        <v>137</v>
      </c>
      <c r="T219" s="374" t="s">
        <v>138</v>
      </c>
      <c r="U219" s="374" t="s">
        <v>139</v>
      </c>
      <c r="V219" s="374" t="s">
        <v>140</v>
      </c>
      <c r="W219" s="374" t="s">
        <v>141</v>
      </c>
      <c r="X219" s="374" t="s">
        <v>142</v>
      </c>
      <c r="Y219" s="374" t="s">
        <v>143</v>
      </c>
      <c r="Z219" s="374" t="s">
        <v>144</v>
      </c>
      <c r="AA219" s="374" t="s">
        <v>145</v>
      </c>
      <c r="AB219" s="374" t="s">
        <v>146</v>
      </c>
      <c r="AC219" s="374" t="s">
        <v>147</v>
      </c>
      <c r="AD219" s="374" t="s">
        <v>148</v>
      </c>
      <c r="AE219" s="79" t="s">
        <v>362</v>
      </c>
    </row>
    <row r="220" spans="3:33" ht="26.25" customHeight="1">
      <c r="C220" s="1033">
        <v>61163620</v>
      </c>
      <c r="D220" s="1036">
        <v>30535400</v>
      </c>
      <c r="E220" s="948">
        <f>C220+D220</f>
        <v>91699020</v>
      </c>
      <c r="F220" s="95" t="s">
        <v>355</v>
      </c>
      <c r="G220" s="472">
        <v>15290905</v>
      </c>
      <c r="H220" s="472">
        <f t="shared" ref="H220:AC220" si="82">H213</f>
        <v>0</v>
      </c>
      <c r="I220" s="472">
        <f t="shared" si="82"/>
        <v>0</v>
      </c>
      <c r="J220" s="472">
        <f t="shared" si="82"/>
        <v>0</v>
      </c>
      <c r="K220" s="472">
        <f t="shared" si="82"/>
        <v>0</v>
      </c>
      <c r="L220" s="472">
        <f t="shared" si="82"/>
        <v>0</v>
      </c>
      <c r="M220" s="472">
        <f t="shared" si="82"/>
        <v>0</v>
      </c>
      <c r="N220" s="472">
        <f t="shared" si="82"/>
        <v>0</v>
      </c>
      <c r="O220" s="472">
        <f t="shared" si="82"/>
        <v>0</v>
      </c>
      <c r="P220" s="472">
        <f t="shared" si="82"/>
        <v>0</v>
      </c>
      <c r="Q220" s="472">
        <f t="shared" si="82"/>
        <v>0</v>
      </c>
      <c r="R220" s="472">
        <f t="shared" si="82"/>
        <v>0</v>
      </c>
      <c r="S220" s="472">
        <f t="shared" si="82"/>
        <v>0</v>
      </c>
      <c r="T220" s="472">
        <f t="shared" si="82"/>
        <v>0</v>
      </c>
      <c r="U220" s="472">
        <f t="shared" si="82"/>
        <v>0</v>
      </c>
      <c r="V220" s="472">
        <f t="shared" si="82"/>
        <v>0</v>
      </c>
      <c r="W220" s="472">
        <f t="shared" si="82"/>
        <v>0</v>
      </c>
      <c r="X220" s="472">
        <f t="shared" si="82"/>
        <v>0</v>
      </c>
      <c r="Y220" s="472">
        <f t="shared" si="82"/>
        <v>0</v>
      </c>
      <c r="Z220" s="472">
        <f t="shared" si="82"/>
        <v>0</v>
      </c>
      <c r="AA220" s="472">
        <f t="shared" si="82"/>
        <v>0</v>
      </c>
      <c r="AB220" s="472">
        <f t="shared" si="82"/>
        <v>0</v>
      </c>
      <c r="AC220" s="472">
        <f t="shared" si="82"/>
        <v>0</v>
      </c>
      <c r="AD220" s="472">
        <f>AD213</f>
        <v>0</v>
      </c>
      <c r="AE220" s="385">
        <f>SUM(G220:AD220)</f>
        <v>15290905</v>
      </c>
      <c r="AG220" s="100"/>
    </row>
    <row r="221" spans="3:33" ht="18" customHeight="1">
      <c r="C221" s="1034"/>
      <c r="D221" s="1037"/>
      <c r="E221" s="948"/>
      <c r="F221" s="96" t="s">
        <v>352</v>
      </c>
      <c r="G221" s="379">
        <f t="shared" ref="G221:AD221" si="83">IFERROR(G220/$E$220,0)</f>
        <v>0.16675101871317707</v>
      </c>
      <c r="H221" s="379">
        <f>+H211</f>
        <v>0.16675101871317707</v>
      </c>
      <c r="I221" s="379">
        <f>+I211</f>
        <v>0.3332489812868229</v>
      </c>
      <c r="J221" s="379">
        <f>+J211</f>
        <v>0.3332489812868229</v>
      </c>
      <c r="K221" s="9">
        <f t="shared" si="83"/>
        <v>0</v>
      </c>
      <c r="L221" s="9">
        <f t="shared" si="83"/>
        <v>0</v>
      </c>
      <c r="M221" s="9">
        <f t="shared" si="83"/>
        <v>0</v>
      </c>
      <c r="N221" s="9">
        <f t="shared" si="83"/>
        <v>0</v>
      </c>
      <c r="O221" s="9">
        <f t="shared" si="83"/>
        <v>0</v>
      </c>
      <c r="P221" s="9">
        <f t="shared" si="83"/>
        <v>0</v>
      </c>
      <c r="Q221" s="9">
        <f t="shared" si="83"/>
        <v>0</v>
      </c>
      <c r="R221" s="9">
        <f t="shared" si="83"/>
        <v>0</v>
      </c>
      <c r="S221" s="9">
        <f t="shared" si="83"/>
        <v>0</v>
      </c>
      <c r="T221" s="9">
        <f t="shared" si="83"/>
        <v>0</v>
      </c>
      <c r="U221" s="9">
        <f t="shared" si="83"/>
        <v>0</v>
      </c>
      <c r="V221" s="9">
        <f t="shared" si="83"/>
        <v>0</v>
      </c>
      <c r="W221" s="9">
        <f t="shared" si="83"/>
        <v>0</v>
      </c>
      <c r="X221" s="9">
        <f t="shared" si="83"/>
        <v>0</v>
      </c>
      <c r="Y221" s="9">
        <f t="shared" si="83"/>
        <v>0</v>
      </c>
      <c r="Z221" s="9">
        <f t="shared" si="83"/>
        <v>0</v>
      </c>
      <c r="AA221" s="9">
        <f t="shared" si="83"/>
        <v>0</v>
      </c>
      <c r="AB221" s="9">
        <f t="shared" si="83"/>
        <v>0</v>
      </c>
      <c r="AC221" s="9">
        <f t="shared" si="83"/>
        <v>0</v>
      </c>
      <c r="AD221" s="9">
        <f t="shared" si="83"/>
        <v>0</v>
      </c>
      <c r="AE221" s="386"/>
      <c r="AG221" s="100"/>
    </row>
    <row r="222" spans="3:33" ht="27.75" customHeight="1">
      <c r="C222" s="1034"/>
      <c r="D222" s="1037"/>
      <c r="E222" s="948"/>
      <c r="F222" s="97" t="s">
        <v>353</v>
      </c>
      <c r="G222" s="379">
        <f>+G221</f>
        <v>0.16675101871317707</v>
      </c>
      <c r="H222" s="379">
        <f>+G222+H221</f>
        <v>0.33350203742635415</v>
      </c>
      <c r="I222" s="379">
        <f>+H222+I221</f>
        <v>0.6667510187131771</v>
      </c>
      <c r="J222" s="379">
        <f>+I222+J221</f>
        <v>1</v>
      </c>
      <c r="K222" s="92">
        <f t="shared" ref="K222:AC222" si="84">+J222+K221</f>
        <v>1</v>
      </c>
      <c r="L222" s="92">
        <f t="shared" si="84"/>
        <v>1</v>
      </c>
      <c r="M222" s="92">
        <f t="shared" si="84"/>
        <v>1</v>
      </c>
      <c r="N222" s="92">
        <f t="shared" si="84"/>
        <v>1</v>
      </c>
      <c r="O222" s="92">
        <f t="shared" si="84"/>
        <v>1</v>
      </c>
      <c r="P222" s="92">
        <f t="shared" si="84"/>
        <v>1</v>
      </c>
      <c r="Q222" s="92">
        <f t="shared" si="84"/>
        <v>1</v>
      </c>
      <c r="R222" s="92">
        <f t="shared" si="84"/>
        <v>1</v>
      </c>
      <c r="S222" s="92">
        <f t="shared" si="84"/>
        <v>1</v>
      </c>
      <c r="T222" s="92">
        <f t="shared" si="84"/>
        <v>1</v>
      </c>
      <c r="U222" s="92">
        <f t="shared" si="84"/>
        <v>1</v>
      </c>
      <c r="V222" s="92">
        <f t="shared" si="84"/>
        <v>1</v>
      </c>
      <c r="W222" s="92">
        <f t="shared" si="84"/>
        <v>1</v>
      </c>
      <c r="X222" s="92">
        <f t="shared" si="84"/>
        <v>1</v>
      </c>
      <c r="Y222" s="92">
        <f t="shared" si="84"/>
        <v>1</v>
      </c>
      <c r="Z222" s="92">
        <f t="shared" si="84"/>
        <v>1</v>
      </c>
      <c r="AA222" s="92">
        <f t="shared" si="84"/>
        <v>1</v>
      </c>
      <c r="AB222" s="92">
        <f t="shared" si="84"/>
        <v>1</v>
      </c>
      <c r="AC222" s="92">
        <f t="shared" si="84"/>
        <v>1</v>
      </c>
      <c r="AD222" s="92">
        <f>+AC222+AD221</f>
        <v>1</v>
      </c>
      <c r="AE222" s="386"/>
    </row>
    <row r="223" spans="3:33" ht="28.5" customHeight="1">
      <c r="C223" s="1034"/>
      <c r="D223" s="1037"/>
      <c r="E223" s="948"/>
      <c r="F223" s="95" t="s">
        <v>363</v>
      </c>
      <c r="G223" s="98">
        <v>0</v>
      </c>
      <c r="H223" s="98">
        <f>H221*E220</f>
        <v>15290904.999999998</v>
      </c>
      <c r="I223" s="98">
        <f>I221*E220</f>
        <v>30558605</v>
      </c>
      <c r="J223" s="98">
        <f>E220*J221</f>
        <v>30558605</v>
      </c>
      <c r="K223" s="98"/>
      <c r="L223" s="98"/>
      <c r="M223" s="98"/>
      <c r="N223" s="98"/>
      <c r="O223" s="98"/>
      <c r="P223" s="98"/>
      <c r="Q223" s="98"/>
      <c r="R223" s="98"/>
      <c r="S223" s="98"/>
      <c r="T223" s="98"/>
      <c r="U223" s="98"/>
      <c r="V223" s="98"/>
      <c r="W223" s="98"/>
      <c r="X223" s="98"/>
      <c r="Y223" s="98"/>
      <c r="Z223" s="98"/>
      <c r="AA223" s="98"/>
      <c r="AB223" s="98"/>
      <c r="AC223" s="98"/>
      <c r="AD223" s="98"/>
      <c r="AE223" s="385">
        <f>SUM(G223:AD223)</f>
        <v>76408115</v>
      </c>
    </row>
    <row r="224" spans="3:33" ht="18" customHeight="1">
      <c r="C224" s="1034"/>
      <c r="D224" s="1037"/>
      <c r="E224" s="948"/>
      <c r="F224" s="96" t="s">
        <v>352</v>
      </c>
      <c r="G224" s="379">
        <f t="shared" ref="G224:AD224" si="85">IFERROR(G223/$E$220,0)</f>
        <v>0</v>
      </c>
      <c r="H224" s="379">
        <f t="shared" si="85"/>
        <v>0.16675101871317707</v>
      </c>
      <c r="I224" s="379">
        <f t="shared" si="85"/>
        <v>0.3332489812868229</v>
      </c>
      <c r="J224" s="379">
        <f t="shared" si="85"/>
        <v>0.3332489812868229</v>
      </c>
      <c r="K224" s="9">
        <f t="shared" si="85"/>
        <v>0</v>
      </c>
      <c r="L224" s="9">
        <f t="shared" si="85"/>
        <v>0</v>
      </c>
      <c r="M224" s="9">
        <f t="shared" si="85"/>
        <v>0</v>
      </c>
      <c r="N224" s="9">
        <f t="shared" si="85"/>
        <v>0</v>
      </c>
      <c r="O224" s="9">
        <f t="shared" si="85"/>
        <v>0</v>
      </c>
      <c r="P224" s="9">
        <f t="shared" si="85"/>
        <v>0</v>
      </c>
      <c r="Q224" s="9">
        <f t="shared" si="85"/>
        <v>0</v>
      </c>
      <c r="R224" s="9">
        <f t="shared" si="85"/>
        <v>0</v>
      </c>
      <c r="S224" s="9">
        <f t="shared" si="85"/>
        <v>0</v>
      </c>
      <c r="T224" s="9">
        <f t="shared" si="85"/>
        <v>0</v>
      </c>
      <c r="U224" s="9">
        <f t="shared" si="85"/>
        <v>0</v>
      </c>
      <c r="V224" s="9">
        <f t="shared" si="85"/>
        <v>0</v>
      </c>
      <c r="W224" s="9">
        <f t="shared" si="85"/>
        <v>0</v>
      </c>
      <c r="X224" s="9">
        <f t="shared" si="85"/>
        <v>0</v>
      </c>
      <c r="Y224" s="9">
        <f t="shared" si="85"/>
        <v>0</v>
      </c>
      <c r="Z224" s="9">
        <f t="shared" si="85"/>
        <v>0</v>
      </c>
      <c r="AA224" s="9">
        <f t="shared" si="85"/>
        <v>0</v>
      </c>
      <c r="AB224" s="9">
        <f t="shared" si="85"/>
        <v>0</v>
      </c>
      <c r="AC224" s="9">
        <f t="shared" si="85"/>
        <v>0</v>
      </c>
      <c r="AD224" s="9">
        <f t="shared" si="85"/>
        <v>0</v>
      </c>
      <c r="AE224" s="386"/>
    </row>
    <row r="225" spans="2:43" ht="26.25" customHeight="1">
      <c r="C225" s="1035"/>
      <c r="D225" s="1038"/>
      <c r="E225" s="948"/>
      <c r="F225" s="97" t="s">
        <v>353</v>
      </c>
      <c r="G225" s="379">
        <f>+G224</f>
        <v>0</v>
      </c>
      <c r="H225" s="379">
        <f>G226+H221</f>
        <v>0.33350203742635415</v>
      </c>
      <c r="I225" s="379">
        <f>H225+I221</f>
        <v>0.6667510187131771</v>
      </c>
      <c r="J225" s="379">
        <f>+J224</f>
        <v>0.3332489812868229</v>
      </c>
      <c r="K225" s="92">
        <f>+J225+K224</f>
        <v>0.3332489812868229</v>
      </c>
      <c r="L225" s="92">
        <f t="shared" ref="L225:AC225" si="86">+K225+L224</f>
        <v>0.3332489812868229</v>
      </c>
      <c r="M225" s="92">
        <f t="shared" si="86"/>
        <v>0.3332489812868229</v>
      </c>
      <c r="N225" s="92">
        <f t="shared" si="86"/>
        <v>0.3332489812868229</v>
      </c>
      <c r="O225" s="92">
        <f t="shared" si="86"/>
        <v>0.3332489812868229</v>
      </c>
      <c r="P225" s="92">
        <f t="shared" si="86"/>
        <v>0.3332489812868229</v>
      </c>
      <c r="Q225" s="92">
        <f t="shared" si="86"/>
        <v>0.3332489812868229</v>
      </c>
      <c r="R225" s="92">
        <f t="shared" si="86"/>
        <v>0.3332489812868229</v>
      </c>
      <c r="S225" s="92">
        <f t="shared" si="86"/>
        <v>0.3332489812868229</v>
      </c>
      <c r="T225" s="92">
        <f t="shared" si="86"/>
        <v>0.3332489812868229</v>
      </c>
      <c r="U225" s="92">
        <f t="shared" si="86"/>
        <v>0.3332489812868229</v>
      </c>
      <c r="V225" s="92">
        <f t="shared" si="86"/>
        <v>0.3332489812868229</v>
      </c>
      <c r="W225" s="92">
        <f t="shared" si="86"/>
        <v>0.3332489812868229</v>
      </c>
      <c r="X225" s="92">
        <f t="shared" si="86"/>
        <v>0.3332489812868229</v>
      </c>
      <c r="Y225" s="92">
        <f t="shared" si="86"/>
        <v>0.3332489812868229</v>
      </c>
      <c r="Z225" s="92">
        <f t="shared" si="86"/>
        <v>0.3332489812868229</v>
      </c>
      <c r="AA225" s="92">
        <f t="shared" si="86"/>
        <v>0.3332489812868229</v>
      </c>
      <c r="AB225" s="92">
        <f t="shared" si="86"/>
        <v>0.3332489812868229</v>
      </c>
      <c r="AC225" s="92">
        <f t="shared" si="86"/>
        <v>0.3332489812868229</v>
      </c>
      <c r="AD225" s="92">
        <f>+AC225+AD224</f>
        <v>0.3332489812868229</v>
      </c>
      <c r="AE225" s="386"/>
    </row>
    <row r="226" spans="2:43" ht="18" customHeight="1" thickBot="1">
      <c r="C226" s="950" t="s">
        <v>364</v>
      </c>
      <c r="D226" s="951"/>
      <c r="E226" s="951"/>
      <c r="F226" s="952"/>
      <c r="G226" s="382">
        <f>G222+G225</f>
        <v>0.16675101871317707</v>
      </c>
      <c r="H226" s="382">
        <f>+H225</f>
        <v>0.33350203742635415</v>
      </c>
      <c r="I226" s="382">
        <f>H226+I224</f>
        <v>0.6667510187131771</v>
      </c>
      <c r="J226" s="382">
        <f>I226+J225</f>
        <v>1</v>
      </c>
      <c r="K226" s="382">
        <f>K222+K225</f>
        <v>1.3332489812868229</v>
      </c>
      <c r="L226" s="382">
        <f>L222+L225</f>
        <v>1.3332489812868229</v>
      </c>
      <c r="M226" s="382">
        <f t="shared" ref="M226:AC226" si="87">M222+M225</f>
        <v>1.3332489812868229</v>
      </c>
      <c r="N226" s="382">
        <f t="shared" si="87"/>
        <v>1.3332489812868229</v>
      </c>
      <c r="O226" s="382">
        <f t="shared" si="87"/>
        <v>1.3332489812868229</v>
      </c>
      <c r="P226" s="382">
        <f t="shared" si="87"/>
        <v>1.3332489812868229</v>
      </c>
      <c r="Q226" s="382">
        <f t="shared" si="87"/>
        <v>1.3332489812868229</v>
      </c>
      <c r="R226" s="382">
        <f t="shared" si="87"/>
        <v>1.3332489812868229</v>
      </c>
      <c r="S226" s="382">
        <f t="shared" si="87"/>
        <v>1.3332489812868229</v>
      </c>
      <c r="T226" s="382">
        <f t="shared" si="87"/>
        <v>1.3332489812868229</v>
      </c>
      <c r="U226" s="382">
        <f t="shared" si="87"/>
        <v>1.3332489812868229</v>
      </c>
      <c r="V226" s="382">
        <f t="shared" si="87"/>
        <v>1.3332489812868229</v>
      </c>
      <c r="W226" s="382">
        <f t="shared" si="87"/>
        <v>1.3332489812868229</v>
      </c>
      <c r="X226" s="382">
        <f t="shared" si="87"/>
        <v>1.3332489812868229</v>
      </c>
      <c r="Y226" s="382">
        <f t="shared" si="87"/>
        <v>1.3332489812868229</v>
      </c>
      <c r="Z226" s="382">
        <f t="shared" si="87"/>
        <v>1.3332489812868229</v>
      </c>
      <c r="AA226" s="382">
        <f t="shared" si="87"/>
        <v>1.3332489812868229</v>
      </c>
      <c r="AB226" s="382">
        <f t="shared" si="87"/>
        <v>1.3332489812868229</v>
      </c>
      <c r="AC226" s="382">
        <f t="shared" si="87"/>
        <v>1.3332489812868229</v>
      </c>
      <c r="AD226" s="382">
        <f>AD222+AD225</f>
        <v>1.3332489812868229</v>
      </c>
      <c r="AE226" s="387">
        <f>IFERROR((AE220+AE223)/E220,0)</f>
        <v>1</v>
      </c>
    </row>
    <row r="227" spans="2:43" ht="18" customHeight="1">
      <c r="E227" s="93"/>
      <c r="F227" s="93"/>
      <c r="G227" s="90"/>
      <c r="H227" s="90"/>
      <c r="I227" s="90"/>
      <c r="J227" s="90"/>
      <c r="K227" s="90"/>
      <c r="L227" s="90"/>
      <c r="M227" s="90"/>
      <c r="N227" s="90"/>
      <c r="O227" s="90"/>
      <c r="P227" s="90"/>
      <c r="Q227" s="90"/>
      <c r="R227" s="90"/>
      <c r="S227" s="90"/>
      <c r="T227" s="90"/>
      <c r="U227" s="90"/>
      <c r="V227" s="90"/>
      <c r="W227" s="90"/>
      <c r="X227" s="90"/>
      <c r="Y227" s="90"/>
      <c r="Z227" s="90"/>
      <c r="AA227" s="90"/>
      <c r="AB227" s="90"/>
      <c r="AC227" s="90"/>
      <c r="AD227" s="90"/>
      <c r="AE227" s="841">
        <f>AE220+AE223</f>
        <v>91699020</v>
      </c>
      <c r="AF227" s="842">
        <f>E220-AE227</f>
        <v>0</v>
      </c>
    </row>
    <row r="228" spans="2:43" ht="18" customHeight="1">
      <c r="E228" s="93"/>
      <c r="G228" s="90"/>
      <c r="H228" s="90"/>
      <c r="I228" s="90"/>
      <c r="J228" s="90"/>
      <c r="K228" s="90"/>
      <c r="L228" s="90"/>
      <c r="M228" s="90"/>
      <c r="N228" s="90"/>
      <c r="O228" s="90"/>
      <c r="P228" s="90"/>
      <c r="Q228" s="90"/>
      <c r="R228" s="90"/>
      <c r="S228" s="90"/>
      <c r="T228" s="90"/>
      <c r="U228" s="90"/>
      <c r="V228" s="90"/>
      <c r="W228" s="90"/>
      <c r="X228" s="90"/>
      <c r="Y228" s="90"/>
      <c r="Z228" s="90"/>
      <c r="AA228" s="90"/>
      <c r="AB228" s="90"/>
      <c r="AC228" s="90"/>
      <c r="AD228" s="90"/>
    </row>
    <row r="229" spans="2:43" ht="18" customHeight="1">
      <c r="E229" s="93"/>
      <c r="M229" s="90"/>
      <c r="N229" s="90"/>
      <c r="O229" s="90"/>
      <c r="P229" s="90"/>
      <c r="Q229" s="90"/>
      <c r="R229" s="90"/>
      <c r="S229" s="90"/>
      <c r="T229" s="90"/>
      <c r="U229" s="90"/>
      <c r="V229" s="90"/>
      <c r="W229" s="90"/>
      <c r="X229" s="90"/>
      <c r="Y229" s="90"/>
      <c r="Z229" s="90"/>
      <c r="AA229" s="90"/>
      <c r="AB229" s="90"/>
      <c r="AC229" s="90"/>
      <c r="AD229" s="90"/>
    </row>
    <row r="230" spans="2:43" ht="18" customHeight="1">
      <c r="E230" s="93"/>
      <c r="F230" s="93"/>
      <c r="G230" s="90"/>
      <c r="H230" s="90"/>
      <c r="I230" s="90"/>
      <c r="J230" s="90"/>
      <c r="K230" s="90"/>
      <c r="L230" s="90"/>
      <c r="M230" s="90"/>
      <c r="N230" s="90"/>
      <c r="O230" s="90"/>
      <c r="P230" s="90"/>
      <c r="Q230" s="90"/>
      <c r="R230" s="90"/>
      <c r="S230" s="90"/>
      <c r="T230" s="90"/>
      <c r="U230" s="90"/>
      <c r="V230" s="90"/>
      <c r="W230" s="90"/>
      <c r="X230" s="90"/>
      <c r="Y230" s="90"/>
      <c r="Z230" s="90"/>
      <c r="AA230" s="90"/>
      <c r="AB230" s="90"/>
      <c r="AC230" s="90"/>
      <c r="AD230" s="90"/>
    </row>
    <row r="232" spans="2:43" ht="18" customHeight="1">
      <c r="G232" s="101"/>
      <c r="H232" s="101"/>
      <c r="I232" s="101"/>
    </row>
    <row r="233" spans="2:43" s="102" customFormat="1" ht="18" customHeight="1">
      <c r="B233" s="942" t="s">
        <v>385</v>
      </c>
      <c r="C233" s="942"/>
      <c r="D233" s="56"/>
      <c r="E233" s="103"/>
      <c r="F233" s="63"/>
      <c r="G233" s="858"/>
      <c r="H233" s="859" t="s">
        <v>366</v>
      </c>
      <c r="I233" s="859"/>
      <c r="J233" s="103"/>
      <c r="K233" s="103"/>
      <c r="L233" s="103"/>
      <c r="M233" s="103"/>
      <c r="N233" s="103"/>
      <c r="O233" s="103"/>
      <c r="P233" s="103"/>
      <c r="Q233" s="103"/>
      <c r="R233" s="103"/>
      <c r="S233" s="103"/>
      <c r="T233" s="103"/>
      <c r="U233" s="103"/>
      <c r="V233" s="103"/>
      <c r="W233" s="103"/>
      <c r="X233" s="103"/>
      <c r="Y233" s="103"/>
      <c r="Z233" s="103"/>
      <c r="AA233" s="103"/>
      <c r="AB233" s="103"/>
      <c r="AC233" s="103"/>
      <c r="AE233" s="104"/>
      <c r="AF233" s="104"/>
      <c r="AG233" s="104"/>
      <c r="AH233" s="104"/>
      <c r="AI233" s="943"/>
      <c r="AJ233" s="943"/>
      <c r="AK233" s="943"/>
      <c r="AL233" s="943"/>
      <c r="AM233" s="943"/>
      <c r="AN233" s="943"/>
      <c r="AO233" s="104"/>
      <c r="AP233" s="104"/>
      <c r="AQ233" s="105"/>
    </row>
    <row r="234" spans="2:43" s="102" customFormat="1" ht="18" customHeight="1">
      <c r="B234" s="944" t="s">
        <v>367</v>
      </c>
      <c r="C234" s="944"/>
      <c r="D234" s="57"/>
      <c r="F234" s="63"/>
      <c r="H234" s="2" t="s">
        <v>368</v>
      </c>
      <c r="I234" s="104"/>
      <c r="J234" s="104"/>
      <c r="K234" s="104"/>
      <c r="L234" s="104"/>
      <c r="M234" s="104"/>
      <c r="N234" s="104"/>
      <c r="O234" s="104"/>
      <c r="P234" s="104"/>
      <c r="Q234" s="104"/>
      <c r="R234" s="104"/>
      <c r="S234" s="104"/>
      <c r="T234" s="104"/>
      <c r="U234" s="104"/>
      <c r="V234" s="104"/>
      <c r="W234" s="104"/>
      <c r="X234" s="104"/>
      <c r="Y234" s="104"/>
      <c r="Z234" s="104"/>
      <c r="AA234" s="104"/>
      <c r="AB234" s="104"/>
      <c r="AC234" s="104"/>
      <c r="AE234" s="104"/>
      <c r="AF234" s="104"/>
      <c r="AG234" s="104"/>
      <c r="AH234" s="104"/>
      <c r="AI234" s="945"/>
      <c r="AJ234" s="945"/>
      <c r="AK234" s="945"/>
      <c r="AL234" s="945"/>
      <c r="AM234" s="945"/>
      <c r="AN234" s="945"/>
      <c r="AO234" s="103"/>
      <c r="AP234" s="103"/>
      <c r="AQ234" s="103"/>
    </row>
    <row r="236" spans="2:43" ht="18" customHeight="1">
      <c r="AE236" s="65" t="s">
        <v>386</v>
      </c>
    </row>
  </sheetData>
  <sheetProtection algorithmName="SHA-512" hashValue="R3aIkg9QB8wgjiAmlrGCpcQs0yrmGbOGoq11ITSEaOJuiz8jMmQgCcLFQRPzExBesd7GELSsyeZvECBGTrQfqQ==" saltValue="gwf5lPO371v4qC4uyyElfg==" spinCount="100000" sheet="1" formatCells="0" formatColumns="0" formatRows="0" insertColumns="0" insertRows="0" insertHyperlinks="0" deleteColumns="0" deleteRows="0" sort="0" autoFilter="0" pivotTables="0"/>
  <mergeCells count="52">
    <mergeCell ref="A5:B5"/>
    <mergeCell ref="C5:AD5"/>
    <mergeCell ref="A1:B3"/>
    <mergeCell ref="C1:AD1"/>
    <mergeCell ref="C2:AD2"/>
    <mergeCell ref="C3:G3"/>
    <mergeCell ref="H3:AD3"/>
    <mergeCell ref="A6:B6"/>
    <mergeCell ref="C6:AD6"/>
    <mergeCell ref="A8:B8"/>
    <mergeCell ref="C8:F8"/>
    <mergeCell ref="A9:B9"/>
    <mergeCell ref="C9:F9"/>
    <mergeCell ref="A10:B10"/>
    <mergeCell ref="C10:F10"/>
    <mergeCell ref="A11:B11"/>
    <mergeCell ref="C11:F11"/>
    <mergeCell ref="A13:AD13"/>
    <mergeCell ref="F14:F15"/>
    <mergeCell ref="G14:AD14"/>
    <mergeCell ref="A203:F203"/>
    <mergeCell ref="A204:F204"/>
    <mergeCell ref="E206:Q206"/>
    <mergeCell ref="S206:AD206"/>
    <mergeCell ref="A14:A15"/>
    <mergeCell ref="B14:B15"/>
    <mergeCell ref="C14:C15"/>
    <mergeCell ref="D14:D15"/>
    <mergeCell ref="E14:E15"/>
    <mergeCell ref="C218:C219"/>
    <mergeCell ref="D218:D219"/>
    <mergeCell ref="E218:E219"/>
    <mergeCell ref="F218:AE218"/>
    <mergeCell ref="E207:AD207"/>
    <mergeCell ref="E208:E209"/>
    <mergeCell ref="F208:F209"/>
    <mergeCell ref="G208:AD208"/>
    <mergeCell ref="E211:F211"/>
    <mergeCell ref="E212:F212"/>
    <mergeCell ref="C213:D215"/>
    <mergeCell ref="E213:F213"/>
    <mergeCell ref="E214:F214"/>
    <mergeCell ref="E215:F215"/>
    <mergeCell ref="C217:AE217"/>
    <mergeCell ref="B234:C234"/>
    <mergeCell ref="AI234:AN234"/>
    <mergeCell ref="C220:C225"/>
    <mergeCell ref="D220:D225"/>
    <mergeCell ref="E220:E225"/>
    <mergeCell ref="C226:F226"/>
    <mergeCell ref="B233:C233"/>
    <mergeCell ref="AI233:AN233"/>
  </mergeCells>
  <dataValidations count="7">
    <dataValidation allowBlank="1" showInputMessage="1" showErrorMessage="1" prompt="diligencie el numero de meses en letras (numero). ej: seis (6)." sqref="C10:D10 JK10 TG10 ADC10 AMY10 AWU10 BGQ10 BQM10 CAI10 CKE10 CUA10 DDW10 DNS10 DXO10 EHK10 ERG10 FBC10 FKY10 FUU10 GEQ10 GOM10 GYI10 HIE10 HSA10 IBW10 ILS10 IVO10 JFK10 JPG10 JZC10 KIY10 KSU10 LCQ10 LMM10 LWI10 MGE10 MQA10 MZW10 NJS10 NTO10 ODK10 ONG10 OXC10 PGY10 PQU10 QAQ10 QKM10 QUI10 REE10 ROA10 RXW10 SHS10 SRO10 TBK10 TLG10 TVC10 UEY10 UOU10 UYQ10 VIM10 VSI10 WCE10 WMA10 WVW10 C65748:D65748 JK65748 TG65748 ADC65748 AMY65748 AWU65748 BGQ65748 BQM65748 CAI65748 CKE65748 CUA65748 DDW65748 DNS65748 DXO65748 EHK65748 ERG65748 FBC65748 FKY65748 FUU65748 GEQ65748 GOM65748 GYI65748 HIE65748 HSA65748 IBW65748 ILS65748 IVO65748 JFK65748 JPG65748 JZC65748 KIY65748 KSU65748 LCQ65748 LMM65748 LWI65748 MGE65748 MQA65748 MZW65748 NJS65748 NTO65748 ODK65748 ONG65748 OXC65748 PGY65748 PQU65748 QAQ65748 QKM65748 QUI65748 REE65748 ROA65748 RXW65748 SHS65748 SRO65748 TBK65748 TLG65748 TVC65748 UEY65748 UOU65748 UYQ65748 VIM65748 VSI65748 WCE65748 WMA65748 WVW65748 C131284:D131284 JK131284 TG131284 ADC131284 AMY131284 AWU131284 BGQ131284 BQM131284 CAI131284 CKE131284 CUA131284 DDW131284 DNS131284 DXO131284 EHK131284 ERG131284 FBC131284 FKY131284 FUU131284 GEQ131284 GOM131284 GYI131284 HIE131284 HSA131284 IBW131284 ILS131284 IVO131284 JFK131284 JPG131284 JZC131284 KIY131284 KSU131284 LCQ131284 LMM131284 LWI131284 MGE131284 MQA131284 MZW131284 NJS131284 NTO131284 ODK131284 ONG131284 OXC131284 PGY131284 PQU131284 QAQ131284 QKM131284 QUI131284 REE131284 ROA131284 RXW131284 SHS131284 SRO131284 TBK131284 TLG131284 TVC131284 UEY131284 UOU131284 UYQ131284 VIM131284 VSI131284 WCE131284 WMA131284 WVW131284 C196820:D196820 JK196820 TG196820 ADC196820 AMY196820 AWU196820 BGQ196820 BQM196820 CAI196820 CKE196820 CUA196820 DDW196820 DNS196820 DXO196820 EHK196820 ERG196820 FBC196820 FKY196820 FUU196820 GEQ196820 GOM196820 GYI196820 HIE196820 HSA196820 IBW196820 ILS196820 IVO196820 JFK196820 JPG196820 JZC196820 KIY196820 KSU196820 LCQ196820 LMM196820 LWI196820 MGE196820 MQA196820 MZW196820 NJS196820 NTO196820 ODK196820 ONG196820 OXC196820 PGY196820 PQU196820 QAQ196820 QKM196820 QUI196820 REE196820 ROA196820 RXW196820 SHS196820 SRO196820 TBK196820 TLG196820 TVC196820 UEY196820 UOU196820 UYQ196820 VIM196820 VSI196820 WCE196820 WMA196820 WVW196820 C262356:D262356 JK262356 TG262356 ADC262356 AMY262356 AWU262356 BGQ262356 BQM262356 CAI262356 CKE262356 CUA262356 DDW262356 DNS262356 DXO262356 EHK262356 ERG262356 FBC262356 FKY262356 FUU262356 GEQ262356 GOM262356 GYI262356 HIE262356 HSA262356 IBW262356 ILS262356 IVO262356 JFK262356 JPG262356 JZC262356 KIY262356 KSU262356 LCQ262356 LMM262356 LWI262356 MGE262356 MQA262356 MZW262356 NJS262356 NTO262356 ODK262356 ONG262356 OXC262356 PGY262356 PQU262356 QAQ262356 QKM262356 QUI262356 REE262356 ROA262356 RXW262356 SHS262356 SRO262356 TBK262356 TLG262356 TVC262356 UEY262356 UOU262356 UYQ262356 VIM262356 VSI262356 WCE262356 WMA262356 WVW262356 C327892:D327892 JK327892 TG327892 ADC327892 AMY327892 AWU327892 BGQ327892 BQM327892 CAI327892 CKE327892 CUA327892 DDW327892 DNS327892 DXO327892 EHK327892 ERG327892 FBC327892 FKY327892 FUU327892 GEQ327892 GOM327892 GYI327892 HIE327892 HSA327892 IBW327892 ILS327892 IVO327892 JFK327892 JPG327892 JZC327892 KIY327892 KSU327892 LCQ327892 LMM327892 LWI327892 MGE327892 MQA327892 MZW327892 NJS327892 NTO327892 ODK327892 ONG327892 OXC327892 PGY327892 PQU327892 QAQ327892 QKM327892 QUI327892 REE327892 ROA327892 RXW327892 SHS327892 SRO327892 TBK327892 TLG327892 TVC327892 UEY327892 UOU327892 UYQ327892 VIM327892 VSI327892 WCE327892 WMA327892 WVW327892 C393428:D393428 JK393428 TG393428 ADC393428 AMY393428 AWU393428 BGQ393428 BQM393428 CAI393428 CKE393428 CUA393428 DDW393428 DNS393428 DXO393428 EHK393428 ERG393428 FBC393428 FKY393428 FUU393428 GEQ393428 GOM393428 GYI393428 HIE393428 HSA393428 IBW393428 ILS393428 IVO393428 JFK393428 JPG393428 JZC393428 KIY393428 KSU393428 LCQ393428 LMM393428 LWI393428 MGE393428 MQA393428 MZW393428 NJS393428 NTO393428 ODK393428 ONG393428 OXC393428 PGY393428 PQU393428 QAQ393428 QKM393428 QUI393428 REE393428 ROA393428 RXW393428 SHS393428 SRO393428 TBK393428 TLG393428 TVC393428 UEY393428 UOU393428 UYQ393428 VIM393428 VSI393428 WCE393428 WMA393428 WVW393428 C458964:D458964 JK458964 TG458964 ADC458964 AMY458964 AWU458964 BGQ458964 BQM458964 CAI458964 CKE458964 CUA458964 DDW458964 DNS458964 DXO458964 EHK458964 ERG458964 FBC458964 FKY458964 FUU458964 GEQ458964 GOM458964 GYI458964 HIE458964 HSA458964 IBW458964 ILS458964 IVO458964 JFK458964 JPG458964 JZC458964 KIY458964 KSU458964 LCQ458964 LMM458964 LWI458964 MGE458964 MQA458964 MZW458964 NJS458964 NTO458964 ODK458964 ONG458964 OXC458964 PGY458964 PQU458964 QAQ458964 QKM458964 QUI458964 REE458964 ROA458964 RXW458964 SHS458964 SRO458964 TBK458964 TLG458964 TVC458964 UEY458964 UOU458964 UYQ458964 VIM458964 VSI458964 WCE458964 WMA458964 WVW458964 C524500:D524500 JK524500 TG524500 ADC524500 AMY524500 AWU524500 BGQ524500 BQM524500 CAI524500 CKE524500 CUA524500 DDW524500 DNS524500 DXO524500 EHK524500 ERG524500 FBC524500 FKY524500 FUU524500 GEQ524500 GOM524500 GYI524500 HIE524500 HSA524500 IBW524500 ILS524500 IVO524500 JFK524500 JPG524500 JZC524500 KIY524500 KSU524500 LCQ524500 LMM524500 LWI524500 MGE524500 MQA524500 MZW524500 NJS524500 NTO524500 ODK524500 ONG524500 OXC524500 PGY524500 PQU524500 QAQ524500 QKM524500 QUI524500 REE524500 ROA524500 RXW524500 SHS524500 SRO524500 TBK524500 TLG524500 TVC524500 UEY524500 UOU524500 UYQ524500 VIM524500 VSI524500 WCE524500 WMA524500 WVW524500 C590036:D590036 JK590036 TG590036 ADC590036 AMY590036 AWU590036 BGQ590036 BQM590036 CAI590036 CKE590036 CUA590036 DDW590036 DNS590036 DXO590036 EHK590036 ERG590036 FBC590036 FKY590036 FUU590036 GEQ590036 GOM590036 GYI590036 HIE590036 HSA590036 IBW590036 ILS590036 IVO590036 JFK590036 JPG590036 JZC590036 KIY590036 KSU590036 LCQ590036 LMM590036 LWI590036 MGE590036 MQA590036 MZW590036 NJS590036 NTO590036 ODK590036 ONG590036 OXC590036 PGY590036 PQU590036 QAQ590036 QKM590036 QUI590036 REE590036 ROA590036 RXW590036 SHS590036 SRO590036 TBK590036 TLG590036 TVC590036 UEY590036 UOU590036 UYQ590036 VIM590036 VSI590036 WCE590036 WMA590036 WVW590036 C655572:D655572 JK655572 TG655572 ADC655572 AMY655572 AWU655572 BGQ655572 BQM655572 CAI655572 CKE655572 CUA655572 DDW655572 DNS655572 DXO655572 EHK655572 ERG655572 FBC655572 FKY655572 FUU655572 GEQ655572 GOM655572 GYI655572 HIE655572 HSA655572 IBW655572 ILS655572 IVO655572 JFK655572 JPG655572 JZC655572 KIY655572 KSU655572 LCQ655572 LMM655572 LWI655572 MGE655572 MQA655572 MZW655572 NJS655572 NTO655572 ODK655572 ONG655572 OXC655572 PGY655572 PQU655572 QAQ655572 QKM655572 QUI655572 REE655572 ROA655572 RXW655572 SHS655572 SRO655572 TBK655572 TLG655572 TVC655572 UEY655572 UOU655572 UYQ655572 VIM655572 VSI655572 WCE655572 WMA655572 WVW655572 C721108:D721108 JK721108 TG721108 ADC721108 AMY721108 AWU721108 BGQ721108 BQM721108 CAI721108 CKE721108 CUA721108 DDW721108 DNS721108 DXO721108 EHK721108 ERG721108 FBC721108 FKY721108 FUU721108 GEQ721108 GOM721108 GYI721108 HIE721108 HSA721108 IBW721108 ILS721108 IVO721108 JFK721108 JPG721108 JZC721108 KIY721108 KSU721108 LCQ721108 LMM721108 LWI721108 MGE721108 MQA721108 MZW721108 NJS721108 NTO721108 ODK721108 ONG721108 OXC721108 PGY721108 PQU721108 QAQ721108 QKM721108 QUI721108 REE721108 ROA721108 RXW721108 SHS721108 SRO721108 TBK721108 TLG721108 TVC721108 UEY721108 UOU721108 UYQ721108 VIM721108 VSI721108 WCE721108 WMA721108 WVW721108 C786644:D786644 JK786644 TG786644 ADC786644 AMY786644 AWU786644 BGQ786644 BQM786644 CAI786644 CKE786644 CUA786644 DDW786644 DNS786644 DXO786644 EHK786644 ERG786644 FBC786644 FKY786644 FUU786644 GEQ786644 GOM786644 GYI786644 HIE786644 HSA786644 IBW786644 ILS786644 IVO786644 JFK786644 JPG786644 JZC786644 KIY786644 KSU786644 LCQ786644 LMM786644 LWI786644 MGE786644 MQA786644 MZW786644 NJS786644 NTO786644 ODK786644 ONG786644 OXC786644 PGY786644 PQU786644 QAQ786644 QKM786644 QUI786644 REE786644 ROA786644 RXW786644 SHS786644 SRO786644 TBK786644 TLG786644 TVC786644 UEY786644 UOU786644 UYQ786644 VIM786644 VSI786644 WCE786644 WMA786644 WVW786644 C852180:D852180 JK852180 TG852180 ADC852180 AMY852180 AWU852180 BGQ852180 BQM852180 CAI852180 CKE852180 CUA852180 DDW852180 DNS852180 DXO852180 EHK852180 ERG852180 FBC852180 FKY852180 FUU852180 GEQ852180 GOM852180 GYI852180 HIE852180 HSA852180 IBW852180 ILS852180 IVO852180 JFK852180 JPG852180 JZC852180 KIY852180 KSU852180 LCQ852180 LMM852180 LWI852180 MGE852180 MQA852180 MZW852180 NJS852180 NTO852180 ODK852180 ONG852180 OXC852180 PGY852180 PQU852180 QAQ852180 QKM852180 QUI852180 REE852180 ROA852180 RXW852180 SHS852180 SRO852180 TBK852180 TLG852180 TVC852180 UEY852180 UOU852180 UYQ852180 VIM852180 VSI852180 WCE852180 WMA852180 WVW852180 C917716:D917716 JK917716 TG917716 ADC917716 AMY917716 AWU917716 BGQ917716 BQM917716 CAI917716 CKE917716 CUA917716 DDW917716 DNS917716 DXO917716 EHK917716 ERG917716 FBC917716 FKY917716 FUU917716 GEQ917716 GOM917716 GYI917716 HIE917716 HSA917716 IBW917716 ILS917716 IVO917716 JFK917716 JPG917716 JZC917716 KIY917716 KSU917716 LCQ917716 LMM917716 LWI917716 MGE917716 MQA917716 MZW917716 NJS917716 NTO917716 ODK917716 ONG917716 OXC917716 PGY917716 PQU917716 QAQ917716 QKM917716 QUI917716 REE917716 ROA917716 RXW917716 SHS917716 SRO917716 TBK917716 TLG917716 TVC917716 UEY917716 UOU917716 UYQ917716 VIM917716 VSI917716 WCE917716 WMA917716 WVW917716 C983252:D983252 JK983252 TG983252 ADC983252 AMY983252 AWU983252 BGQ983252 BQM983252 CAI983252 CKE983252 CUA983252 DDW983252 DNS983252 DXO983252 EHK983252 ERG983252 FBC983252 FKY983252 FUU983252 GEQ983252 GOM983252 GYI983252 HIE983252 HSA983252 IBW983252 ILS983252 IVO983252 JFK983252 JPG983252 JZC983252 KIY983252 KSU983252 LCQ983252 LMM983252 LWI983252 MGE983252 MQA983252 MZW983252 NJS983252 NTO983252 ODK983252 ONG983252 OXC983252 PGY983252 PQU983252 QAQ983252 QKM983252 QUI983252 REE983252 ROA983252 RXW983252 SHS983252 SRO983252 TBK983252 TLG983252 TVC983252 UEY983252 UOU983252 UYQ983252 VIM983252 VSI983252 WCE983252 WMA983252 WVW983252" xr:uid="{E4E83B92-5BED-46BA-A30B-CEB2AFC77B3E}"/>
    <dataValidation allowBlank="1" showInputMessage="1" showErrorMessage="1" prompt="Emplear una unidad de medida concreta y medible, no utilizar GLOBAL" sqref="WVX983259:WVX983260 E65755:E65756 JL65755:JL65756 TH65755:TH65756 ADD65755:ADD65756 AMZ65755:AMZ65756 AWV65755:AWV65756 BGR65755:BGR65756 BQN65755:BQN65756 CAJ65755:CAJ65756 CKF65755:CKF65756 CUB65755:CUB65756 DDX65755:DDX65756 DNT65755:DNT65756 DXP65755:DXP65756 EHL65755:EHL65756 ERH65755:ERH65756 FBD65755:FBD65756 FKZ65755:FKZ65756 FUV65755:FUV65756 GER65755:GER65756 GON65755:GON65756 GYJ65755:GYJ65756 HIF65755:HIF65756 HSB65755:HSB65756 IBX65755:IBX65756 ILT65755:ILT65756 IVP65755:IVP65756 JFL65755:JFL65756 JPH65755:JPH65756 JZD65755:JZD65756 KIZ65755:KIZ65756 KSV65755:KSV65756 LCR65755:LCR65756 LMN65755:LMN65756 LWJ65755:LWJ65756 MGF65755:MGF65756 MQB65755:MQB65756 MZX65755:MZX65756 NJT65755:NJT65756 NTP65755:NTP65756 ODL65755:ODL65756 ONH65755:ONH65756 OXD65755:OXD65756 PGZ65755:PGZ65756 PQV65755:PQV65756 QAR65755:QAR65756 QKN65755:QKN65756 QUJ65755:QUJ65756 REF65755:REF65756 ROB65755:ROB65756 RXX65755:RXX65756 SHT65755:SHT65756 SRP65755:SRP65756 TBL65755:TBL65756 TLH65755:TLH65756 TVD65755:TVD65756 UEZ65755:UEZ65756 UOV65755:UOV65756 UYR65755:UYR65756 VIN65755:VIN65756 VSJ65755:VSJ65756 WCF65755:WCF65756 WMB65755:WMB65756 WVX65755:WVX65756 E131291:E131292 JL131291:JL131292 TH131291:TH131292 ADD131291:ADD131292 AMZ131291:AMZ131292 AWV131291:AWV131292 BGR131291:BGR131292 BQN131291:BQN131292 CAJ131291:CAJ131292 CKF131291:CKF131292 CUB131291:CUB131292 DDX131291:DDX131292 DNT131291:DNT131292 DXP131291:DXP131292 EHL131291:EHL131292 ERH131291:ERH131292 FBD131291:FBD131292 FKZ131291:FKZ131292 FUV131291:FUV131292 GER131291:GER131292 GON131291:GON131292 GYJ131291:GYJ131292 HIF131291:HIF131292 HSB131291:HSB131292 IBX131291:IBX131292 ILT131291:ILT131292 IVP131291:IVP131292 JFL131291:JFL131292 JPH131291:JPH131292 JZD131291:JZD131292 KIZ131291:KIZ131292 KSV131291:KSV131292 LCR131291:LCR131292 LMN131291:LMN131292 LWJ131291:LWJ131292 MGF131291:MGF131292 MQB131291:MQB131292 MZX131291:MZX131292 NJT131291:NJT131292 NTP131291:NTP131292 ODL131291:ODL131292 ONH131291:ONH131292 OXD131291:OXD131292 PGZ131291:PGZ131292 PQV131291:PQV131292 QAR131291:QAR131292 QKN131291:QKN131292 QUJ131291:QUJ131292 REF131291:REF131292 ROB131291:ROB131292 RXX131291:RXX131292 SHT131291:SHT131292 SRP131291:SRP131292 TBL131291:TBL131292 TLH131291:TLH131292 TVD131291:TVD131292 UEZ131291:UEZ131292 UOV131291:UOV131292 UYR131291:UYR131292 VIN131291:VIN131292 VSJ131291:VSJ131292 WCF131291:WCF131292 WMB131291:WMB131292 WVX131291:WVX131292 E196827:E196828 JL196827:JL196828 TH196827:TH196828 ADD196827:ADD196828 AMZ196827:AMZ196828 AWV196827:AWV196828 BGR196827:BGR196828 BQN196827:BQN196828 CAJ196827:CAJ196828 CKF196827:CKF196828 CUB196827:CUB196828 DDX196827:DDX196828 DNT196827:DNT196828 DXP196827:DXP196828 EHL196827:EHL196828 ERH196827:ERH196828 FBD196827:FBD196828 FKZ196827:FKZ196828 FUV196827:FUV196828 GER196827:GER196828 GON196827:GON196828 GYJ196827:GYJ196828 HIF196827:HIF196828 HSB196827:HSB196828 IBX196827:IBX196828 ILT196827:ILT196828 IVP196827:IVP196828 JFL196827:JFL196828 JPH196827:JPH196828 JZD196827:JZD196828 KIZ196827:KIZ196828 KSV196827:KSV196828 LCR196827:LCR196828 LMN196827:LMN196828 LWJ196827:LWJ196828 MGF196827:MGF196828 MQB196827:MQB196828 MZX196827:MZX196828 NJT196827:NJT196828 NTP196827:NTP196828 ODL196827:ODL196828 ONH196827:ONH196828 OXD196827:OXD196828 PGZ196827:PGZ196828 PQV196827:PQV196828 QAR196827:QAR196828 QKN196827:QKN196828 QUJ196827:QUJ196828 REF196827:REF196828 ROB196827:ROB196828 RXX196827:RXX196828 SHT196827:SHT196828 SRP196827:SRP196828 TBL196827:TBL196828 TLH196827:TLH196828 TVD196827:TVD196828 UEZ196827:UEZ196828 UOV196827:UOV196828 UYR196827:UYR196828 VIN196827:VIN196828 VSJ196827:VSJ196828 WCF196827:WCF196828 WMB196827:WMB196828 WVX196827:WVX196828 E262363:E262364 JL262363:JL262364 TH262363:TH262364 ADD262363:ADD262364 AMZ262363:AMZ262364 AWV262363:AWV262364 BGR262363:BGR262364 BQN262363:BQN262364 CAJ262363:CAJ262364 CKF262363:CKF262364 CUB262363:CUB262364 DDX262363:DDX262364 DNT262363:DNT262364 DXP262363:DXP262364 EHL262363:EHL262364 ERH262363:ERH262364 FBD262363:FBD262364 FKZ262363:FKZ262364 FUV262363:FUV262364 GER262363:GER262364 GON262363:GON262364 GYJ262363:GYJ262364 HIF262363:HIF262364 HSB262363:HSB262364 IBX262363:IBX262364 ILT262363:ILT262364 IVP262363:IVP262364 JFL262363:JFL262364 JPH262363:JPH262364 JZD262363:JZD262364 KIZ262363:KIZ262364 KSV262363:KSV262364 LCR262363:LCR262364 LMN262363:LMN262364 LWJ262363:LWJ262364 MGF262363:MGF262364 MQB262363:MQB262364 MZX262363:MZX262364 NJT262363:NJT262364 NTP262363:NTP262364 ODL262363:ODL262364 ONH262363:ONH262364 OXD262363:OXD262364 PGZ262363:PGZ262364 PQV262363:PQV262364 QAR262363:QAR262364 QKN262363:QKN262364 QUJ262363:QUJ262364 REF262363:REF262364 ROB262363:ROB262364 RXX262363:RXX262364 SHT262363:SHT262364 SRP262363:SRP262364 TBL262363:TBL262364 TLH262363:TLH262364 TVD262363:TVD262364 UEZ262363:UEZ262364 UOV262363:UOV262364 UYR262363:UYR262364 VIN262363:VIN262364 VSJ262363:VSJ262364 WCF262363:WCF262364 WMB262363:WMB262364 WVX262363:WVX262364 E327899:E327900 JL327899:JL327900 TH327899:TH327900 ADD327899:ADD327900 AMZ327899:AMZ327900 AWV327899:AWV327900 BGR327899:BGR327900 BQN327899:BQN327900 CAJ327899:CAJ327900 CKF327899:CKF327900 CUB327899:CUB327900 DDX327899:DDX327900 DNT327899:DNT327900 DXP327899:DXP327900 EHL327899:EHL327900 ERH327899:ERH327900 FBD327899:FBD327900 FKZ327899:FKZ327900 FUV327899:FUV327900 GER327899:GER327900 GON327899:GON327900 GYJ327899:GYJ327900 HIF327899:HIF327900 HSB327899:HSB327900 IBX327899:IBX327900 ILT327899:ILT327900 IVP327899:IVP327900 JFL327899:JFL327900 JPH327899:JPH327900 JZD327899:JZD327900 KIZ327899:KIZ327900 KSV327899:KSV327900 LCR327899:LCR327900 LMN327899:LMN327900 LWJ327899:LWJ327900 MGF327899:MGF327900 MQB327899:MQB327900 MZX327899:MZX327900 NJT327899:NJT327900 NTP327899:NTP327900 ODL327899:ODL327900 ONH327899:ONH327900 OXD327899:OXD327900 PGZ327899:PGZ327900 PQV327899:PQV327900 QAR327899:QAR327900 QKN327899:QKN327900 QUJ327899:QUJ327900 REF327899:REF327900 ROB327899:ROB327900 RXX327899:RXX327900 SHT327899:SHT327900 SRP327899:SRP327900 TBL327899:TBL327900 TLH327899:TLH327900 TVD327899:TVD327900 UEZ327899:UEZ327900 UOV327899:UOV327900 UYR327899:UYR327900 VIN327899:VIN327900 VSJ327899:VSJ327900 WCF327899:WCF327900 WMB327899:WMB327900 WVX327899:WVX327900 E393435:E393436 JL393435:JL393436 TH393435:TH393436 ADD393435:ADD393436 AMZ393435:AMZ393436 AWV393435:AWV393436 BGR393435:BGR393436 BQN393435:BQN393436 CAJ393435:CAJ393436 CKF393435:CKF393436 CUB393435:CUB393436 DDX393435:DDX393436 DNT393435:DNT393436 DXP393435:DXP393436 EHL393435:EHL393436 ERH393435:ERH393436 FBD393435:FBD393436 FKZ393435:FKZ393436 FUV393435:FUV393436 GER393435:GER393436 GON393435:GON393436 GYJ393435:GYJ393436 HIF393435:HIF393436 HSB393435:HSB393436 IBX393435:IBX393436 ILT393435:ILT393436 IVP393435:IVP393436 JFL393435:JFL393436 JPH393435:JPH393436 JZD393435:JZD393436 KIZ393435:KIZ393436 KSV393435:KSV393436 LCR393435:LCR393436 LMN393435:LMN393436 LWJ393435:LWJ393436 MGF393435:MGF393436 MQB393435:MQB393436 MZX393435:MZX393436 NJT393435:NJT393436 NTP393435:NTP393436 ODL393435:ODL393436 ONH393435:ONH393436 OXD393435:OXD393436 PGZ393435:PGZ393436 PQV393435:PQV393436 QAR393435:QAR393436 QKN393435:QKN393436 QUJ393435:QUJ393436 REF393435:REF393436 ROB393435:ROB393436 RXX393435:RXX393436 SHT393435:SHT393436 SRP393435:SRP393436 TBL393435:TBL393436 TLH393435:TLH393436 TVD393435:TVD393436 UEZ393435:UEZ393436 UOV393435:UOV393436 UYR393435:UYR393436 VIN393435:VIN393436 VSJ393435:VSJ393436 WCF393435:WCF393436 WMB393435:WMB393436 WVX393435:WVX393436 E458971:E458972 JL458971:JL458972 TH458971:TH458972 ADD458971:ADD458972 AMZ458971:AMZ458972 AWV458971:AWV458972 BGR458971:BGR458972 BQN458971:BQN458972 CAJ458971:CAJ458972 CKF458971:CKF458972 CUB458971:CUB458972 DDX458971:DDX458972 DNT458971:DNT458972 DXP458971:DXP458972 EHL458971:EHL458972 ERH458971:ERH458972 FBD458971:FBD458972 FKZ458971:FKZ458972 FUV458971:FUV458972 GER458971:GER458972 GON458971:GON458972 GYJ458971:GYJ458972 HIF458971:HIF458972 HSB458971:HSB458972 IBX458971:IBX458972 ILT458971:ILT458972 IVP458971:IVP458972 JFL458971:JFL458972 JPH458971:JPH458972 JZD458971:JZD458972 KIZ458971:KIZ458972 KSV458971:KSV458972 LCR458971:LCR458972 LMN458971:LMN458972 LWJ458971:LWJ458972 MGF458971:MGF458972 MQB458971:MQB458972 MZX458971:MZX458972 NJT458971:NJT458972 NTP458971:NTP458972 ODL458971:ODL458972 ONH458971:ONH458972 OXD458971:OXD458972 PGZ458971:PGZ458972 PQV458971:PQV458972 QAR458971:QAR458972 QKN458971:QKN458972 QUJ458971:QUJ458972 REF458971:REF458972 ROB458971:ROB458972 RXX458971:RXX458972 SHT458971:SHT458972 SRP458971:SRP458972 TBL458971:TBL458972 TLH458971:TLH458972 TVD458971:TVD458972 UEZ458971:UEZ458972 UOV458971:UOV458972 UYR458971:UYR458972 VIN458971:VIN458972 VSJ458971:VSJ458972 WCF458971:WCF458972 WMB458971:WMB458972 WVX458971:WVX458972 E524507:E524508 JL524507:JL524508 TH524507:TH524508 ADD524507:ADD524508 AMZ524507:AMZ524508 AWV524507:AWV524508 BGR524507:BGR524508 BQN524507:BQN524508 CAJ524507:CAJ524508 CKF524507:CKF524508 CUB524507:CUB524508 DDX524507:DDX524508 DNT524507:DNT524508 DXP524507:DXP524508 EHL524507:EHL524508 ERH524507:ERH524508 FBD524507:FBD524508 FKZ524507:FKZ524508 FUV524507:FUV524508 GER524507:GER524508 GON524507:GON524508 GYJ524507:GYJ524508 HIF524507:HIF524508 HSB524507:HSB524508 IBX524507:IBX524508 ILT524507:ILT524508 IVP524507:IVP524508 JFL524507:JFL524508 JPH524507:JPH524508 JZD524507:JZD524508 KIZ524507:KIZ524508 KSV524507:KSV524508 LCR524507:LCR524508 LMN524507:LMN524508 LWJ524507:LWJ524508 MGF524507:MGF524508 MQB524507:MQB524508 MZX524507:MZX524508 NJT524507:NJT524508 NTP524507:NTP524508 ODL524507:ODL524508 ONH524507:ONH524508 OXD524507:OXD524508 PGZ524507:PGZ524508 PQV524507:PQV524508 QAR524507:QAR524508 QKN524507:QKN524508 QUJ524507:QUJ524508 REF524507:REF524508 ROB524507:ROB524508 RXX524507:RXX524508 SHT524507:SHT524508 SRP524507:SRP524508 TBL524507:TBL524508 TLH524507:TLH524508 TVD524507:TVD524508 UEZ524507:UEZ524508 UOV524507:UOV524508 UYR524507:UYR524508 VIN524507:VIN524508 VSJ524507:VSJ524508 WCF524507:WCF524508 WMB524507:WMB524508 WVX524507:WVX524508 E590043:E590044 JL590043:JL590044 TH590043:TH590044 ADD590043:ADD590044 AMZ590043:AMZ590044 AWV590043:AWV590044 BGR590043:BGR590044 BQN590043:BQN590044 CAJ590043:CAJ590044 CKF590043:CKF590044 CUB590043:CUB590044 DDX590043:DDX590044 DNT590043:DNT590044 DXP590043:DXP590044 EHL590043:EHL590044 ERH590043:ERH590044 FBD590043:FBD590044 FKZ590043:FKZ590044 FUV590043:FUV590044 GER590043:GER590044 GON590043:GON590044 GYJ590043:GYJ590044 HIF590043:HIF590044 HSB590043:HSB590044 IBX590043:IBX590044 ILT590043:ILT590044 IVP590043:IVP590044 JFL590043:JFL590044 JPH590043:JPH590044 JZD590043:JZD590044 KIZ590043:KIZ590044 KSV590043:KSV590044 LCR590043:LCR590044 LMN590043:LMN590044 LWJ590043:LWJ590044 MGF590043:MGF590044 MQB590043:MQB590044 MZX590043:MZX590044 NJT590043:NJT590044 NTP590043:NTP590044 ODL590043:ODL590044 ONH590043:ONH590044 OXD590043:OXD590044 PGZ590043:PGZ590044 PQV590043:PQV590044 QAR590043:QAR590044 QKN590043:QKN590044 QUJ590043:QUJ590044 REF590043:REF590044 ROB590043:ROB590044 RXX590043:RXX590044 SHT590043:SHT590044 SRP590043:SRP590044 TBL590043:TBL590044 TLH590043:TLH590044 TVD590043:TVD590044 UEZ590043:UEZ590044 UOV590043:UOV590044 UYR590043:UYR590044 VIN590043:VIN590044 VSJ590043:VSJ590044 WCF590043:WCF590044 WMB590043:WMB590044 WVX590043:WVX590044 E655579:E655580 JL655579:JL655580 TH655579:TH655580 ADD655579:ADD655580 AMZ655579:AMZ655580 AWV655579:AWV655580 BGR655579:BGR655580 BQN655579:BQN655580 CAJ655579:CAJ655580 CKF655579:CKF655580 CUB655579:CUB655580 DDX655579:DDX655580 DNT655579:DNT655580 DXP655579:DXP655580 EHL655579:EHL655580 ERH655579:ERH655580 FBD655579:FBD655580 FKZ655579:FKZ655580 FUV655579:FUV655580 GER655579:GER655580 GON655579:GON655580 GYJ655579:GYJ655580 HIF655579:HIF655580 HSB655579:HSB655580 IBX655579:IBX655580 ILT655579:ILT655580 IVP655579:IVP655580 JFL655579:JFL655580 JPH655579:JPH655580 JZD655579:JZD655580 KIZ655579:KIZ655580 KSV655579:KSV655580 LCR655579:LCR655580 LMN655579:LMN655580 LWJ655579:LWJ655580 MGF655579:MGF655580 MQB655579:MQB655580 MZX655579:MZX655580 NJT655579:NJT655580 NTP655579:NTP655580 ODL655579:ODL655580 ONH655579:ONH655580 OXD655579:OXD655580 PGZ655579:PGZ655580 PQV655579:PQV655580 QAR655579:QAR655580 QKN655579:QKN655580 QUJ655579:QUJ655580 REF655579:REF655580 ROB655579:ROB655580 RXX655579:RXX655580 SHT655579:SHT655580 SRP655579:SRP655580 TBL655579:TBL655580 TLH655579:TLH655580 TVD655579:TVD655580 UEZ655579:UEZ655580 UOV655579:UOV655580 UYR655579:UYR655580 VIN655579:VIN655580 VSJ655579:VSJ655580 WCF655579:WCF655580 WMB655579:WMB655580 WVX655579:WVX655580 E721115:E721116 JL721115:JL721116 TH721115:TH721116 ADD721115:ADD721116 AMZ721115:AMZ721116 AWV721115:AWV721116 BGR721115:BGR721116 BQN721115:BQN721116 CAJ721115:CAJ721116 CKF721115:CKF721116 CUB721115:CUB721116 DDX721115:DDX721116 DNT721115:DNT721116 DXP721115:DXP721116 EHL721115:EHL721116 ERH721115:ERH721116 FBD721115:FBD721116 FKZ721115:FKZ721116 FUV721115:FUV721116 GER721115:GER721116 GON721115:GON721116 GYJ721115:GYJ721116 HIF721115:HIF721116 HSB721115:HSB721116 IBX721115:IBX721116 ILT721115:ILT721116 IVP721115:IVP721116 JFL721115:JFL721116 JPH721115:JPH721116 JZD721115:JZD721116 KIZ721115:KIZ721116 KSV721115:KSV721116 LCR721115:LCR721116 LMN721115:LMN721116 LWJ721115:LWJ721116 MGF721115:MGF721116 MQB721115:MQB721116 MZX721115:MZX721116 NJT721115:NJT721116 NTP721115:NTP721116 ODL721115:ODL721116 ONH721115:ONH721116 OXD721115:OXD721116 PGZ721115:PGZ721116 PQV721115:PQV721116 QAR721115:QAR721116 QKN721115:QKN721116 QUJ721115:QUJ721116 REF721115:REF721116 ROB721115:ROB721116 RXX721115:RXX721116 SHT721115:SHT721116 SRP721115:SRP721116 TBL721115:TBL721116 TLH721115:TLH721116 TVD721115:TVD721116 UEZ721115:UEZ721116 UOV721115:UOV721116 UYR721115:UYR721116 VIN721115:VIN721116 VSJ721115:VSJ721116 WCF721115:WCF721116 WMB721115:WMB721116 WVX721115:WVX721116 E786651:E786652 JL786651:JL786652 TH786651:TH786652 ADD786651:ADD786652 AMZ786651:AMZ786652 AWV786651:AWV786652 BGR786651:BGR786652 BQN786651:BQN786652 CAJ786651:CAJ786652 CKF786651:CKF786652 CUB786651:CUB786652 DDX786651:DDX786652 DNT786651:DNT786652 DXP786651:DXP786652 EHL786651:EHL786652 ERH786651:ERH786652 FBD786651:FBD786652 FKZ786651:FKZ786652 FUV786651:FUV786652 GER786651:GER786652 GON786651:GON786652 GYJ786651:GYJ786652 HIF786651:HIF786652 HSB786651:HSB786652 IBX786651:IBX786652 ILT786651:ILT786652 IVP786651:IVP786652 JFL786651:JFL786652 JPH786651:JPH786652 JZD786651:JZD786652 KIZ786651:KIZ786652 KSV786651:KSV786652 LCR786651:LCR786652 LMN786651:LMN786652 LWJ786651:LWJ786652 MGF786651:MGF786652 MQB786651:MQB786652 MZX786651:MZX786652 NJT786651:NJT786652 NTP786651:NTP786652 ODL786651:ODL786652 ONH786651:ONH786652 OXD786651:OXD786652 PGZ786651:PGZ786652 PQV786651:PQV786652 QAR786651:QAR786652 QKN786651:QKN786652 QUJ786651:QUJ786652 REF786651:REF786652 ROB786651:ROB786652 RXX786651:RXX786652 SHT786651:SHT786652 SRP786651:SRP786652 TBL786651:TBL786652 TLH786651:TLH786652 TVD786651:TVD786652 UEZ786651:UEZ786652 UOV786651:UOV786652 UYR786651:UYR786652 VIN786651:VIN786652 VSJ786651:VSJ786652 WCF786651:WCF786652 WMB786651:WMB786652 WVX786651:WVX786652 E852187:E852188 JL852187:JL852188 TH852187:TH852188 ADD852187:ADD852188 AMZ852187:AMZ852188 AWV852187:AWV852188 BGR852187:BGR852188 BQN852187:BQN852188 CAJ852187:CAJ852188 CKF852187:CKF852188 CUB852187:CUB852188 DDX852187:DDX852188 DNT852187:DNT852188 DXP852187:DXP852188 EHL852187:EHL852188 ERH852187:ERH852188 FBD852187:FBD852188 FKZ852187:FKZ852188 FUV852187:FUV852188 GER852187:GER852188 GON852187:GON852188 GYJ852187:GYJ852188 HIF852187:HIF852188 HSB852187:HSB852188 IBX852187:IBX852188 ILT852187:ILT852188 IVP852187:IVP852188 JFL852187:JFL852188 JPH852187:JPH852188 JZD852187:JZD852188 KIZ852187:KIZ852188 KSV852187:KSV852188 LCR852187:LCR852188 LMN852187:LMN852188 LWJ852187:LWJ852188 MGF852187:MGF852188 MQB852187:MQB852188 MZX852187:MZX852188 NJT852187:NJT852188 NTP852187:NTP852188 ODL852187:ODL852188 ONH852187:ONH852188 OXD852187:OXD852188 PGZ852187:PGZ852188 PQV852187:PQV852188 QAR852187:QAR852188 QKN852187:QKN852188 QUJ852187:QUJ852188 REF852187:REF852188 ROB852187:ROB852188 RXX852187:RXX852188 SHT852187:SHT852188 SRP852187:SRP852188 TBL852187:TBL852188 TLH852187:TLH852188 TVD852187:TVD852188 UEZ852187:UEZ852188 UOV852187:UOV852188 UYR852187:UYR852188 VIN852187:VIN852188 VSJ852187:VSJ852188 WCF852187:WCF852188 WMB852187:WMB852188 WVX852187:WVX852188 E917723:E917724 JL917723:JL917724 TH917723:TH917724 ADD917723:ADD917724 AMZ917723:AMZ917724 AWV917723:AWV917724 BGR917723:BGR917724 BQN917723:BQN917724 CAJ917723:CAJ917724 CKF917723:CKF917724 CUB917723:CUB917724 DDX917723:DDX917724 DNT917723:DNT917724 DXP917723:DXP917724 EHL917723:EHL917724 ERH917723:ERH917724 FBD917723:FBD917724 FKZ917723:FKZ917724 FUV917723:FUV917724 GER917723:GER917724 GON917723:GON917724 GYJ917723:GYJ917724 HIF917723:HIF917724 HSB917723:HSB917724 IBX917723:IBX917724 ILT917723:ILT917724 IVP917723:IVP917724 JFL917723:JFL917724 JPH917723:JPH917724 JZD917723:JZD917724 KIZ917723:KIZ917724 KSV917723:KSV917724 LCR917723:LCR917724 LMN917723:LMN917724 LWJ917723:LWJ917724 MGF917723:MGF917724 MQB917723:MQB917724 MZX917723:MZX917724 NJT917723:NJT917724 NTP917723:NTP917724 ODL917723:ODL917724 ONH917723:ONH917724 OXD917723:OXD917724 PGZ917723:PGZ917724 PQV917723:PQV917724 QAR917723:QAR917724 QKN917723:QKN917724 QUJ917723:QUJ917724 REF917723:REF917724 ROB917723:ROB917724 RXX917723:RXX917724 SHT917723:SHT917724 SRP917723:SRP917724 TBL917723:TBL917724 TLH917723:TLH917724 TVD917723:TVD917724 UEZ917723:UEZ917724 UOV917723:UOV917724 UYR917723:UYR917724 VIN917723:VIN917724 VSJ917723:VSJ917724 WCF917723:WCF917724 WMB917723:WMB917724 WVX917723:WVX917724 E983259:E983260 JL983259:JL983260 TH983259:TH983260 ADD983259:ADD983260 AMZ983259:AMZ983260 AWV983259:AWV983260 BGR983259:BGR983260 BQN983259:BQN983260 CAJ983259:CAJ983260 CKF983259:CKF983260 CUB983259:CUB983260 DDX983259:DDX983260 DNT983259:DNT983260 DXP983259:DXP983260 EHL983259:EHL983260 ERH983259:ERH983260 FBD983259:FBD983260 FKZ983259:FKZ983260 FUV983259:FUV983260 GER983259:GER983260 GON983259:GON983260 GYJ983259:GYJ983260 HIF983259:HIF983260 HSB983259:HSB983260 IBX983259:IBX983260 ILT983259:ILT983260 IVP983259:IVP983260 JFL983259:JFL983260 JPH983259:JPH983260 JZD983259:JZD983260 KIZ983259:KIZ983260 KSV983259:KSV983260 LCR983259:LCR983260 LMN983259:LMN983260 LWJ983259:LWJ983260 MGF983259:MGF983260 MQB983259:MQB983260 MZX983259:MZX983260 NJT983259:NJT983260 NTP983259:NTP983260 ODL983259:ODL983260 ONH983259:ONH983260 OXD983259:OXD983260 PGZ983259:PGZ983260 PQV983259:PQV983260 QAR983259:QAR983260 QKN983259:QKN983260 QUJ983259:QUJ983260 REF983259:REF983260 ROB983259:ROB983260 RXX983259:RXX983260 SHT983259:SHT983260 SRP983259:SRP983260 TBL983259:TBL983260 TLH983259:TLH983260 TVD983259:TVD983260 UEZ983259:UEZ983260 UOV983259:UOV983260 UYR983259:UYR983260 VIN983259:VIN983260 VSJ983259:VSJ983260 WCF983259:WCF983260 WMB983259:WMB983260 JL16:JL202 WVX16:WVX202 WMB16:WMB202 WCF16:WCF202 VSJ16:VSJ202 VIN16:VIN202 UYR16:UYR202 UOV16:UOV202 UEZ16:UEZ202 TVD16:TVD202 TLH16:TLH202 TBL16:TBL202 SRP16:SRP202 SHT16:SHT202 RXX16:RXX202 ROB16:ROB202 REF16:REF202 QUJ16:QUJ202 QKN16:QKN202 QAR16:QAR202 PQV16:PQV202 PGZ16:PGZ202 OXD16:OXD202 ONH16:ONH202 ODL16:ODL202 NTP16:NTP202 NJT16:NJT202 MZX16:MZX202 MQB16:MQB202 MGF16:MGF202 LWJ16:LWJ202 LMN16:LMN202 LCR16:LCR202 KSV16:KSV202 KIZ16:KIZ202 JZD16:JZD202 JPH16:JPH202 JFL16:JFL202 IVP16:IVP202 ILT16:ILT202 IBX16:IBX202 HSB16:HSB202 HIF16:HIF202 GYJ16:GYJ202 GON16:GON202 GER16:GER202 FUV16:FUV202 FKZ16:FKZ202 FBD16:FBD202 ERH16:ERH202 EHL16:EHL202 DXP16:DXP202 DNT16:DNT202 DDX16:DDX202 CUB16:CUB202 CKF16:CKF202 CAJ16:CAJ202 BQN16:BQN202 BGR16:BGR202 AWV16:AWV202 AMZ16:AMZ202 ADD16:ADD202 TH16:TH202 E16:E202" xr:uid="{415C45BC-287A-4740-8FF0-ECAA07B7E570}"/>
    <dataValidation allowBlank="1" showInputMessage="1" showErrorMessage="1" prompt="Alcance: Definir las principales actividades que se requieren para alcanzar el producto definidos en los estudios previos" sqref="WVV983260 JJ17:JJ202 TF17:TF202 ADB17:ADB202 AMX17:AMX202 AWT17:AWT202 BGP17:BGP202 BQL17:BQL202 CAH17:CAH202 CKD17:CKD202 CTZ17:CTZ202 DDV17:DDV202 DNR17:DNR202 DXN17:DXN202 EHJ17:EHJ202 ERF17:ERF202 FBB17:FBB202 FKX17:FKX202 FUT17:FUT202 GEP17:GEP202 GOL17:GOL202 GYH17:GYH202 HID17:HID202 HRZ17:HRZ202 IBV17:IBV202 ILR17:ILR202 IVN17:IVN202 JFJ17:JFJ202 JPF17:JPF202 JZB17:JZB202 KIX17:KIX202 KST17:KST202 LCP17:LCP202 LML17:LML202 LWH17:LWH202 MGD17:MGD202 MPZ17:MPZ202 MZV17:MZV202 NJR17:NJR202 NTN17:NTN202 ODJ17:ODJ202 ONF17:ONF202 OXB17:OXB202 PGX17:PGX202 PQT17:PQT202 QAP17:QAP202 QKL17:QKL202 QUH17:QUH202 RED17:RED202 RNZ17:RNZ202 RXV17:RXV202 SHR17:SHR202 SRN17:SRN202 TBJ17:TBJ202 TLF17:TLF202 TVB17:TVB202 UEX17:UEX202 UOT17:UOT202 UYP17:UYP202 VIL17:VIL202 VSH17:VSH202 WCD17:WCD202 WLZ17:WLZ202 WVV17:WVV202 B65756 JJ65756 TF65756 ADB65756 AMX65756 AWT65756 BGP65756 BQL65756 CAH65756 CKD65756 CTZ65756 DDV65756 DNR65756 DXN65756 EHJ65756 ERF65756 FBB65756 FKX65756 FUT65756 GEP65756 GOL65756 GYH65756 HID65756 HRZ65756 IBV65756 ILR65756 IVN65756 JFJ65756 JPF65756 JZB65756 KIX65756 KST65756 LCP65756 LML65756 LWH65756 MGD65756 MPZ65756 MZV65756 NJR65756 NTN65756 ODJ65756 ONF65756 OXB65756 PGX65756 PQT65756 QAP65756 QKL65756 QUH65756 RED65756 RNZ65756 RXV65756 SHR65756 SRN65756 TBJ65756 TLF65756 TVB65756 UEX65756 UOT65756 UYP65756 VIL65756 VSH65756 WCD65756 WLZ65756 WVV65756 B131292 JJ131292 TF131292 ADB131292 AMX131292 AWT131292 BGP131292 BQL131292 CAH131292 CKD131292 CTZ131292 DDV131292 DNR131292 DXN131292 EHJ131292 ERF131292 FBB131292 FKX131292 FUT131292 GEP131292 GOL131292 GYH131292 HID131292 HRZ131292 IBV131292 ILR131292 IVN131292 JFJ131292 JPF131292 JZB131292 KIX131292 KST131292 LCP131292 LML131292 LWH131292 MGD131292 MPZ131292 MZV131292 NJR131292 NTN131292 ODJ131292 ONF131292 OXB131292 PGX131292 PQT131292 QAP131292 QKL131292 QUH131292 RED131292 RNZ131292 RXV131292 SHR131292 SRN131292 TBJ131292 TLF131292 TVB131292 UEX131292 UOT131292 UYP131292 VIL131292 VSH131292 WCD131292 WLZ131292 WVV131292 B196828 JJ196828 TF196828 ADB196828 AMX196828 AWT196828 BGP196828 BQL196828 CAH196828 CKD196828 CTZ196828 DDV196828 DNR196828 DXN196828 EHJ196828 ERF196828 FBB196828 FKX196828 FUT196828 GEP196828 GOL196828 GYH196828 HID196828 HRZ196828 IBV196828 ILR196828 IVN196828 JFJ196828 JPF196828 JZB196828 KIX196828 KST196828 LCP196828 LML196828 LWH196828 MGD196828 MPZ196828 MZV196828 NJR196828 NTN196828 ODJ196828 ONF196828 OXB196828 PGX196828 PQT196828 QAP196828 QKL196828 QUH196828 RED196828 RNZ196828 RXV196828 SHR196828 SRN196828 TBJ196828 TLF196828 TVB196828 UEX196828 UOT196828 UYP196828 VIL196828 VSH196828 WCD196828 WLZ196828 WVV196828 B262364 JJ262364 TF262364 ADB262364 AMX262364 AWT262364 BGP262364 BQL262364 CAH262364 CKD262364 CTZ262364 DDV262364 DNR262364 DXN262364 EHJ262364 ERF262364 FBB262364 FKX262364 FUT262364 GEP262364 GOL262364 GYH262364 HID262364 HRZ262364 IBV262364 ILR262364 IVN262364 JFJ262364 JPF262364 JZB262364 KIX262364 KST262364 LCP262364 LML262364 LWH262364 MGD262364 MPZ262364 MZV262364 NJR262364 NTN262364 ODJ262364 ONF262364 OXB262364 PGX262364 PQT262364 QAP262364 QKL262364 QUH262364 RED262364 RNZ262364 RXV262364 SHR262364 SRN262364 TBJ262364 TLF262364 TVB262364 UEX262364 UOT262364 UYP262364 VIL262364 VSH262364 WCD262364 WLZ262364 WVV262364 B327900 JJ327900 TF327900 ADB327900 AMX327900 AWT327900 BGP327900 BQL327900 CAH327900 CKD327900 CTZ327900 DDV327900 DNR327900 DXN327900 EHJ327900 ERF327900 FBB327900 FKX327900 FUT327900 GEP327900 GOL327900 GYH327900 HID327900 HRZ327900 IBV327900 ILR327900 IVN327900 JFJ327900 JPF327900 JZB327900 KIX327900 KST327900 LCP327900 LML327900 LWH327900 MGD327900 MPZ327900 MZV327900 NJR327900 NTN327900 ODJ327900 ONF327900 OXB327900 PGX327900 PQT327900 QAP327900 QKL327900 QUH327900 RED327900 RNZ327900 RXV327900 SHR327900 SRN327900 TBJ327900 TLF327900 TVB327900 UEX327900 UOT327900 UYP327900 VIL327900 VSH327900 WCD327900 WLZ327900 WVV327900 B393436 JJ393436 TF393436 ADB393436 AMX393436 AWT393436 BGP393436 BQL393436 CAH393436 CKD393436 CTZ393436 DDV393436 DNR393436 DXN393436 EHJ393436 ERF393436 FBB393436 FKX393436 FUT393436 GEP393436 GOL393436 GYH393436 HID393436 HRZ393436 IBV393436 ILR393436 IVN393436 JFJ393436 JPF393436 JZB393436 KIX393436 KST393436 LCP393436 LML393436 LWH393436 MGD393436 MPZ393436 MZV393436 NJR393436 NTN393436 ODJ393436 ONF393436 OXB393436 PGX393436 PQT393436 QAP393436 QKL393436 QUH393436 RED393436 RNZ393436 RXV393436 SHR393436 SRN393436 TBJ393436 TLF393436 TVB393436 UEX393436 UOT393436 UYP393436 VIL393436 VSH393436 WCD393436 WLZ393436 WVV393436 B458972 JJ458972 TF458972 ADB458972 AMX458972 AWT458972 BGP458972 BQL458972 CAH458972 CKD458972 CTZ458972 DDV458972 DNR458972 DXN458972 EHJ458972 ERF458972 FBB458972 FKX458972 FUT458972 GEP458972 GOL458972 GYH458972 HID458972 HRZ458972 IBV458972 ILR458972 IVN458972 JFJ458972 JPF458972 JZB458972 KIX458972 KST458972 LCP458972 LML458972 LWH458972 MGD458972 MPZ458972 MZV458972 NJR458972 NTN458972 ODJ458972 ONF458972 OXB458972 PGX458972 PQT458972 QAP458972 QKL458972 QUH458972 RED458972 RNZ458972 RXV458972 SHR458972 SRN458972 TBJ458972 TLF458972 TVB458972 UEX458972 UOT458972 UYP458972 VIL458972 VSH458972 WCD458972 WLZ458972 WVV458972 B524508 JJ524508 TF524508 ADB524508 AMX524508 AWT524508 BGP524508 BQL524508 CAH524508 CKD524508 CTZ524508 DDV524508 DNR524508 DXN524508 EHJ524508 ERF524508 FBB524508 FKX524508 FUT524508 GEP524508 GOL524508 GYH524508 HID524508 HRZ524508 IBV524508 ILR524508 IVN524508 JFJ524508 JPF524508 JZB524508 KIX524508 KST524508 LCP524508 LML524508 LWH524508 MGD524508 MPZ524508 MZV524508 NJR524508 NTN524508 ODJ524508 ONF524508 OXB524508 PGX524508 PQT524508 QAP524508 QKL524508 QUH524508 RED524508 RNZ524508 RXV524508 SHR524508 SRN524508 TBJ524508 TLF524508 TVB524508 UEX524508 UOT524508 UYP524508 VIL524508 VSH524508 WCD524508 WLZ524508 WVV524508 B590044 JJ590044 TF590044 ADB590044 AMX590044 AWT590044 BGP590044 BQL590044 CAH590044 CKD590044 CTZ590044 DDV590044 DNR590044 DXN590044 EHJ590044 ERF590044 FBB590044 FKX590044 FUT590044 GEP590044 GOL590044 GYH590044 HID590044 HRZ590044 IBV590044 ILR590044 IVN590044 JFJ590044 JPF590044 JZB590044 KIX590044 KST590044 LCP590044 LML590044 LWH590044 MGD590044 MPZ590044 MZV590044 NJR590044 NTN590044 ODJ590044 ONF590044 OXB590044 PGX590044 PQT590044 QAP590044 QKL590044 QUH590044 RED590044 RNZ590044 RXV590044 SHR590044 SRN590044 TBJ590044 TLF590044 TVB590044 UEX590044 UOT590044 UYP590044 VIL590044 VSH590044 WCD590044 WLZ590044 WVV590044 B655580 JJ655580 TF655580 ADB655580 AMX655580 AWT655580 BGP655580 BQL655580 CAH655580 CKD655580 CTZ655580 DDV655580 DNR655580 DXN655580 EHJ655580 ERF655580 FBB655580 FKX655580 FUT655580 GEP655580 GOL655580 GYH655580 HID655580 HRZ655580 IBV655580 ILR655580 IVN655580 JFJ655580 JPF655580 JZB655580 KIX655580 KST655580 LCP655580 LML655580 LWH655580 MGD655580 MPZ655580 MZV655580 NJR655580 NTN655580 ODJ655580 ONF655580 OXB655580 PGX655580 PQT655580 QAP655580 QKL655580 QUH655580 RED655580 RNZ655580 RXV655580 SHR655580 SRN655580 TBJ655580 TLF655580 TVB655580 UEX655580 UOT655580 UYP655580 VIL655580 VSH655580 WCD655580 WLZ655580 WVV655580 B721116 JJ721116 TF721116 ADB721116 AMX721116 AWT721116 BGP721116 BQL721116 CAH721116 CKD721116 CTZ721116 DDV721116 DNR721116 DXN721116 EHJ721116 ERF721116 FBB721116 FKX721116 FUT721116 GEP721116 GOL721116 GYH721116 HID721116 HRZ721116 IBV721116 ILR721116 IVN721116 JFJ721116 JPF721116 JZB721116 KIX721116 KST721116 LCP721116 LML721116 LWH721116 MGD721116 MPZ721116 MZV721116 NJR721116 NTN721116 ODJ721116 ONF721116 OXB721116 PGX721116 PQT721116 QAP721116 QKL721116 QUH721116 RED721116 RNZ721116 RXV721116 SHR721116 SRN721116 TBJ721116 TLF721116 TVB721116 UEX721116 UOT721116 UYP721116 VIL721116 VSH721116 WCD721116 WLZ721116 WVV721116 B786652 JJ786652 TF786652 ADB786652 AMX786652 AWT786652 BGP786652 BQL786652 CAH786652 CKD786652 CTZ786652 DDV786652 DNR786652 DXN786652 EHJ786652 ERF786652 FBB786652 FKX786652 FUT786652 GEP786652 GOL786652 GYH786652 HID786652 HRZ786652 IBV786652 ILR786652 IVN786652 JFJ786652 JPF786652 JZB786652 KIX786652 KST786652 LCP786652 LML786652 LWH786652 MGD786652 MPZ786652 MZV786652 NJR786652 NTN786652 ODJ786652 ONF786652 OXB786652 PGX786652 PQT786652 QAP786652 QKL786652 QUH786652 RED786652 RNZ786652 RXV786652 SHR786652 SRN786652 TBJ786652 TLF786652 TVB786652 UEX786652 UOT786652 UYP786652 VIL786652 VSH786652 WCD786652 WLZ786652 WVV786652 B852188 JJ852188 TF852188 ADB852188 AMX852188 AWT852188 BGP852188 BQL852188 CAH852188 CKD852188 CTZ852188 DDV852188 DNR852188 DXN852188 EHJ852188 ERF852188 FBB852188 FKX852188 FUT852188 GEP852188 GOL852188 GYH852188 HID852188 HRZ852188 IBV852188 ILR852188 IVN852188 JFJ852188 JPF852188 JZB852188 KIX852188 KST852188 LCP852188 LML852188 LWH852188 MGD852188 MPZ852188 MZV852188 NJR852188 NTN852188 ODJ852188 ONF852188 OXB852188 PGX852188 PQT852188 QAP852188 QKL852188 QUH852188 RED852188 RNZ852188 RXV852188 SHR852188 SRN852188 TBJ852188 TLF852188 TVB852188 UEX852188 UOT852188 UYP852188 VIL852188 VSH852188 WCD852188 WLZ852188 WVV852188 B917724 JJ917724 TF917724 ADB917724 AMX917724 AWT917724 BGP917724 BQL917724 CAH917724 CKD917724 CTZ917724 DDV917724 DNR917724 DXN917724 EHJ917724 ERF917724 FBB917724 FKX917724 FUT917724 GEP917724 GOL917724 GYH917724 HID917724 HRZ917724 IBV917724 ILR917724 IVN917724 JFJ917724 JPF917724 JZB917724 KIX917724 KST917724 LCP917724 LML917724 LWH917724 MGD917724 MPZ917724 MZV917724 NJR917724 NTN917724 ODJ917724 ONF917724 OXB917724 PGX917724 PQT917724 QAP917724 QKL917724 QUH917724 RED917724 RNZ917724 RXV917724 SHR917724 SRN917724 TBJ917724 TLF917724 TVB917724 UEX917724 UOT917724 UYP917724 VIL917724 VSH917724 WCD917724 WLZ917724 WVV917724 B983260 JJ983260 TF983260 ADB983260 AMX983260 AWT983260 BGP983260 BQL983260 CAH983260 CKD983260 CTZ983260 DDV983260 DNR983260 DXN983260 EHJ983260 ERF983260 FBB983260 FKX983260 FUT983260 GEP983260 GOL983260 GYH983260 HID983260 HRZ983260 IBV983260 ILR983260 IVN983260 JFJ983260 JPF983260 JZB983260 KIX983260 KST983260 LCP983260 LML983260 LWH983260 MGD983260 MPZ983260 MZV983260 NJR983260 NTN983260 ODJ983260 ONF983260 OXB983260 PGX983260 PQT983260 QAP983260 QKL983260 QUH983260 RED983260 RNZ983260 RXV983260 SHR983260 SRN983260 TBJ983260 TLF983260 TVB983260 UEX983260 UOT983260 UYP983260 VIL983260 VSH983260 WCD983260 WLZ983260 B17:B202" xr:uid="{D4ADFDDB-3AAC-429B-AD3A-3763C2A928C3}"/>
    <dataValidation allowBlank="1" showInputMessage="1" showErrorMessage="1" prompt="Diligencie con el nombre del supervisor y/o interventor delegado." sqref="C9:D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C65746:D65747 JK65746:JK65747 TG65746:TG65747 ADC65746:ADC65747 AMY65746:AMY65747 AWU65746:AWU65747 BGQ65746:BGQ65747 BQM65746:BQM65747 CAI65746:CAI65747 CKE65746:CKE65747 CUA65746:CUA65747 DDW65746:DDW65747 DNS65746:DNS65747 DXO65746:DXO65747 EHK65746:EHK65747 ERG65746:ERG65747 FBC65746:FBC65747 FKY65746:FKY65747 FUU65746:FUU65747 GEQ65746:GEQ65747 GOM65746:GOM65747 GYI65746:GYI65747 HIE65746:HIE65747 HSA65746:HSA65747 IBW65746:IBW65747 ILS65746:ILS65747 IVO65746:IVO65747 JFK65746:JFK65747 JPG65746:JPG65747 JZC65746:JZC65747 KIY65746:KIY65747 KSU65746:KSU65747 LCQ65746:LCQ65747 LMM65746:LMM65747 LWI65746:LWI65747 MGE65746:MGE65747 MQA65746:MQA65747 MZW65746:MZW65747 NJS65746:NJS65747 NTO65746:NTO65747 ODK65746:ODK65747 ONG65746:ONG65747 OXC65746:OXC65747 PGY65746:PGY65747 PQU65746:PQU65747 QAQ65746:QAQ65747 QKM65746:QKM65747 QUI65746:QUI65747 REE65746:REE65747 ROA65746:ROA65747 RXW65746:RXW65747 SHS65746:SHS65747 SRO65746:SRO65747 TBK65746:TBK65747 TLG65746:TLG65747 TVC65746:TVC65747 UEY65746:UEY65747 UOU65746:UOU65747 UYQ65746:UYQ65747 VIM65746:VIM65747 VSI65746:VSI65747 WCE65746:WCE65747 WMA65746:WMA65747 WVW65746:WVW65747 C131282:D131283 JK131282:JK131283 TG131282:TG131283 ADC131282:ADC131283 AMY131282:AMY131283 AWU131282:AWU131283 BGQ131282:BGQ131283 BQM131282:BQM131283 CAI131282:CAI131283 CKE131282:CKE131283 CUA131282:CUA131283 DDW131282:DDW131283 DNS131282:DNS131283 DXO131282:DXO131283 EHK131282:EHK131283 ERG131282:ERG131283 FBC131282:FBC131283 FKY131282:FKY131283 FUU131282:FUU131283 GEQ131282:GEQ131283 GOM131282:GOM131283 GYI131282:GYI131283 HIE131282:HIE131283 HSA131282:HSA131283 IBW131282:IBW131283 ILS131282:ILS131283 IVO131282:IVO131283 JFK131282:JFK131283 JPG131282:JPG131283 JZC131282:JZC131283 KIY131282:KIY131283 KSU131282:KSU131283 LCQ131282:LCQ131283 LMM131282:LMM131283 LWI131282:LWI131283 MGE131282:MGE131283 MQA131282:MQA131283 MZW131282:MZW131283 NJS131282:NJS131283 NTO131282:NTO131283 ODK131282:ODK131283 ONG131282:ONG131283 OXC131282:OXC131283 PGY131282:PGY131283 PQU131282:PQU131283 QAQ131282:QAQ131283 QKM131282:QKM131283 QUI131282:QUI131283 REE131282:REE131283 ROA131282:ROA131283 RXW131282:RXW131283 SHS131282:SHS131283 SRO131282:SRO131283 TBK131282:TBK131283 TLG131282:TLG131283 TVC131282:TVC131283 UEY131282:UEY131283 UOU131282:UOU131283 UYQ131282:UYQ131283 VIM131282:VIM131283 VSI131282:VSI131283 WCE131282:WCE131283 WMA131282:WMA131283 WVW131282:WVW131283 C196818:D196819 JK196818:JK196819 TG196818:TG196819 ADC196818:ADC196819 AMY196818:AMY196819 AWU196818:AWU196819 BGQ196818:BGQ196819 BQM196818:BQM196819 CAI196818:CAI196819 CKE196818:CKE196819 CUA196818:CUA196819 DDW196818:DDW196819 DNS196818:DNS196819 DXO196818:DXO196819 EHK196818:EHK196819 ERG196818:ERG196819 FBC196818:FBC196819 FKY196818:FKY196819 FUU196818:FUU196819 GEQ196818:GEQ196819 GOM196818:GOM196819 GYI196818:GYI196819 HIE196818:HIE196819 HSA196818:HSA196819 IBW196818:IBW196819 ILS196818:ILS196819 IVO196818:IVO196819 JFK196818:JFK196819 JPG196818:JPG196819 JZC196818:JZC196819 KIY196818:KIY196819 KSU196818:KSU196819 LCQ196818:LCQ196819 LMM196818:LMM196819 LWI196818:LWI196819 MGE196818:MGE196819 MQA196818:MQA196819 MZW196818:MZW196819 NJS196818:NJS196819 NTO196818:NTO196819 ODK196818:ODK196819 ONG196818:ONG196819 OXC196818:OXC196819 PGY196818:PGY196819 PQU196818:PQU196819 QAQ196818:QAQ196819 QKM196818:QKM196819 QUI196818:QUI196819 REE196818:REE196819 ROA196818:ROA196819 RXW196818:RXW196819 SHS196818:SHS196819 SRO196818:SRO196819 TBK196818:TBK196819 TLG196818:TLG196819 TVC196818:TVC196819 UEY196818:UEY196819 UOU196818:UOU196819 UYQ196818:UYQ196819 VIM196818:VIM196819 VSI196818:VSI196819 WCE196818:WCE196819 WMA196818:WMA196819 WVW196818:WVW196819 C262354:D262355 JK262354:JK262355 TG262354:TG262355 ADC262354:ADC262355 AMY262354:AMY262355 AWU262354:AWU262355 BGQ262354:BGQ262355 BQM262354:BQM262355 CAI262354:CAI262355 CKE262354:CKE262355 CUA262354:CUA262355 DDW262354:DDW262355 DNS262354:DNS262355 DXO262354:DXO262355 EHK262354:EHK262355 ERG262354:ERG262355 FBC262354:FBC262355 FKY262354:FKY262355 FUU262354:FUU262355 GEQ262354:GEQ262355 GOM262354:GOM262355 GYI262354:GYI262355 HIE262354:HIE262355 HSA262354:HSA262355 IBW262354:IBW262355 ILS262354:ILS262355 IVO262354:IVO262355 JFK262354:JFK262355 JPG262354:JPG262355 JZC262354:JZC262355 KIY262354:KIY262355 KSU262354:KSU262355 LCQ262354:LCQ262355 LMM262354:LMM262355 LWI262354:LWI262355 MGE262354:MGE262355 MQA262354:MQA262355 MZW262354:MZW262355 NJS262354:NJS262355 NTO262354:NTO262355 ODK262354:ODK262355 ONG262354:ONG262355 OXC262354:OXC262355 PGY262354:PGY262355 PQU262354:PQU262355 QAQ262354:QAQ262355 QKM262354:QKM262355 QUI262354:QUI262355 REE262354:REE262355 ROA262354:ROA262355 RXW262354:RXW262355 SHS262354:SHS262355 SRO262354:SRO262355 TBK262354:TBK262355 TLG262354:TLG262355 TVC262354:TVC262355 UEY262354:UEY262355 UOU262354:UOU262355 UYQ262354:UYQ262355 VIM262354:VIM262355 VSI262354:VSI262355 WCE262354:WCE262355 WMA262354:WMA262355 WVW262354:WVW262355 C327890:D327891 JK327890:JK327891 TG327890:TG327891 ADC327890:ADC327891 AMY327890:AMY327891 AWU327890:AWU327891 BGQ327890:BGQ327891 BQM327890:BQM327891 CAI327890:CAI327891 CKE327890:CKE327891 CUA327890:CUA327891 DDW327890:DDW327891 DNS327890:DNS327891 DXO327890:DXO327891 EHK327890:EHK327891 ERG327890:ERG327891 FBC327890:FBC327891 FKY327890:FKY327891 FUU327890:FUU327891 GEQ327890:GEQ327891 GOM327890:GOM327891 GYI327890:GYI327891 HIE327890:HIE327891 HSA327890:HSA327891 IBW327890:IBW327891 ILS327890:ILS327891 IVO327890:IVO327891 JFK327890:JFK327891 JPG327890:JPG327891 JZC327890:JZC327891 KIY327890:KIY327891 KSU327890:KSU327891 LCQ327890:LCQ327891 LMM327890:LMM327891 LWI327890:LWI327891 MGE327890:MGE327891 MQA327890:MQA327891 MZW327890:MZW327891 NJS327890:NJS327891 NTO327890:NTO327891 ODK327890:ODK327891 ONG327890:ONG327891 OXC327890:OXC327891 PGY327890:PGY327891 PQU327890:PQU327891 QAQ327890:QAQ327891 QKM327890:QKM327891 QUI327890:QUI327891 REE327890:REE327891 ROA327890:ROA327891 RXW327890:RXW327891 SHS327890:SHS327891 SRO327890:SRO327891 TBK327890:TBK327891 TLG327890:TLG327891 TVC327890:TVC327891 UEY327890:UEY327891 UOU327890:UOU327891 UYQ327890:UYQ327891 VIM327890:VIM327891 VSI327890:VSI327891 WCE327890:WCE327891 WMA327890:WMA327891 WVW327890:WVW327891 C393426:D393427 JK393426:JK393427 TG393426:TG393427 ADC393426:ADC393427 AMY393426:AMY393427 AWU393426:AWU393427 BGQ393426:BGQ393427 BQM393426:BQM393427 CAI393426:CAI393427 CKE393426:CKE393427 CUA393426:CUA393427 DDW393426:DDW393427 DNS393426:DNS393427 DXO393426:DXO393427 EHK393426:EHK393427 ERG393426:ERG393427 FBC393426:FBC393427 FKY393426:FKY393427 FUU393426:FUU393427 GEQ393426:GEQ393427 GOM393426:GOM393427 GYI393426:GYI393427 HIE393426:HIE393427 HSA393426:HSA393427 IBW393426:IBW393427 ILS393426:ILS393427 IVO393426:IVO393427 JFK393426:JFK393427 JPG393426:JPG393427 JZC393426:JZC393427 KIY393426:KIY393427 KSU393426:KSU393427 LCQ393426:LCQ393427 LMM393426:LMM393427 LWI393426:LWI393427 MGE393426:MGE393427 MQA393426:MQA393427 MZW393426:MZW393427 NJS393426:NJS393427 NTO393426:NTO393427 ODK393426:ODK393427 ONG393426:ONG393427 OXC393426:OXC393427 PGY393426:PGY393427 PQU393426:PQU393427 QAQ393426:QAQ393427 QKM393426:QKM393427 QUI393426:QUI393427 REE393426:REE393427 ROA393426:ROA393427 RXW393426:RXW393427 SHS393426:SHS393427 SRO393426:SRO393427 TBK393426:TBK393427 TLG393426:TLG393427 TVC393426:TVC393427 UEY393426:UEY393427 UOU393426:UOU393427 UYQ393426:UYQ393427 VIM393426:VIM393427 VSI393426:VSI393427 WCE393426:WCE393427 WMA393426:WMA393427 WVW393426:WVW393427 C458962:D458963 JK458962:JK458963 TG458962:TG458963 ADC458962:ADC458963 AMY458962:AMY458963 AWU458962:AWU458963 BGQ458962:BGQ458963 BQM458962:BQM458963 CAI458962:CAI458963 CKE458962:CKE458963 CUA458962:CUA458963 DDW458962:DDW458963 DNS458962:DNS458963 DXO458962:DXO458963 EHK458962:EHK458963 ERG458962:ERG458963 FBC458962:FBC458963 FKY458962:FKY458963 FUU458962:FUU458963 GEQ458962:GEQ458963 GOM458962:GOM458963 GYI458962:GYI458963 HIE458962:HIE458963 HSA458962:HSA458963 IBW458962:IBW458963 ILS458962:ILS458963 IVO458962:IVO458963 JFK458962:JFK458963 JPG458962:JPG458963 JZC458962:JZC458963 KIY458962:KIY458963 KSU458962:KSU458963 LCQ458962:LCQ458963 LMM458962:LMM458963 LWI458962:LWI458963 MGE458962:MGE458963 MQA458962:MQA458963 MZW458962:MZW458963 NJS458962:NJS458963 NTO458962:NTO458963 ODK458962:ODK458963 ONG458962:ONG458963 OXC458962:OXC458963 PGY458962:PGY458963 PQU458962:PQU458963 QAQ458962:QAQ458963 QKM458962:QKM458963 QUI458962:QUI458963 REE458962:REE458963 ROA458962:ROA458963 RXW458962:RXW458963 SHS458962:SHS458963 SRO458962:SRO458963 TBK458962:TBK458963 TLG458962:TLG458963 TVC458962:TVC458963 UEY458962:UEY458963 UOU458962:UOU458963 UYQ458962:UYQ458963 VIM458962:VIM458963 VSI458962:VSI458963 WCE458962:WCE458963 WMA458962:WMA458963 WVW458962:WVW458963 C524498:D524499 JK524498:JK524499 TG524498:TG524499 ADC524498:ADC524499 AMY524498:AMY524499 AWU524498:AWU524499 BGQ524498:BGQ524499 BQM524498:BQM524499 CAI524498:CAI524499 CKE524498:CKE524499 CUA524498:CUA524499 DDW524498:DDW524499 DNS524498:DNS524499 DXO524498:DXO524499 EHK524498:EHK524499 ERG524498:ERG524499 FBC524498:FBC524499 FKY524498:FKY524499 FUU524498:FUU524499 GEQ524498:GEQ524499 GOM524498:GOM524499 GYI524498:GYI524499 HIE524498:HIE524499 HSA524498:HSA524499 IBW524498:IBW524499 ILS524498:ILS524499 IVO524498:IVO524499 JFK524498:JFK524499 JPG524498:JPG524499 JZC524498:JZC524499 KIY524498:KIY524499 KSU524498:KSU524499 LCQ524498:LCQ524499 LMM524498:LMM524499 LWI524498:LWI524499 MGE524498:MGE524499 MQA524498:MQA524499 MZW524498:MZW524499 NJS524498:NJS524499 NTO524498:NTO524499 ODK524498:ODK524499 ONG524498:ONG524499 OXC524498:OXC524499 PGY524498:PGY524499 PQU524498:PQU524499 QAQ524498:QAQ524499 QKM524498:QKM524499 QUI524498:QUI524499 REE524498:REE524499 ROA524498:ROA524499 RXW524498:RXW524499 SHS524498:SHS524499 SRO524498:SRO524499 TBK524498:TBK524499 TLG524498:TLG524499 TVC524498:TVC524499 UEY524498:UEY524499 UOU524498:UOU524499 UYQ524498:UYQ524499 VIM524498:VIM524499 VSI524498:VSI524499 WCE524498:WCE524499 WMA524498:WMA524499 WVW524498:WVW524499 C590034:D590035 JK590034:JK590035 TG590034:TG590035 ADC590034:ADC590035 AMY590034:AMY590035 AWU590034:AWU590035 BGQ590034:BGQ590035 BQM590034:BQM590035 CAI590034:CAI590035 CKE590034:CKE590035 CUA590034:CUA590035 DDW590034:DDW590035 DNS590034:DNS590035 DXO590034:DXO590035 EHK590034:EHK590035 ERG590034:ERG590035 FBC590034:FBC590035 FKY590034:FKY590035 FUU590034:FUU590035 GEQ590034:GEQ590035 GOM590034:GOM590035 GYI590034:GYI590035 HIE590034:HIE590035 HSA590034:HSA590035 IBW590034:IBW590035 ILS590034:ILS590035 IVO590034:IVO590035 JFK590034:JFK590035 JPG590034:JPG590035 JZC590034:JZC590035 KIY590034:KIY590035 KSU590034:KSU590035 LCQ590034:LCQ590035 LMM590034:LMM590035 LWI590034:LWI590035 MGE590034:MGE590035 MQA590034:MQA590035 MZW590034:MZW590035 NJS590034:NJS590035 NTO590034:NTO590035 ODK590034:ODK590035 ONG590034:ONG590035 OXC590034:OXC590035 PGY590034:PGY590035 PQU590034:PQU590035 QAQ590034:QAQ590035 QKM590034:QKM590035 QUI590034:QUI590035 REE590034:REE590035 ROA590034:ROA590035 RXW590034:RXW590035 SHS590034:SHS590035 SRO590034:SRO590035 TBK590034:TBK590035 TLG590034:TLG590035 TVC590034:TVC590035 UEY590034:UEY590035 UOU590034:UOU590035 UYQ590034:UYQ590035 VIM590034:VIM590035 VSI590034:VSI590035 WCE590034:WCE590035 WMA590034:WMA590035 WVW590034:WVW590035 C655570:D655571 JK655570:JK655571 TG655570:TG655571 ADC655570:ADC655571 AMY655570:AMY655571 AWU655570:AWU655571 BGQ655570:BGQ655571 BQM655570:BQM655571 CAI655570:CAI655571 CKE655570:CKE655571 CUA655570:CUA655571 DDW655570:DDW655571 DNS655570:DNS655571 DXO655570:DXO655571 EHK655570:EHK655571 ERG655570:ERG655571 FBC655570:FBC655571 FKY655570:FKY655571 FUU655570:FUU655571 GEQ655570:GEQ655571 GOM655570:GOM655571 GYI655570:GYI655571 HIE655570:HIE655571 HSA655570:HSA655571 IBW655570:IBW655571 ILS655570:ILS655571 IVO655570:IVO655571 JFK655570:JFK655571 JPG655570:JPG655571 JZC655570:JZC655571 KIY655570:KIY655571 KSU655570:KSU655571 LCQ655570:LCQ655571 LMM655570:LMM655571 LWI655570:LWI655571 MGE655570:MGE655571 MQA655570:MQA655571 MZW655570:MZW655571 NJS655570:NJS655571 NTO655570:NTO655571 ODK655570:ODK655571 ONG655570:ONG655571 OXC655570:OXC655571 PGY655570:PGY655571 PQU655570:PQU655571 QAQ655570:QAQ655571 QKM655570:QKM655571 QUI655570:QUI655571 REE655570:REE655571 ROA655570:ROA655571 RXW655570:RXW655571 SHS655570:SHS655571 SRO655570:SRO655571 TBK655570:TBK655571 TLG655570:TLG655571 TVC655570:TVC655571 UEY655570:UEY655571 UOU655570:UOU655571 UYQ655570:UYQ655571 VIM655570:VIM655571 VSI655570:VSI655571 WCE655570:WCE655571 WMA655570:WMA655571 WVW655570:WVW655571 C721106:D721107 JK721106:JK721107 TG721106:TG721107 ADC721106:ADC721107 AMY721106:AMY721107 AWU721106:AWU721107 BGQ721106:BGQ721107 BQM721106:BQM721107 CAI721106:CAI721107 CKE721106:CKE721107 CUA721106:CUA721107 DDW721106:DDW721107 DNS721106:DNS721107 DXO721106:DXO721107 EHK721106:EHK721107 ERG721106:ERG721107 FBC721106:FBC721107 FKY721106:FKY721107 FUU721106:FUU721107 GEQ721106:GEQ721107 GOM721106:GOM721107 GYI721106:GYI721107 HIE721106:HIE721107 HSA721106:HSA721107 IBW721106:IBW721107 ILS721106:ILS721107 IVO721106:IVO721107 JFK721106:JFK721107 JPG721106:JPG721107 JZC721106:JZC721107 KIY721106:KIY721107 KSU721106:KSU721107 LCQ721106:LCQ721107 LMM721106:LMM721107 LWI721106:LWI721107 MGE721106:MGE721107 MQA721106:MQA721107 MZW721106:MZW721107 NJS721106:NJS721107 NTO721106:NTO721107 ODK721106:ODK721107 ONG721106:ONG721107 OXC721106:OXC721107 PGY721106:PGY721107 PQU721106:PQU721107 QAQ721106:QAQ721107 QKM721106:QKM721107 QUI721106:QUI721107 REE721106:REE721107 ROA721106:ROA721107 RXW721106:RXW721107 SHS721106:SHS721107 SRO721106:SRO721107 TBK721106:TBK721107 TLG721106:TLG721107 TVC721106:TVC721107 UEY721106:UEY721107 UOU721106:UOU721107 UYQ721106:UYQ721107 VIM721106:VIM721107 VSI721106:VSI721107 WCE721106:WCE721107 WMA721106:WMA721107 WVW721106:WVW721107 C786642:D786643 JK786642:JK786643 TG786642:TG786643 ADC786642:ADC786643 AMY786642:AMY786643 AWU786642:AWU786643 BGQ786642:BGQ786643 BQM786642:BQM786643 CAI786642:CAI786643 CKE786642:CKE786643 CUA786642:CUA786643 DDW786642:DDW786643 DNS786642:DNS786643 DXO786642:DXO786643 EHK786642:EHK786643 ERG786642:ERG786643 FBC786642:FBC786643 FKY786642:FKY786643 FUU786642:FUU786643 GEQ786642:GEQ786643 GOM786642:GOM786643 GYI786642:GYI786643 HIE786642:HIE786643 HSA786642:HSA786643 IBW786642:IBW786643 ILS786642:ILS786643 IVO786642:IVO786643 JFK786642:JFK786643 JPG786642:JPG786643 JZC786642:JZC786643 KIY786642:KIY786643 KSU786642:KSU786643 LCQ786642:LCQ786643 LMM786642:LMM786643 LWI786642:LWI786643 MGE786642:MGE786643 MQA786642:MQA786643 MZW786642:MZW786643 NJS786642:NJS786643 NTO786642:NTO786643 ODK786642:ODK786643 ONG786642:ONG786643 OXC786642:OXC786643 PGY786642:PGY786643 PQU786642:PQU786643 QAQ786642:QAQ786643 QKM786642:QKM786643 QUI786642:QUI786643 REE786642:REE786643 ROA786642:ROA786643 RXW786642:RXW786643 SHS786642:SHS786643 SRO786642:SRO786643 TBK786642:TBK786643 TLG786642:TLG786643 TVC786642:TVC786643 UEY786642:UEY786643 UOU786642:UOU786643 UYQ786642:UYQ786643 VIM786642:VIM786643 VSI786642:VSI786643 WCE786642:WCE786643 WMA786642:WMA786643 WVW786642:WVW786643 C852178:D852179 JK852178:JK852179 TG852178:TG852179 ADC852178:ADC852179 AMY852178:AMY852179 AWU852178:AWU852179 BGQ852178:BGQ852179 BQM852178:BQM852179 CAI852178:CAI852179 CKE852178:CKE852179 CUA852178:CUA852179 DDW852178:DDW852179 DNS852178:DNS852179 DXO852178:DXO852179 EHK852178:EHK852179 ERG852178:ERG852179 FBC852178:FBC852179 FKY852178:FKY852179 FUU852178:FUU852179 GEQ852178:GEQ852179 GOM852178:GOM852179 GYI852178:GYI852179 HIE852178:HIE852179 HSA852178:HSA852179 IBW852178:IBW852179 ILS852178:ILS852179 IVO852178:IVO852179 JFK852178:JFK852179 JPG852178:JPG852179 JZC852178:JZC852179 KIY852178:KIY852179 KSU852178:KSU852179 LCQ852178:LCQ852179 LMM852178:LMM852179 LWI852178:LWI852179 MGE852178:MGE852179 MQA852178:MQA852179 MZW852178:MZW852179 NJS852178:NJS852179 NTO852178:NTO852179 ODK852178:ODK852179 ONG852178:ONG852179 OXC852178:OXC852179 PGY852178:PGY852179 PQU852178:PQU852179 QAQ852178:QAQ852179 QKM852178:QKM852179 QUI852178:QUI852179 REE852178:REE852179 ROA852178:ROA852179 RXW852178:RXW852179 SHS852178:SHS852179 SRO852178:SRO852179 TBK852178:TBK852179 TLG852178:TLG852179 TVC852178:TVC852179 UEY852178:UEY852179 UOU852178:UOU852179 UYQ852178:UYQ852179 VIM852178:VIM852179 VSI852178:VSI852179 WCE852178:WCE852179 WMA852178:WMA852179 WVW852178:WVW852179 C917714:D917715 JK917714:JK917715 TG917714:TG917715 ADC917714:ADC917715 AMY917714:AMY917715 AWU917714:AWU917715 BGQ917714:BGQ917715 BQM917714:BQM917715 CAI917714:CAI917715 CKE917714:CKE917715 CUA917714:CUA917715 DDW917714:DDW917715 DNS917714:DNS917715 DXO917714:DXO917715 EHK917714:EHK917715 ERG917714:ERG917715 FBC917714:FBC917715 FKY917714:FKY917715 FUU917714:FUU917715 GEQ917714:GEQ917715 GOM917714:GOM917715 GYI917714:GYI917715 HIE917714:HIE917715 HSA917714:HSA917715 IBW917714:IBW917715 ILS917714:ILS917715 IVO917714:IVO917715 JFK917714:JFK917715 JPG917714:JPG917715 JZC917714:JZC917715 KIY917714:KIY917715 KSU917714:KSU917715 LCQ917714:LCQ917715 LMM917714:LMM917715 LWI917714:LWI917715 MGE917714:MGE917715 MQA917714:MQA917715 MZW917714:MZW917715 NJS917714:NJS917715 NTO917714:NTO917715 ODK917714:ODK917715 ONG917714:ONG917715 OXC917714:OXC917715 PGY917714:PGY917715 PQU917714:PQU917715 QAQ917714:QAQ917715 QKM917714:QKM917715 QUI917714:QUI917715 REE917714:REE917715 ROA917714:ROA917715 RXW917714:RXW917715 SHS917714:SHS917715 SRO917714:SRO917715 TBK917714:TBK917715 TLG917714:TLG917715 TVC917714:TVC917715 UEY917714:UEY917715 UOU917714:UOU917715 UYQ917714:UYQ917715 VIM917714:VIM917715 VSI917714:VSI917715 WCE917714:WCE917715 WMA917714:WMA917715 WVW917714:WVW917715 C983250:D983251 JK983250:JK983251 TG983250:TG983251 ADC983250:ADC983251 AMY983250:AMY983251 AWU983250:AWU983251 BGQ983250:BGQ983251 BQM983250:BQM983251 CAI983250:CAI983251 CKE983250:CKE983251 CUA983250:CUA983251 DDW983250:DDW983251 DNS983250:DNS983251 DXO983250:DXO983251 EHK983250:EHK983251 ERG983250:ERG983251 FBC983250:FBC983251 FKY983250:FKY983251 FUU983250:FUU983251 GEQ983250:GEQ983251 GOM983250:GOM983251 GYI983250:GYI983251 HIE983250:HIE983251 HSA983250:HSA983251 IBW983250:IBW983251 ILS983250:ILS983251 IVO983250:IVO983251 JFK983250:JFK983251 JPG983250:JPG983251 JZC983250:JZC983251 KIY983250:KIY983251 KSU983250:KSU983251 LCQ983250:LCQ983251 LMM983250:LMM983251 LWI983250:LWI983251 MGE983250:MGE983251 MQA983250:MQA983251 MZW983250:MZW983251 NJS983250:NJS983251 NTO983250:NTO983251 ODK983250:ODK983251 ONG983250:ONG983251 OXC983250:OXC983251 PGY983250:PGY983251 PQU983250:PQU983251 QAQ983250:QAQ983251 QKM983250:QKM983251 QUI983250:QUI983251 REE983250:REE983251 ROA983250:ROA983251 RXW983250:RXW983251 SHS983250:SHS983251 SRO983250:SRO983251 TBK983250:TBK983251 TLG983250:TLG983251 TVC983250:TVC983251 UEY983250:UEY983251 UOU983250:UOU983251 UYQ983250:UYQ983251 VIM983250:VIM983251 VSI983250:VSI983251 WCE983250:WCE983251 WMA983250:WMA983251 WVW983250:WVW983251" xr:uid="{797B6A57-5B79-4190-B4FC-3050F4027686}"/>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JK8 TG8 ADC8 AMY8 AWU8 BGQ8 BQM8 CAI8 CKE8 CUA8 DDW8 DNS8 DXO8 EHK8 ERG8 FBC8 FKY8 FUU8 GEQ8 GOM8 GYI8 HIE8 HSA8 IBW8 ILS8 IVO8 JFK8 JPG8 JZC8 KIY8 KSU8 LCQ8 LMM8 LWI8 MGE8 MQA8 MZW8 NJS8 NTO8 ODK8 ONG8 OXC8 PGY8 PQU8 QAQ8 QKM8 QUI8 REE8 ROA8 RXW8 SHS8 SRO8 TBK8 TLG8 TVC8 UEY8 UOU8 UYQ8 VIM8 VSI8 WCE8 WMA8 WVW8 C65744:D65744 JK65744 TG65744 ADC65744 AMY65744 AWU65744 BGQ65744 BQM65744 CAI65744 CKE65744 CUA65744 DDW65744 DNS65744 DXO65744 EHK65744 ERG65744 FBC65744 FKY65744 FUU65744 GEQ65744 GOM65744 GYI65744 HIE65744 HSA65744 IBW65744 ILS65744 IVO65744 JFK65744 JPG65744 JZC65744 KIY65744 KSU65744 LCQ65744 LMM65744 LWI65744 MGE65744 MQA65744 MZW65744 NJS65744 NTO65744 ODK65744 ONG65744 OXC65744 PGY65744 PQU65744 QAQ65744 QKM65744 QUI65744 REE65744 ROA65744 RXW65744 SHS65744 SRO65744 TBK65744 TLG65744 TVC65744 UEY65744 UOU65744 UYQ65744 VIM65744 VSI65744 WCE65744 WMA65744 WVW65744 C131280:D131280 JK131280 TG131280 ADC131280 AMY131280 AWU131280 BGQ131280 BQM131280 CAI131280 CKE131280 CUA131280 DDW131280 DNS131280 DXO131280 EHK131280 ERG131280 FBC131280 FKY131280 FUU131280 GEQ131280 GOM131280 GYI131280 HIE131280 HSA131280 IBW131280 ILS131280 IVO131280 JFK131280 JPG131280 JZC131280 KIY131280 KSU131280 LCQ131280 LMM131280 LWI131280 MGE131280 MQA131280 MZW131280 NJS131280 NTO131280 ODK131280 ONG131280 OXC131280 PGY131280 PQU131280 QAQ131280 QKM131280 QUI131280 REE131280 ROA131280 RXW131280 SHS131280 SRO131280 TBK131280 TLG131280 TVC131280 UEY131280 UOU131280 UYQ131280 VIM131280 VSI131280 WCE131280 WMA131280 WVW131280 C196816:D196816 JK196816 TG196816 ADC196816 AMY196816 AWU196816 BGQ196816 BQM196816 CAI196816 CKE196816 CUA196816 DDW196816 DNS196816 DXO196816 EHK196816 ERG196816 FBC196816 FKY196816 FUU196816 GEQ196816 GOM196816 GYI196816 HIE196816 HSA196816 IBW196816 ILS196816 IVO196816 JFK196816 JPG196816 JZC196816 KIY196816 KSU196816 LCQ196816 LMM196816 LWI196816 MGE196816 MQA196816 MZW196816 NJS196816 NTO196816 ODK196816 ONG196816 OXC196816 PGY196816 PQU196816 QAQ196816 QKM196816 QUI196816 REE196816 ROA196816 RXW196816 SHS196816 SRO196816 TBK196816 TLG196816 TVC196816 UEY196816 UOU196816 UYQ196816 VIM196816 VSI196816 WCE196816 WMA196816 WVW196816 C262352:D262352 JK262352 TG262352 ADC262352 AMY262352 AWU262352 BGQ262352 BQM262352 CAI262352 CKE262352 CUA262352 DDW262352 DNS262352 DXO262352 EHK262352 ERG262352 FBC262352 FKY262352 FUU262352 GEQ262352 GOM262352 GYI262352 HIE262352 HSA262352 IBW262352 ILS262352 IVO262352 JFK262352 JPG262352 JZC262352 KIY262352 KSU262352 LCQ262352 LMM262352 LWI262352 MGE262352 MQA262352 MZW262352 NJS262352 NTO262352 ODK262352 ONG262352 OXC262352 PGY262352 PQU262352 QAQ262352 QKM262352 QUI262352 REE262352 ROA262352 RXW262352 SHS262352 SRO262352 TBK262352 TLG262352 TVC262352 UEY262352 UOU262352 UYQ262352 VIM262352 VSI262352 WCE262352 WMA262352 WVW262352 C327888:D327888 JK327888 TG327888 ADC327888 AMY327888 AWU327888 BGQ327888 BQM327888 CAI327888 CKE327888 CUA327888 DDW327888 DNS327888 DXO327888 EHK327888 ERG327888 FBC327888 FKY327888 FUU327888 GEQ327888 GOM327888 GYI327888 HIE327888 HSA327888 IBW327888 ILS327888 IVO327888 JFK327888 JPG327888 JZC327888 KIY327888 KSU327888 LCQ327888 LMM327888 LWI327888 MGE327888 MQA327888 MZW327888 NJS327888 NTO327888 ODK327888 ONG327888 OXC327888 PGY327888 PQU327888 QAQ327888 QKM327888 QUI327888 REE327888 ROA327888 RXW327888 SHS327888 SRO327888 TBK327888 TLG327888 TVC327888 UEY327888 UOU327888 UYQ327888 VIM327888 VSI327888 WCE327888 WMA327888 WVW327888 C393424:D393424 JK393424 TG393424 ADC393424 AMY393424 AWU393424 BGQ393424 BQM393424 CAI393424 CKE393424 CUA393424 DDW393424 DNS393424 DXO393424 EHK393424 ERG393424 FBC393424 FKY393424 FUU393424 GEQ393424 GOM393424 GYI393424 HIE393424 HSA393424 IBW393424 ILS393424 IVO393424 JFK393424 JPG393424 JZC393424 KIY393424 KSU393424 LCQ393424 LMM393424 LWI393424 MGE393424 MQA393424 MZW393424 NJS393424 NTO393424 ODK393424 ONG393424 OXC393424 PGY393424 PQU393424 QAQ393424 QKM393424 QUI393424 REE393424 ROA393424 RXW393424 SHS393424 SRO393424 TBK393424 TLG393424 TVC393424 UEY393424 UOU393424 UYQ393424 VIM393424 VSI393424 WCE393424 WMA393424 WVW393424 C458960:D458960 JK458960 TG458960 ADC458960 AMY458960 AWU458960 BGQ458960 BQM458960 CAI458960 CKE458960 CUA458960 DDW458960 DNS458960 DXO458960 EHK458960 ERG458960 FBC458960 FKY458960 FUU458960 GEQ458960 GOM458960 GYI458960 HIE458960 HSA458960 IBW458960 ILS458960 IVO458960 JFK458960 JPG458960 JZC458960 KIY458960 KSU458960 LCQ458960 LMM458960 LWI458960 MGE458960 MQA458960 MZW458960 NJS458960 NTO458960 ODK458960 ONG458960 OXC458960 PGY458960 PQU458960 QAQ458960 QKM458960 QUI458960 REE458960 ROA458960 RXW458960 SHS458960 SRO458960 TBK458960 TLG458960 TVC458960 UEY458960 UOU458960 UYQ458960 VIM458960 VSI458960 WCE458960 WMA458960 WVW458960 C524496:D524496 JK524496 TG524496 ADC524496 AMY524496 AWU524496 BGQ524496 BQM524496 CAI524496 CKE524496 CUA524496 DDW524496 DNS524496 DXO524496 EHK524496 ERG524496 FBC524496 FKY524496 FUU524496 GEQ524496 GOM524496 GYI524496 HIE524496 HSA524496 IBW524496 ILS524496 IVO524496 JFK524496 JPG524496 JZC524496 KIY524496 KSU524496 LCQ524496 LMM524496 LWI524496 MGE524496 MQA524496 MZW524496 NJS524496 NTO524496 ODK524496 ONG524496 OXC524496 PGY524496 PQU524496 QAQ524496 QKM524496 QUI524496 REE524496 ROA524496 RXW524496 SHS524496 SRO524496 TBK524496 TLG524496 TVC524496 UEY524496 UOU524496 UYQ524496 VIM524496 VSI524496 WCE524496 WMA524496 WVW524496 C590032:D590032 JK590032 TG590032 ADC590032 AMY590032 AWU590032 BGQ590032 BQM590032 CAI590032 CKE590032 CUA590032 DDW590032 DNS590032 DXO590032 EHK590032 ERG590032 FBC590032 FKY590032 FUU590032 GEQ590032 GOM590032 GYI590032 HIE590032 HSA590032 IBW590032 ILS590032 IVO590032 JFK590032 JPG590032 JZC590032 KIY590032 KSU590032 LCQ590032 LMM590032 LWI590032 MGE590032 MQA590032 MZW590032 NJS590032 NTO590032 ODK590032 ONG590032 OXC590032 PGY590032 PQU590032 QAQ590032 QKM590032 QUI590032 REE590032 ROA590032 RXW590032 SHS590032 SRO590032 TBK590032 TLG590032 TVC590032 UEY590032 UOU590032 UYQ590032 VIM590032 VSI590032 WCE590032 WMA590032 WVW590032 C655568:D655568 JK655568 TG655568 ADC655568 AMY655568 AWU655568 BGQ655568 BQM655568 CAI655568 CKE655568 CUA655568 DDW655568 DNS655568 DXO655568 EHK655568 ERG655568 FBC655568 FKY655568 FUU655568 GEQ655568 GOM655568 GYI655568 HIE655568 HSA655568 IBW655568 ILS655568 IVO655568 JFK655568 JPG655568 JZC655568 KIY655568 KSU655568 LCQ655568 LMM655568 LWI655568 MGE655568 MQA655568 MZW655568 NJS655568 NTO655568 ODK655568 ONG655568 OXC655568 PGY655568 PQU655568 QAQ655568 QKM655568 QUI655568 REE655568 ROA655568 RXW655568 SHS655568 SRO655568 TBK655568 TLG655568 TVC655568 UEY655568 UOU655568 UYQ655568 VIM655568 VSI655568 WCE655568 WMA655568 WVW655568 C721104:D721104 JK721104 TG721104 ADC721104 AMY721104 AWU721104 BGQ721104 BQM721104 CAI721104 CKE721104 CUA721104 DDW721104 DNS721104 DXO721104 EHK721104 ERG721104 FBC721104 FKY721104 FUU721104 GEQ721104 GOM721104 GYI721104 HIE721104 HSA721104 IBW721104 ILS721104 IVO721104 JFK721104 JPG721104 JZC721104 KIY721104 KSU721104 LCQ721104 LMM721104 LWI721104 MGE721104 MQA721104 MZW721104 NJS721104 NTO721104 ODK721104 ONG721104 OXC721104 PGY721104 PQU721104 QAQ721104 QKM721104 QUI721104 REE721104 ROA721104 RXW721104 SHS721104 SRO721104 TBK721104 TLG721104 TVC721104 UEY721104 UOU721104 UYQ721104 VIM721104 VSI721104 WCE721104 WMA721104 WVW721104 C786640:D786640 JK786640 TG786640 ADC786640 AMY786640 AWU786640 BGQ786640 BQM786640 CAI786640 CKE786640 CUA786640 DDW786640 DNS786640 DXO786640 EHK786640 ERG786640 FBC786640 FKY786640 FUU786640 GEQ786640 GOM786640 GYI786640 HIE786640 HSA786640 IBW786640 ILS786640 IVO786640 JFK786640 JPG786640 JZC786640 KIY786640 KSU786640 LCQ786640 LMM786640 LWI786640 MGE786640 MQA786640 MZW786640 NJS786640 NTO786640 ODK786640 ONG786640 OXC786640 PGY786640 PQU786640 QAQ786640 QKM786640 QUI786640 REE786640 ROA786640 RXW786640 SHS786640 SRO786640 TBK786640 TLG786640 TVC786640 UEY786640 UOU786640 UYQ786640 VIM786640 VSI786640 WCE786640 WMA786640 WVW786640 C852176:D852176 JK852176 TG852176 ADC852176 AMY852176 AWU852176 BGQ852176 BQM852176 CAI852176 CKE852176 CUA852176 DDW852176 DNS852176 DXO852176 EHK852176 ERG852176 FBC852176 FKY852176 FUU852176 GEQ852176 GOM852176 GYI852176 HIE852176 HSA852176 IBW852176 ILS852176 IVO852176 JFK852176 JPG852176 JZC852176 KIY852176 KSU852176 LCQ852176 LMM852176 LWI852176 MGE852176 MQA852176 MZW852176 NJS852176 NTO852176 ODK852176 ONG852176 OXC852176 PGY852176 PQU852176 QAQ852176 QKM852176 QUI852176 REE852176 ROA852176 RXW852176 SHS852176 SRO852176 TBK852176 TLG852176 TVC852176 UEY852176 UOU852176 UYQ852176 VIM852176 VSI852176 WCE852176 WMA852176 WVW852176 C917712:D917712 JK917712 TG917712 ADC917712 AMY917712 AWU917712 BGQ917712 BQM917712 CAI917712 CKE917712 CUA917712 DDW917712 DNS917712 DXO917712 EHK917712 ERG917712 FBC917712 FKY917712 FUU917712 GEQ917712 GOM917712 GYI917712 HIE917712 HSA917712 IBW917712 ILS917712 IVO917712 JFK917712 JPG917712 JZC917712 KIY917712 KSU917712 LCQ917712 LMM917712 LWI917712 MGE917712 MQA917712 MZW917712 NJS917712 NTO917712 ODK917712 ONG917712 OXC917712 PGY917712 PQU917712 QAQ917712 QKM917712 QUI917712 REE917712 ROA917712 RXW917712 SHS917712 SRO917712 TBK917712 TLG917712 TVC917712 UEY917712 UOU917712 UYQ917712 VIM917712 VSI917712 WCE917712 WMA917712 WVW917712 C983248:D983248 JK983248 TG983248 ADC983248 AMY983248 AWU983248 BGQ983248 BQM983248 CAI983248 CKE983248 CUA983248 DDW983248 DNS983248 DXO983248 EHK983248 ERG983248 FBC983248 FKY983248 FUU983248 GEQ983248 GOM983248 GYI983248 HIE983248 HSA983248 IBW983248 ILS983248 IVO983248 JFK983248 JPG983248 JZC983248 KIY983248 KSU983248 LCQ983248 LMM983248 LWI983248 MGE983248 MQA983248 MZW983248 NJS983248 NTO983248 ODK983248 ONG983248 OXC983248 PGY983248 PQU983248 QAQ983248 QKM983248 QUI983248 REE983248 ROA983248 RXW983248 SHS983248 SRO983248 TBK983248 TLG983248 TVC983248 UEY983248 UOU983248 UYQ983248 VIM983248 VSI983248 WCE983248 WMA983248 WVW983248" xr:uid="{4D7DB33F-E0E7-452B-84D7-F65DE48D46ED}"/>
    <dataValidation allowBlank="1" showInputMessage="1" showErrorMessage="1" prompt="Diligencie si es mensual, bimestral, trimestral o semestral." sqref="G65751:I65751 JN65751:JP65751 TJ65751:TL65751 ADF65751:ADH65751 ANB65751:AND65751 AWX65751:AWZ65751 BGT65751:BGV65751 BQP65751:BQR65751 CAL65751:CAN65751 CKH65751:CKJ65751 CUD65751:CUF65751 DDZ65751:DEB65751 DNV65751:DNX65751 DXR65751:DXT65751 EHN65751:EHP65751 ERJ65751:ERL65751 FBF65751:FBH65751 FLB65751:FLD65751 FUX65751:FUZ65751 GET65751:GEV65751 GOP65751:GOR65751 GYL65751:GYN65751 HIH65751:HIJ65751 HSD65751:HSF65751 IBZ65751:ICB65751 ILV65751:ILX65751 IVR65751:IVT65751 JFN65751:JFP65751 JPJ65751:JPL65751 JZF65751:JZH65751 KJB65751:KJD65751 KSX65751:KSZ65751 LCT65751:LCV65751 LMP65751:LMR65751 LWL65751:LWN65751 MGH65751:MGJ65751 MQD65751:MQF65751 MZZ65751:NAB65751 NJV65751:NJX65751 NTR65751:NTT65751 ODN65751:ODP65751 ONJ65751:ONL65751 OXF65751:OXH65751 PHB65751:PHD65751 PQX65751:PQZ65751 QAT65751:QAV65751 QKP65751:QKR65751 QUL65751:QUN65751 REH65751:REJ65751 ROD65751:ROF65751 RXZ65751:RYB65751 SHV65751:SHX65751 SRR65751:SRT65751 TBN65751:TBP65751 TLJ65751:TLL65751 TVF65751:TVH65751 UFB65751:UFD65751 UOX65751:UOZ65751 UYT65751:UYV65751 VIP65751:VIR65751 VSL65751:VSN65751 WCH65751:WCJ65751 WMD65751:WMF65751 WVZ65751:WWB65751 G131287:I131287 JN131287:JP131287 TJ131287:TL131287 ADF131287:ADH131287 ANB131287:AND131287 AWX131287:AWZ131287 BGT131287:BGV131287 BQP131287:BQR131287 CAL131287:CAN131287 CKH131287:CKJ131287 CUD131287:CUF131287 DDZ131287:DEB131287 DNV131287:DNX131287 DXR131287:DXT131287 EHN131287:EHP131287 ERJ131287:ERL131287 FBF131287:FBH131287 FLB131287:FLD131287 FUX131287:FUZ131287 GET131287:GEV131287 GOP131287:GOR131287 GYL131287:GYN131287 HIH131287:HIJ131287 HSD131287:HSF131287 IBZ131287:ICB131287 ILV131287:ILX131287 IVR131287:IVT131287 JFN131287:JFP131287 JPJ131287:JPL131287 JZF131287:JZH131287 KJB131287:KJD131287 KSX131287:KSZ131287 LCT131287:LCV131287 LMP131287:LMR131287 LWL131287:LWN131287 MGH131287:MGJ131287 MQD131287:MQF131287 MZZ131287:NAB131287 NJV131287:NJX131287 NTR131287:NTT131287 ODN131287:ODP131287 ONJ131287:ONL131287 OXF131287:OXH131287 PHB131287:PHD131287 PQX131287:PQZ131287 QAT131287:QAV131287 QKP131287:QKR131287 QUL131287:QUN131287 REH131287:REJ131287 ROD131287:ROF131287 RXZ131287:RYB131287 SHV131287:SHX131287 SRR131287:SRT131287 TBN131287:TBP131287 TLJ131287:TLL131287 TVF131287:TVH131287 UFB131287:UFD131287 UOX131287:UOZ131287 UYT131287:UYV131287 VIP131287:VIR131287 VSL131287:VSN131287 WCH131287:WCJ131287 WMD131287:WMF131287 WVZ131287:WWB131287 G196823:I196823 JN196823:JP196823 TJ196823:TL196823 ADF196823:ADH196823 ANB196823:AND196823 AWX196823:AWZ196823 BGT196823:BGV196823 BQP196823:BQR196823 CAL196823:CAN196823 CKH196823:CKJ196823 CUD196823:CUF196823 DDZ196823:DEB196823 DNV196823:DNX196823 DXR196823:DXT196823 EHN196823:EHP196823 ERJ196823:ERL196823 FBF196823:FBH196823 FLB196823:FLD196823 FUX196823:FUZ196823 GET196823:GEV196823 GOP196823:GOR196823 GYL196823:GYN196823 HIH196823:HIJ196823 HSD196823:HSF196823 IBZ196823:ICB196823 ILV196823:ILX196823 IVR196823:IVT196823 JFN196823:JFP196823 JPJ196823:JPL196823 JZF196823:JZH196823 KJB196823:KJD196823 KSX196823:KSZ196823 LCT196823:LCV196823 LMP196823:LMR196823 LWL196823:LWN196823 MGH196823:MGJ196823 MQD196823:MQF196823 MZZ196823:NAB196823 NJV196823:NJX196823 NTR196823:NTT196823 ODN196823:ODP196823 ONJ196823:ONL196823 OXF196823:OXH196823 PHB196823:PHD196823 PQX196823:PQZ196823 QAT196823:QAV196823 QKP196823:QKR196823 QUL196823:QUN196823 REH196823:REJ196823 ROD196823:ROF196823 RXZ196823:RYB196823 SHV196823:SHX196823 SRR196823:SRT196823 TBN196823:TBP196823 TLJ196823:TLL196823 TVF196823:TVH196823 UFB196823:UFD196823 UOX196823:UOZ196823 UYT196823:UYV196823 VIP196823:VIR196823 VSL196823:VSN196823 WCH196823:WCJ196823 WMD196823:WMF196823 WVZ196823:WWB196823 G262359:I262359 JN262359:JP262359 TJ262359:TL262359 ADF262359:ADH262359 ANB262359:AND262359 AWX262359:AWZ262359 BGT262359:BGV262359 BQP262359:BQR262359 CAL262359:CAN262359 CKH262359:CKJ262359 CUD262359:CUF262359 DDZ262359:DEB262359 DNV262359:DNX262359 DXR262359:DXT262359 EHN262359:EHP262359 ERJ262359:ERL262359 FBF262359:FBH262359 FLB262359:FLD262359 FUX262359:FUZ262359 GET262359:GEV262359 GOP262359:GOR262359 GYL262359:GYN262359 HIH262359:HIJ262359 HSD262359:HSF262359 IBZ262359:ICB262359 ILV262359:ILX262359 IVR262359:IVT262359 JFN262359:JFP262359 JPJ262359:JPL262359 JZF262359:JZH262359 KJB262359:KJD262359 KSX262359:KSZ262359 LCT262359:LCV262359 LMP262359:LMR262359 LWL262359:LWN262359 MGH262359:MGJ262359 MQD262359:MQF262359 MZZ262359:NAB262359 NJV262359:NJX262359 NTR262359:NTT262359 ODN262359:ODP262359 ONJ262359:ONL262359 OXF262359:OXH262359 PHB262359:PHD262359 PQX262359:PQZ262359 QAT262359:QAV262359 QKP262359:QKR262359 QUL262359:QUN262359 REH262359:REJ262359 ROD262359:ROF262359 RXZ262359:RYB262359 SHV262359:SHX262359 SRR262359:SRT262359 TBN262359:TBP262359 TLJ262359:TLL262359 TVF262359:TVH262359 UFB262359:UFD262359 UOX262359:UOZ262359 UYT262359:UYV262359 VIP262359:VIR262359 VSL262359:VSN262359 WCH262359:WCJ262359 WMD262359:WMF262359 WVZ262359:WWB262359 G327895:I327895 JN327895:JP327895 TJ327895:TL327895 ADF327895:ADH327895 ANB327895:AND327895 AWX327895:AWZ327895 BGT327895:BGV327895 BQP327895:BQR327895 CAL327895:CAN327895 CKH327895:CKJ327895 CUD327895:CUF327895 DDZ327895:DEB327895 DNV327895:DNX327895 DXR327895:DXT327895 EHN327895:EHP327895 ERJ327895:ERL327895 FBF327895:FBH327895 FLB327895:FLD327895 FUX327895:FUZ327895 GET327895:GEV327895 GOP327895:GOR327895 GYL327895:GYN327895 HIH327895:HIJ327895 HSD327895:HSF327895 IBZ327895:ICB327895 ILV327895:ILX327895 IVR327895:IVT327895 JFN327895:JFP327895 JPJ327895:JPL327895 JZF327895:JZH327895 KJB327895:KJD327895 KSX327895:KSZ327895 LCT327895:LCV327895 LMP327895:LMR327895 LWL327895:LWN327895 MGH327895:MGJ327895 MQD327895:MQF327895 MZZ327895:NAB327895 NJV327895:NJX327895 NTR327895:NTT327895 ODN327895:ODP327895 ONJ327895:ONL327895 OXF327895:OXH327895 PHB327895:PHD327895 PQX327895:PQZ327895 QAT327895:QAV327895 QKP327895:QKR327895 QUL327895:QUN327895 REH327895:REJ327895 ROD327895:ROF327895 RXZ327895:RYB327895 SHV327895:SHX327895 SRR327895:SRT327895 TBN327895:TBP327895 TLJ327895:TLL327895 TVF327895:TVH327895 UFB327895:UFD327895 UOX327895:UOZ327895 UYT327895:UYV327895 VIP327895:VIR327895 VSL327895:VSN327895 WCH327895:WCJ327895 WMD327895:WMF327895 WVZ327895:WWB327895 G393431:I393431 JN393431:JP393431 TJ393431:TL393431 ADF393431:ADH393431 ANB393431:AND393431 AWX393431:AWZ393431 BGT393431:BGV393431 BQP393431:BQR393431 CAL393431:CAN393431 CKH393431:CKJ393431 CUD393431:CUF393431 DDZ393431:DEB393431 DNV393431:DNX393431 DXR393431:DXT393431 EHN393431:EHP393431 ERJ393431:ERL393431 FBF393431:FBH393431 FLB393431:FLD393431 FUX393431:FUZ393431 GET393431:GEV393431 GOP393431:GOR393431 GYL393431:GYN393431 HIH393431:HIJ393431 HSD393431:HSF393431 IBZ393431:ICB393431 ILV393431:ILX393431 IVR393431:IVT393431 JFN393431:JFP393431 JPJ393431:JPL393431 JZF393431:JZH393431 KJB393431:KJD393431 KSX393431:KSZ393431 LCT393431:LCV393431 LMP393431:LMR393431 LWL393431:LWN393431 MGH393431:MGJ393431 MQD393431:MQF393431 MZZ393431:NAB393431 NJV393431:NJX393431 NTR393431:NTT393431 ODN393431:ODP393431 ONJ393431:ONL393431 OXF393431:OXH393431 PHB393431:PHD393431 PQX393431:PQZ393431 QAT393431:QAV393431 QKP393431:QKR393431 QUL393431:QUN393431 REH393431:REJ393431 ROD393431:ROF393431 RXZ393431:RYB393431 SHV393431:SHX393431 SRR393431:SRT393431 TBN393431:TBP393431 TLJ393431:TLL393431 TVF393431:TVH393431 UFB393431:UFD393431 UOX393431:UOZ393431 UYT393431:UYV393431 VIP393431:VIR393431 VSL393431:VSN393431 WCH393431:WCJ393431 WMD393431:WMF393431 WVZ393431:WWB393431 G458967:I458967 JN458967:JP458967 TJ458967:TL458967 ADF458967:ADH458967 ANB458967:AND458967 AWX458967:AWZ458967 BGT458967:BGV458967 BQP458967:BQR458967 CAL458967:CAN458967 CKH458967:CKJ458967 CUD458967:CUF458967 DDZ458967:DEB458967 DNV458967:DNX458967 DXR458967:DXT458967 EHN458967:EHP458967 ERJ458967:ERL458967 FBF458967:FBH458967 FLB458967:FLD458967 FUX458967:FUZ458967 GET458967:GEV458967 GOP458967:GOR458967 GYL458967:GYN458967 HIH458967:HIJ458967 HSD458967:HSF458967 IBZ458967:ICB458967 ILV458967:ILX458967 IVR458967:IVT458967 JFN458967:JFP458967 JPJ458967:JPL458967 JZF458967:JZH458967 KJB458967:KJD458967 KSX458967:KSZ458967 LCT458967:LCV458967 LMP458967:LMR458967 LWL458967:LWN458967 MGH458967:MGJ458967 MQD458967:MQF458967 MZZ458967:NAB458967 NJV458967:NJX458967 NTR458967:NTT458967 ODN458967:ODP458967 ONJ458967:ONL458967 OXF458967:OXH458967 PHB458967:PHD458967 PQX458967:PQZ458967 QAT458967:QAV458967 QKP458967:QKR458967 QUL458967:QUN458967 REH458967:REJ458967 ROD458967:ROF458967 RXZ458967:RYB458967 SHV458967:SHX458967 SRR458967:SRT458967 TBN458967:TBP458967 TLJ458967:TLL458967 TVF458967:TVH458967 UFB458967:UFD458967 UOX458967:UOZ458967 UYT458967:UYV458967 VIP458967:VIR458967 VSL458967:VSN458967 WCH458967:WCJ458967 WMD458967:WMF458967 WVZ458967:WWB458967 G524503:I524503 JN524503:JP524503 TJ524503:TL524503 ADF524503:ADH524503 ANB524503:AND524503 AWX524503:AWZ524503 BGT524503:BGV524503 BQP524503:BQR524503 CAL524503:CAN524503 CKH524503:CKJ524503 CUD524503:CUF524503 DDZ524503:DEB524503 DNV524503:DNX524503 DXR524503:DXT524503 EHN524503:EHP524503 ERJ524503:ERL524503 FBF524503:FBH524503 FLB524503:FLD524503 FUX524503:FUZ524503 GET524503:GEV524503 GOP524503:GOR524503 GYL524503:GYN524503 HIH524503:HIJ524503 HSD524503:HSF524503 IBZ524503:ICB524503 ILV524503:ILX524503 IVR524503:IVT524503 JFN524503:JFP524503 JPJ524503:JPL524503 JZF524503:JZH524503 KJB524503:KJD524503 KSX524503:KSZ524503 LCT524503:LCV524503 LMP524503:LMR524503 LWL524503:LWN524503 MGH524503:MGJ524503 MQD524503:MQF524503 MZZ524503:NAB524503 NJV524503:NJX524503 NTR524503:NTT524503 ODN524503:ODP524503 ONJ524503:ONL524503 OXF524503:OXH524503 PHB524503:PHD524503 PQX524503:PQZ524503 QAT524503:QAV524503 QKP524503:QKR524503 QUL524503:QUN524503 REH524503:REJ524503 ROD524503:ROF524503 RXZ524503:RYB524503 SHV524503:SHX524503 SRR524503:SRT524503 TBN524503:TBP524503 TLJ524503:TLL524503 TVF524503:TVH524503 UFB524503:UFD524503 UOX524503:UOZ524503 UYT524503:UYV524503 VIP524503:VIR524503 VSL524503:VSN524503 WCH524503:WCJ524503 WMD524503:WMF524503 WVZ524503:WWB524503 G590039:I590039 JN590039:JP590039 TJ590039:TL590039 ADF590039:ADH590039 ANB590039:AND590039 AWX590039:AWZ590039 BGT590039:BGV590039 BQP590039:BQR590039 CAL590039:CAN590039 CKH590039:CKJ590039 CUD590039:CUF590039 DDZ590039:DEB590039 DNV590039:DNX590039 DXR590039:DXT590039 EHN590039:EHP590039 ERJ590039:ERL590039 FBF590039:FBH590039 FLB590039:FLD590039 FUX590039:FUZ590039 GET590039:GEV590039 GOP590039:GOR590039 GYL590039:GYN590039 HIH590039:HIJ590039 HSD590039:HSF590039 IBZ590039:ICB590039 ILV590039:ILX590039 IVR590039:IVT590039 JFN590039:JFP590039 JPJ590039:JPL590039 JZF590039:JZH590039 KJB590039:KJD590039 KSX590039:KSZ590039 LCT590039:LCV590039 LMP590039:LMR590039 LWL590039:LWN590039 MGH590039:MGJ590039 MQD590039:MQF590039 MZZ590039:NAB590039 NJV590039:NJX590039 NTR590039:NTT590039 ODN590039:ODP590039 ONJ590039:ONL590039 OXF590039:OXH590039 PHB590039:PHD590039 PQX590039:PQZ590039 QAT590039:QAV590039 QKP590039:QKR590039 QUL590039:QUN590039 REH590039:REJ590039 ROD590039:ROF590039 RXZ590039:RYB590039 SHV590039:SHX590039 SRR590039:SRT590039 TBN590039:TBP590039 TLJ590039:TLL590039 TVF590039:TVH590039 UFB590039:UFD590039 UOX590039:UOZ590039 UYT590039:UYV590039 VIP590039:VIR590039 VSL590039:VSN590039 WCH590039:WCJ590039 WMD590039:WMF590039 WVZ590039:WWB590039 G655575:I655575 JN655575:JP655575 TJ655575:TL655575 ADF655575:ADH655575 ANB655575:AND655575 AWX655575:AWZ655575 BGT655575:BGV655575 BQP655575:BQR655575 CAL655575:CAN655575 CKH655575:CKJ655575 CUD655575:CUF655575 DDZ655575:DEB655575 DNV655575:DNX655575 DXR655575:DXT655575 EHN655575:EHP655575 ERJ655575:ERL655575 FBF655575:FBH655575 FLB655575:FLD655575 FUX655575:FUZ655575 GET655575:GEV655575 GOP655575:GOR655575 GYL655575:GYN655575 HIH655575:HIJ655575 HSD655575:HSF655575 IBZ655575:ICB655575 ILV655575:ILX655575 IVR655575:IVT655575 JFN655575:JFP655575 JPJ655575:JPL655575 JZF655575:JZH655575 KJB655575:KJD655575 KSX655575:KSZ655575 LCT655575:LCV655575 LMP655575:LMR655575 LWL655575:LWN655575 MGH655575:MGJ655575 MQD655575:MQF655575 MZZ655575:NAB655575 NJV655575:NJX655575 NTR655575:NTT655575 ODN655575:ODP655575 ONJ655575:ONL655575 OXF655575:OXH655575 PHB655575:PHD655575 PQX655575:PQZ655575 QAT655575:QAV655575 QKP655575:QKR655575 QUL655575:QUN655575 REH655575:REJ655575 ROD655575:ROF655575 RXZ655575:RYB655575 SHV655575:SHX655575 SRR655575:SRT655575 TBN655575:TBP655575 TLJ655575:TLL655575 TVF655575:TVH655575 UFB655575:UFD655575 UOX655575:UOZ655575 UYT655575:UYV655575 VIP655575:VIR655575 VSL655575:VSN655575 WCH655575:WCJ655575 WMD655575:WMF655575 WVZ655575:WWB655575 G721111:I721111 JN721111:JP721111 TJ721111:TL721111 ADF721111:ADH721111 ANB721111:AND721111 AWX721111:AWZ721111 BGT721111:BGV721111 BQP721111:BQR721111 CAL721111:CAN721111 CKH721111:CKJ721111 CUD721111:CUF721111 DDZ721111:DEB721111 DNV721111:DNX721111 DXR721111:DXT721111 EHN721111:EHP721111 ERJ721111:ERL721111 FBF721111:FBH721111 FLB721111:FLD721111 FUX721111:FUZ721111 GET721111:GEV721111 GOP721111:GOR721111 GYL721111:GYN721111 HIH721111:HIJ721111 HSD721111:HSF721111 IBZ721111:ICB721111 ILV721111:ILX721111 IVR721111:IVT721111 JFN721111:JFP721111 JPJ721111:JPL721111 JZF721111:JZH721111 KJB721111:KJD721111 KSX721111:KSZ721111 LCT721111:LCV721111 LMP721111:LMR721111 LWL721111:LWN721111 MGH721111:MGJ721111 MQD721111:MQF721111 MZZ721111:NAB721111 NJV721111:NJX721111 NTR721111:NTT721111 ODN721111:ODP721111 ONJ721111:ONL721111 OXF721111:OXH721111 PHB721111:PHD721111 PQX721111:PQZ721111 QAT721111:QAV721111 QKP721111:QKR721111 QUL721111:QUN721111 REH721111:REJ721111 ROD721111:ROF721111 RXZ721111:RYB721111 SHV721111:SHX721111 SRR721111:SRT721111 TBN721111:TBP721111 TLJ721111:TLL721111 TVF721111:TVH721111 UFB721111:UFD721111 UOX721111:UOZ721111 UYT721111:UYV721111 VIP721111:VIR721111 VSL721111:VSN721111 WCH721111:WCJ721111 WMD721111:WMF721111 WVZ721111:WWB721111 G786647:I786647 JN786647:JP786647 TJ786647:TL786647 ADF786647:ADH786647 ANB786647:AND786647 AWX786647:AWZ786647 BGT786647:BGV786647 BQP786647:BQR786647 CAL786647:CAN786647 CKH786647:CKJ786647 CUD786647:CUF786647 DDZ786647:DEB786647 DNV786647:DNX786647 DXR786647:DXT786647 EHN786647:EHP786647 ERJ786647:ERL786647 FBF786647:FBH786647 FLB786647:FLD786647 FUX786647:FUZ786647 GET786647:GEV786647 GOP786647:GOR786647 GYL786647:GYN786647 HIH786647:HIJ786647 HSD786647:HSF786647 IBZ786647:ICB786647 ILV786647:ILX786647 IVR786647:IVT786647 JFN786647:JFP786647 JPJ786647:JPL786647 JZF786647:JZH786647 KJB786647:KJD786647 KSX786647:KSZ786647 LCT786647:LCV786647 LMP786647:LMR786647 LWL786647:LWN786647 MGH786647:MGJ786647 MQD786647:MQF786647 MZZ786647:NAB786647 NJV786647:NJX786647 NTR786647:NTT786647 ODN786647:ODP786647 ONJ786647:ONL786647 OXF786647:OXH786647 PHB786647:PHD786647 PQX786647:PQZ786647 QAT786647:QAV786647 QKP786647:QKR786647 QUL786647:QUN786647 REH786647:REJ786647 ROD786647:ROF786647 RXZ786647:RYB786647 SHV786647:SHX786647 SRR786647:SRT786647 TBN786647:TBP786647 TLJ786647:TLL786647 TVF786647:TVH786647 UFB786647:UFD786647 UOX786647:UOZ786647 UYT786647:UYV786647 VIP786647:VIR786647 VSL786647:VSN786647 WCH786647:WCJ786647 WMD786647:WMF786647 WVZ786647:WWB786647 G852183:I852183 JN852183:JP852183 TJ852183:TL852183 ADF852183:ADH852183 ANB852183:AND852183 AWX852183:AWZ852183 BGT852183:BGV852183 BQP852183:BQR852183 CAL852183:CAN852183 CKH852183:CKJ852183 CUD852183:CUF852183 DDZ852183:DEB852183 DNV852183:DNX852183 DXR852183:DXT852183 EHN852183:EHP852183 ERJ852183:ERL852183 FBF852183:FBH852183 FLB852183:FLD852183 FUX852183:FUZ852183 GET852183:GEV852183 GOP852183:GOR852183 GYL852183:GYN852183 HIH852183:HIJ852183 HSD852183:HSF852183 IBZ852183:ICB852183 ILV852183:ILX852183 IVR852183:IVT852183 JFN852183:JFP852183 JPJ852183:JPL852183 JZF852183:JZH852183 KJB852183:KJD852183 KSX852183:KSZ852183 LCT852183:LCV852183 LMP852183:LMR852183 LWL852183:LWN852183 MGH852183:MGJ852183 MQD852183:MQF852183 MZZ852183:NAB852183 NJV852183:NJX852183 NTR852183:NTT852183 ODN852183:ODP852183 ONJ852183:ONL852183 OXF852183:OXH852183 PHB852183:PHD852183 PQX852183:PQZ852183 QAT852183:QAV852183 QKP852183:QKR852183 QUL852183:QUN852183 REH852183:REJ852183 ROD852183:ROF852183 RXZ852183:RYB852183 SHV852183:SHX852183 SRR852183:SRT852183 TBN852183:TBP852183 TLJ852183:TLL852183 TVF852183:TVH852183 UFB852183:UFD852183 UOX852183:UOZ852183 UYT852183:UYV852183 VIP852183:VIR852183 VSL852183:VSN852183 WCH852183:WCJ852183 WMD852183:WMF852183 WVZ852183:WWB852183 G917719:I917719 JN917719:JP917719 TJ917719:TL917719 ADF917719:ADH917719 ANB917719:AND917719 AWX917719:AWZ917719 BGT917719:BGV917719 BQP917719:BQR917719 CAL917719:CAN917719 CKH917719:CKJ917719 CUD917719:CUF917719 DDZ917719:DEB917719 DNV917719:DNX917719 DXR917719:DXT917719 EHN917719:EHP917719 ERJ917719:ERL917719 FBF917719:FBH917719 FLB917719:FLD917719 FUX917719:FUZ917719 GET917719:GEV917719 GOP917719:GOR917719 GYL917719:GYN917719 HIH917719:HIJ917719 HSD917719:HSF917719 IBZ917719:ICB917719 ILV917719:ILX917719 IVR917719:IVT917719 JFN917719:JFP917719 JPJ917719:JPL917719 JZF917719:JZH917719 KJB917719:KJD917719 KSX917719:KSZ917719 LCT917719:LCV917719 LMP917719:LMR917719 LWL917719:LWN917719 MGH917719:MGJ917719 MQD917719:MQF917719 MZZ917719:NAB917719 NJV917719:NJX917719 NTR917719:NTT917719 ODN917719:ODP917719 ONJ917719:ONL917719 OXF917719:OXH917719 PHB917719:PHD917719 PQX917719:PQZ917719 QAT917719:QAV917719 QKP917719:QKR917719 QUL917719:QUN917719 REH917719:REJ917719 ROD917719:ROF917719 RXZ917719:RYB917719 SHV917719:SHX917719 SRR917719:SRT917719 TBN917719:TBP917719 TLJ917719:TLL917719 TVF917719:TVH917719 UFB917719:UFD917719 UOX917719:UOZ917719 UYT917719:UYV917719 VIP917719:VIR917719 VSL917719:VSN917719 WCH917719:WCJ917719 WMD917719:WMF917719 WVZ917719:WWB917719 G983255:I983255 JN983255:JP983255 TJ983255:TL983255 ADF983255:ADH983255 ANB983255:AND983255 AWX983255:AWZ983255 BGT983255:BGV983255 BQP983255:BQR983255 CAL983255:CAN983255 CKH983255:CKJ983255 CUD983255:CUF983255 DDZ983255:DEB983255 DNV983255:DNX983255 DXR983255:DXT983255 EHN983255:EHP983255 ERJ983255:ERL983255 FBF983255:FBH983255 FLB983255:FLD983255 FUX983255:FUZ983255 GET983255:GEV983255 GOP983255:GOR983255 GYL983255:GYN983255 HIH983255:HIJ983255 HSD983255:HSF983255 IBZ983255:ICB983255 ILV983255:ILX983255 IVR983255:IVT983255 JFN983255:JFP983255 JPJ983255:JPL983255 JZF983255:JZH983255 KJB983255:KJD983255 KSX983255:KSZ983255 LCT983255:LCV983255 LMP983255:LMR983255 LWL983255:LWN983255 MGH983255:MGJ983255 MQD983255:MQF983255 MZZ983255:NAB983255 NJV983255:NJX983255 NTR983255:NTT983255 ODN983255:ODP983255 ONJ983255:ONL983255 OXF983255:OXH983255 PHB983255:PHD983255 PQX983255:PQZ983255 QAT983255:QAV983255 QKP983255:QKR983255 QUL983255:QUN983255 REH983255:REJ983255 ROD983255:ROF983255 RXZ983255:RYB983255 SHV983255:SHX983255 SRR983255:SRT983255 TBN983255:TBP983255 TLJ983255:TLL983255 TVF983255:TVH983255 UFB983255:UFD983255 UOX983255:UOZ983255 UYT983255:UYV983255 VIP983255:VIR983255 VSL983255:VSN983255 WCH983255:WCJ983255 WMD983255:WMF983255 WVZ983255:WWB983255 C11:F11 JK11:JM11 TG11:TI11 ADC11:ADE11 AMY11:ANA11 AWU11:AWW11 BGQ11:BGS11 BQM11:BQO11 CAI11:CAK11 CKE11:CKG11 CUA11:CUC11 DDW11:DDY11 DNS11:DNU11 DXO11:DXQ11 EHK11:EHM11 ERG11:ERI11 FBC11:FBE11 FKY11:FLA11 FUU11:FUW11 GEQ11:GES11 GOM11:GOO11 GYI11:GYK11 HIE11:HIG11 HSA11:HSC11 IBW11:IBY11 ILS11:ILU11 IVO11:IVQ11 JFK11:JFM11 JPG11:JPI11 JZC11:JZE11 KIY11:KJA11 KSU11:KSW11 LCQ11:LCS11 LMM11:LMO11 LWI11:LWK11 MGE11:MGG11 MQA11:MQC11 MZW11:MZY11 NJS11:NJU11 NTO11:NTQ11 ODK11:ODM11 ONG11:ONI11 OXC11:OXE11 PGY11:PHA11 PQU11:PQW11 QAQ11:QAS11 QKM11:QKO11 QUI11:QUK11 REE11:REG11 ROA11:ROC11 RXW11:RXY11 SHS11:SHU11 SRO11:SRQ11 TBK11:TBM11 TLG11:TLI11 TVC11:TVE11 UEY11:UFA11 UOU11:UOW11 UYQ11:UYS11 VIM11:VIO11 VSI11:VSK11 WCE11:WCG11 WMA11:WMC11 WVW11:WVY11 C65750:F65750 JK65750:JM65750 TG65750:TI65750 ADC65750:ADE65750 AMY65750:ANA65750 AWU65750:AWW65750 BGQ65750:BGS65750 BQM65750:BQO65750 CAI65750:CAK65750 CKE65750:CKG65750 CUA65750:CUC65750 DDW65750:DDY65750 DNS65750:DNU65750 DXO65750:DXQ65750 EHK65750:EHM65750 ERG65750:ERI65750 FBC65750:FBE65750 FKY65750:FLA65750 FUU65750:FUW65750 GEQ65750:GES65750 GOM65750:GOO65750 GYI65750:GYK65750 HIE65750:HIG65750 HSA65750:HSC65750 IBW65750:IBY65750 ILS65750:ILU65750 IVO65750:IVQ65750 JFK65750:JFM65750 JPG65750:JPI65750 JZC65750:JZE65750 KIY65750:KJA65750 KSU65750:KSW65750 LCQ65750:LCS65750 LMM65750:LMO65750 LWI65750:LWK65750 MGE65750:MGG65750 MQA65750:MQC65750 MZW65750:MZY65750 NJS65750:NJU65750 NTO65750:NTQ65750 ODK65750:ODM65750 ONG65750:ONI65750 OXC65750:OXE65750 PGY65750:PHA65750 PQU65750:PQW65750 QAQ65750:QAS65750 QKM65750:QKO65750 QUI65750:QUK65750 REE65750:REG65750 ROA65750:ROC65750 RXW65750:RXY65750 SHS65750:SHU65750 SRO65750:SRQ65750 TBK65750:TBM65750 TLG65750:TLI65750 TVC65750:TVE65750 UEY65750:UFA65750 UOU65750:UOW65750 UYQ65750:UYS65750 VIM65750:VIO65750 VSI65750:VSK65750 WCE65750:WCG65750 WMA65750:WMC65750 WVW65750:WVY65750 C131286:F131286 JK131286:JM131286 TG131286:TI131286 ADC131286:ADE131286 AMY131286:ANA131286 AWU131286:AWW131286 BGQ131286:BGS131286 BQM131286:BQO131286 CAI131286:CAK131286 CKE131286:CKG131286 CUA131286:CUC131286 DDW131286:DDY131286 DNS131286:DNU131286 DXO131286:DXQ131286 EHK131286:EHM131286 ERG131286:ERI131286 FBC131286:FBE131286 FKY131286:FLA131286 FUU131286:FUW131286 GEQ131286:GES131286 GOM131286:GOO131286 GYI131286:GYK131286 HIE131286:HIG131286 HSA131286:HSC131286 IBW131286:IBY131286 ILS131286:ILU131286 IVO131286:IVQ131286 JFK131286:JFM131286 JPG131286:JPI131286 JZC131286:JZE131286 KIY131286:KJA131286 KSU131286:KSW131286 LCQ131286:LCS131286 LMM131286:LMO131286 LWI131286:LWK131286 MGE131286:MGG131286 MQA131286:MQC131286 MZW131286:MZY131286 NJS131286:NJU131286 NTO131286:NTQ131286 ODK131286:ODM131286 ONG131286:ONI131286 OXC131286:OXE131286 PGY131286:PHA131286 PQU131286:PQW131286 QAQ131286:QAS131286 QKM131286:QKO131286 QUI131286:QUK131286 REE131286:REG131286 ROA131286:ROC131286 RXW131286:RXY131286 SHS131286:SHU131286 SRO131286:SRQ131286 TBK131286:TBM131286 TLG131286:TLI131286 TVC131286:TVE131286 UEY131286:UFA131286 UOU131286:UOW131286 UYQ131286:UYS131286 VIM131286:VIO131286 VSI131286:VSK131286 WCE131286:WCG131286 WMA131286:WMC131286 WVW131286:WVY131286 C196822:F196822 JK196822:JM196822 TG196822:TI196822 ADC196822:ADE196822 AMY196822:ANA196822 AWU196822:AWW196822 BGQ196822:BGS196822 BQM196822:BQO196822 CAI196822:CAK196822 CKE196822:CKG196822 CUA196822:CUC196822 DDW196822:DDY196822 DNS196822:DNU196822 DXO196822:DXQ196822 EHK196822:EHM196822 ERG196822:ERI196822 FBC196822:FBE196822 FKY196822:FLA196822 FUU196822:FUW196822 GEQ196822:GES196822 GOM196822:GOO196822 GYI196822:GYK196822 HIE196822:HIG196822 HSA196822:HSC196822 IBW196822:IBY196822 ILS196822:ILU196822 IVO196822:IVQ196822 JFK196822:JFM196822 JPG196822:JPI196822 JZC196822:JZE196822 KIY196822:KJA196822 KSU196822:KSW196822 LCQ196822:LCS196822 LMM196822:LMO196822 LWI196822:LWK196822 MGE196822:MGG196822 MQA196822:MQC196822 MZW196822:MZY196822 NJS196822:NJU196822 NTO196822:NTQ196822 ODK196822:ODM196822 ONG196822:ONI196822 OXC196822:OXE196822 PGY196822:PHA196822 PQU196822:PQW196822 QAQ196822:QAS196822 QKM196822:QKO196822 QUI196822:QUK196822 REE196822:REG196822 ROA196822:ROC196822 RXW196822:RXY196822 SHS196822:SHU196822 SRO196822:SRQ196822 TBK196822:TBM196822 TLG196822:TLI196822 TVC196822:TVE196822 UEY196822:UFA196822 UOU196822:UOW196822 UYQ196822:UYS196822 VIM196822:VIO196822 VSI196822:VSK196822 WCE196822:WCG196822 WMA196822:WMC196822 WVW196822:WVY196822 C262358:F262358 JK262358:JM262358 TG262358:TI262358 ADC262358:ADE262358 AMY262358:ANA262358 AWU262358:AWW262358 BGQ262358:BGS262358 BQM262358:BQO262358 CAI262358:CAK262358 CKE262358:CKG262358 CUA262358:CUC262358 DDW262358:DDY262358 DNS262358:DNU262358 DXO262358:DXQ262358 EHK262358:EHM262358 ERG262358:ERI262358 FBC262358:FBE262358 FKY262358:FLA262358 FUU262358:FUW262358 GEQ262358:GES262358 GOM262358:GOO262358 GYI262358:GYK262358 HIE262358:HIG262358 HSA262358:HSC262358 IBW262358:IBY262358 ILS262358:ILU262358 IVO262358:IVQ262358 JFK262358:JFM262358 JPG262358:JPI262358 JZC262358:JZE262358 KIY262358:KJA262358 KSU262358:KSW262358 LCQ262358:LCS262358 LMM262358:LMO262358 LWI262358:LWK262358 MGE262358:MGG262358 MQA262358:MQC262358 MZW262358:MZY262358 NJS262358:NJU262358 NTO262358:NTQ262358 ODK262358:ODM262358 ONG262358:ONI262358 OXC262358:OXE262358 PGY262358:PHA262358 PQU262358:PQW262358 QAQ262358:QAS262358 QKM262358:QKO262358 QUI262358:QUK262358 REE262358:REG262358 ROA262358:ROC262358 RXW262358:RXY262358 SHS262358:SHU262358 SRO262358:SRQ262358 TBK262358:TBM262358 TLG262358:TLI262358 TVC262358:TVE262358 UEY262358:UFA262358 UOU262358:UOW262358 UYQ262358:UYS262358 VIM262358:VIO262358 VSI262358:VSK262358 WCE262358:WCG262358 WMA262358:WMC262358 WVW262358:WVY262358 C327894:F327894 JK327894:JM327894 TG327894:TI327894 ADC327894:ADE327894 AMY327894:ANA327894 AWU327894:AWW327894 BGQ327894:BGS327894 BQM327894:BQO327894 CAI327894:CAK327894 CKE327894:CKG327894 CUA327894:CUC327894 DDW327894:DDY327894 DNS327894:DNU327894 DXO327894:DXQ327894 EHK327894:EHM327894 ERG327894:ERI327894 FBC327894:FBE327894 FKY327894:FLA327894 FUU327894:FUW327894 GEQ327894:GES327894 GOM327894:GOO327894 GYI327894:GYK327894 HIE327894:HIG327894 HSA327894:HSC327894 IBW327894:IBY327894 ILS327894:ILU327894 IVO327894:IVQ327894 JFK327894:JFM327894 JPG327894:JPI327894 JZC327894:JZE327894 KIY327894:KJA327894 KSU327894:KSW327894 LCQ327894:LCS327894 LMM327894:LMO327894 LWI327894:LWK327894 MGE327894:MGG327894 MQA327894:MQC327894 MZW327894:MZY327894 NJS327894:NJU327894 NTO327894:NTQ327894 ODK327894:ODM327894 ONG327894:ONI327894 OXC327894:OXE327894 PGY327894:PHA327894 PQU327894:PQW327894 QAQ327894:QAS327894 QKM327894:QKO327894 QUI327894:QUK327894 REE327894:REG327894 ROA327894:ROC327894 RXW327894:RXY327894 SHS327894:SHU327894 SRO327894:SRQ327894 TBK327894:TBM327894 TLG327894:TLI327894 TVC327894:TVE327894 UEY327894:UFA327894 UOU327894:UOW327894 UYQ327894:UYS327894 VIM327894:VIO327894 VSI327894:VSK327894 WCE327894:WCG327894 WMA327894:WMC327894 WVW327894:WVY327894 C393430:F393430 JK393430:JM393430 TG393430:TI393430 ADC393430:ADE393430 AMY393430:ANA393430 AWU393430:AWW393430 BGQ393430:BGS393430 BQM393430:BQO393430 CAI393430:CAK393430 CKE393430:CKG393430 CUA393430:CUC393430 DDW393430:DDY393430 DNS393430:DNU393430 DXO393430:DXQ393430 EHK393430:EHM393430 ERG393430:ERI393430 FBC393430:FBE393430 FKY393430:FLA393430 FUU393430:FUW393430 GEQ393430:GES393430 GOM393430:GOO393430 GYI393430:GYK393430 HIE393430:HIG393430 HSA393430:HSC393430 IBW393430:IBY393430 ILS393430:ILU393430 IVO393430:IVQ393430 JFK393430:JFM393430 JPG393430:JPI393430 JZC393430:JZE393430 KIY393430:KJA393430 KSU393430:KSW393430 LCQ393430:LCS393430 LMM393430:LMO393430 LWI393430:LWK393430 MGE393430:MGG393430 MQA393430:MQC393430 MZW393430:MZY393430 NJS393430:NJU393430 NTO393430:NTQ393430 ODK393430:ODM393430 ONG393430:ONI393430 OXC393430:OXE393430 PGY393430:PHA393430 PQU393430:PQW393430 QAQ393430:QAS393430 QKM393430:QKO393430 QUI393430:QUK393430 REE393430:REG393430 ROA393430:ROC393430 RXW393430:RXY393430 SHS393430:SHU393430 SRO393430:SRQ393430 TBK393430:TBM393430 TLG393430:TLI393430 TVC393430:TVE393430 UEY393430:UFA393430 UOU393430:UOW393430 UYQ393430:UYS393430 VIM393430:VIO393430 VSI393430:VSK393430 WCE393430:WCG393430 WMA393430:WMC393430 WVW393430:WVY393430 C458966:F458966 JK458966:JM458966 TG458966:TI458966 ADC458966:ADE458966 AMY458966:ANA458966 AWU458966:AWW458966 BGQ458966:BGS458966 BQM458966:BQO458966 CAI458966:CAK458966 CKE458966:CKG458966 CUA458966:CUC458966 DDW458966:DDY458966 DNS458966:DNU458966 DXO458966:DXQ458966 EHK458966:EHM458966 ERG458966:ERI458966 FBC458966:FBE458966 FKY458966:FLA458966 FUU458966:FUW458966 GEQ458966:GES458966 GOM458966:GOO458966 GYI458966:GYK458966 HIE458966:HIG458966 HSA458966:HSC458966 IBW458966:IBY458966 ILS458966:ILU458966 IVO458966:IVQ458966 JFK458966:JFM458966 JPG458966:JPI458966 JZC458966:JZE458966 KIY458966:KJA458966 KSU458966:KSW458966 LCQ458966:LCS458966 LMM458966:LMO458966 LWI458966:LWK458966 MGE458966:MGG458966 MQA458966:MQC458966 MZW458966:MZY458966 NJS458966:NJU458966 NTO458966:NTQ458966 ODK458966:ODM458966 ONG458966:ONI458966 OXC458966:OXE458966 PGY458966:PHA458966 PQU458966:PQW458966 QAQ458966:QAS458966 QKM458966:QKO458966 QUI458966:QUK458966 REE458966:REG458966 ROA458966:ROC458966 RXW458966:RXY458966 SHS458966:SHU458966 SRO458966:SRQ458966 TBK458966:TBM458966 TLG458966:TLI458966 TVC458966:TVE458966 UEY458966:UFA458966 UOU458966:UOW458966 UYQ458966:UYS458966 VIM458966:VIO458966 VSI458966:VSK458966 WCE458966:WCG458966 WMA458966:WMC458966 WVW458966:WVY458966 C524502:F524502 JK524502:JM524502 TG524502:TI524502 ADC524502:ADE524502 AMY524502:ANA524502 AWU524502:AWW524502 BGQ524502:BGS524502 BQM524502:BQO524502 CAI524502:CAK524502 CKE524502:CKG524502 CUA524502:CUC524502 DDW524502:DDY524502 DNS524502:DNU524502 DXO524502:DXQ524502 EHK524502:EHM524502 ERG524502:ERI524502 FBC524502:FBE524502 FKY524502:FLA524502 FUU524502:FUW524502 GEQ524502:GES524502 GOM524502:GOO524502 GYI524502:GYK524502 HIE524502:HIG524502 HSA524502:HSC524502 IBW524502:IBY524502 ILS524502:ILU524502 IVO524502:IVQ524502 JFK524502:JFM524502 JPG524502:JPI524502 JZC524502:JZE524502 KIY524502:KJA524502 KSU524502:KSW524502 LCQ524502:LCS524502 LMM524502:LMO524502 LWI524502:LWK524502 MGE524502:MGG524502 MQA524502:MQC524502 MZW524502:MZY524502 NJS524502:NJU524502 NTO524502:NTQ524502 ODK524502:ODM524502 ONG524502:ONI524502 OXC524502:OXE524502 PGY524502:PHA524502 PQU524502:PQW524502 QAQ524502:QAS524502 QKM524502:QKO524502 QUI524502:QUK524502 REE524502:REG524502 ROA524502:ROC524502 RXW524502:RXY524502 SHS524502:SHU524502 SRO524502:SRQ524502 TBK524502:TBM524502 TLG524502:TLI524502 TVC524502:TVE524502 UEY524502:UFA524502 UOU524502:UOW524502 UYQ524502:UYS524502 VIM524502:VIO524502 VSI524502:VSK524502 WCE524502:WCG524502 WMA524502:WMC524502 WVW524502:WVY524502 C590038:F590038 JK590038:JM590038 TG590038:TI590038 ADC590038:ADE590038 AMY590038:ANA590038 AWU590038:AWW590038 BGQ590038:BGS590038 BQM590038:BQO590038 CAI590038:CAK590038 CKE590038:CKG590038 CUA590038:CUC590038 DDW590038:DDY590038 DNS590038:DNU590038 DXO590038:DXQ590038 EHK590038:EHM590038 ERG590038:ERI590038 FBC590038:FBE590038 FKY590038:FLA590038 FUU590038:FUW590038 GEQ590038:GES590038 GOM590038:GOO590038 GYI590038:GYK590038 HIE590038:HIG590038 HSA590038:HSC590038 IBW590038:IBY590038 ILS590038:ILU590038 IVO590038:IVQ590038 JFK590038:JFM590038 JPG590038:JPI590038 JZC590038:JZE590038 KIY590038:KJA590038 KSU590038:KSW590038 LCQ590038:LCS590038 LMM590038:LMO590038 LWI590038:LWK590038 MGE590038:MGG590038 MQA590038:MQC590038 MZW590038:MZY590038 NJS590038:NJU590038 NTO590038:NTQ590038 ODK590038:ODM590038 ONG590038:ONI590038 OXC590038:OXE590038 PGY590038:PHA590038 PQU590038:PQW590038 QAQ590038:QAS590038 QKM590038:QKO590038 QUI590038:QUK590038 REE590038:REG590038 ROA590038:ROC590038 RXW590038:RXY590038 SHS590038:SHU590038 SRO590038:SRQ590038 TBK590038:TBM590038 TLG590038:TLI590038 TVC590038:TVE590038 UEY590038:UFA590038 UOU590038:UOW590038 UYQ590038:UYS590038 VIM590038:VIO590038 VSI590038:VSK590038 WCE590038:WCG590038 WMA590038:WMC590038 WVW590038:WVY590038 C655574:F655574 JK655574:JM655574 TG655574:TI655574 ADC655574:ADE655574 AMY655574:ANA655574 AWU655574:AWW655574 BGQ655574:BGS655574 BQM655574:BQO655574 CAI655574:CAK655574 CKE655574:CKG655574 CUA655574:CUC655574 DDW655574:DDY655574 DNS655574:DNU655574 DXO655574:DXQ655574 EHK655574:EHM655574 ERG655574:ERI655574 FBC655574:FBE655574 FKY655574:FLA655574 FUU655574:FUW655574 GEQ655574:GES655574 GOM655574:GOO655574 GYI655574:GYK655574 HIE655574:HIG655574 HSA655574:HSC655574 IBW655574:IBY655574 ILS655574:ILU655574 IVO655574:IVQ655574 JFK655574:JFM655574 JPG655574:JPI655574 JZC655574:JZE655574 KIY655574:KJA655574 KSU655574:KSW655574 LCQ655574:LCS655574 LMM655574:LMO655574 LWI655574:LWK655574 MGE655574:MGG655574 MQA655574:MQC655574 MZW655574:MZY655574 NJS655574:NJU655574 NTO655574:NTQ655574 ODK655574:ODM655574 ONG655574:ONI655574 OXC655574:OXE655574 PGY655574:PHA655574 PQU655574:PQW655574 QAQ655574:QAS655574 QKM655574:QKO655574 QUI655574:QUK655574 REE655574:REG655574 ROA655574:ROC655574 RXW655574:RXY655574 SHS655574:SHU655574 SRO655574:SRQ655574 TBK655574:TBM655574 TLG655574:TLI655574 TVC655574:TVE655574 UEY655574:UFA655574 UOU655574:UOW655574 UYQ655574:UYS655574 VIM655574:VIO655574 VSI655574:VSK655574 WCE655574:WCG655574 WMA655574:WMC655574 WVW655574:WVY655574 C721110:F721110 JK721110:JM721110 TG721110:TI721110 ADC721110:ADE721110 AMY721110:ANA721110 AWU721110:AWW721110 BGQ721110:BGS721110 BQM721110:BQO721110 CAI721110:CAK721110 CKE721110:CKG721110 CUA721110:CUC721110 DDW721110:DDY721110 DNS721110:DNU721110 DXO721110:DXQ721110 EHK721110:EHM721110 ERG721110:ERI721110 FBC721110:FBE721110 FKY721110:FLA721110 FUU721110:FUW721110 GEQ721110:GES721110 GOM721110:GOO721110 GYI721110:GYK721110 HIE721110:HIG721110 HSA721110:HSC721110 IBW721110:IBY721110 ILS721110:ILU721110 IVO721110:IVQ721110 JFK721110:JFM721110 JPG721110:JPI721110 JZC721110:JZE721110 KIY721110:KJA721110 KSU721110:KSW721110 LCQ721110:LCS721110 LMM721110:LMO721110 LWI721110:LWK721110 MGE721110:MGG721110 MQA721110:MQC721110 MZW721110:MZY721110 NJS721110:NJU721110 NTO721110:NTQ721110 ODK721110:ODM721110 ONG721110:ONI721110 OXC721110:OXE721110 PGY721110:PHA721110 PQU721110:PQW721110 QAQ721110:QAS721110 QKM721110:QKO721110 QUI721110:QUK721110 REE721110:REG721110 ROA721110:ROC721110 RXW721110:RXY721110 SHS721110:SHU721110 SRO721110:SRQ721110 TBK721110:TBM721110 TLG721110:TLI721110 TVC721110:TVE721110 UEY721110:UFA721110 UOU721110:UOW721110 UYQ721110:UYS721110 VIM721110:VIO721110 VSI721110:VSK721110 WCE721110:WCG721110 WMA721110:WMC721110 WVW721110:WVY721110 C786646:F786646 JK786646:JM786646 TG786646:TI786646 ADC786646:ADE786646 AMY786646:ANA786646 AWU786646:AWW786646 BGQ786646:BGS786646 BQM786646:BQO786646 CAI786646:CAK786646 CKE786646:CKG786646 CUA786646:CUC786646 DDW786646:DDY786646 DNS786646:DNU786646 DXO786646:DXQ786646 EHK786646:EHM786646 ERG786646:ERI786646 FBC786646:FBE786646 FKY786646:FLA786646 FUU786646:FUW786646 GEQ786646:GES786646 GOM786646:GOO786646 GYI786646:GYK786646 HIE786646:HIG786646 HSA786646:HSC786646 IBW786646:IBY786646 ILS786646:ILU786646 IVO786646:IVQ786646 JFK786646:JFM786646 JPG786646:JPI786646 JZC786646:JZE786646 KIY786646:KJA786646 KSU786646:KSW786646 LCQ786646:LCS786646 LMM786646:LMO786646 LWI786646:LWK786646 MGE786646:MGG786646 MQA786646:MQC786646 MZW786646:MZY786646 NJS786646:NJU786646 NTO786646:NTQ786646 ODK786646:ODM786646 ONG786646:ONI786646 OXC786646:OXE786646 PGY786646:PHA786646 PQU786646:PQW786646 QAQ786646:QAS786646 QKM786646:QKO786646 QUI786646:QUK786646 REE786646:REG786646 ROA786646:ROC786646 RXW786646:RXY786646 SHS786646:SHU786646 SRO786646:SRQ786646 TBK786646:TBM786646 TLG786646:TLI786646 TVC786646:TVE786646 UEY786646:UFA786646 UOU786646:UOW786646 UYQ786646:UYS786646 VIM786646:VIO786646 VSI786646:VSK786646 WCE786646:WCG786646 WMA786646:WMC786646 WVW786646:WVY786646 C852182:F852182 JK852182:JM852182 TG852182:TI852182 ADC852182:ADE852182 AMY852182:ANA852182 AWU852182:AWW852182 BGQ852182:BGS852182 BQM852182:BQO852182 CAI852182:CAK852182 CKE852182:CKG852182 CUA852182:CUC852182 DDW852182:DDY852182 DNS852182:DNU852182 DXO852182:DXQ852182 EHK852182:EHM852182 ERG852182:ERI852182 FBC852182:FBE852182 FKY852182:FLA852182 FUU852182:FUW852182 GEQ852182:GES852182 GOM852182:GOO852182 GYI852182:GYK852182 HIE852182:HIG852182 HSA852182:HSC852182 IBW852182:IBY852182 ILS852182:ILU852182 IVO852182:IVQ852182 JFK852182:JFM852182 JPG852182:JPI852182 JZC852182:JZE852182 KIY852182:KJA852182 KSU852182:KSW852182 LCQ852182:LCS852182 LMM852182:LMO852182 LWI852182:LWK852182 MGE852182:MGG852182 MQA852182:MQC852182 MZW852182:MZY852182 NJS852182:NJU852182 NTO852182:NTQ852182 ODK852182:ODM852182 ONG852182:ONI852182 OXC852182:OXE852182 PGY852182:PHA852182 PQU852182:PQW852182 QAQ852182:QAS852182 QKM852182:QKO852182 QUI852182:QUK852182 REE852182:REG852182 ROA852182:ROC852182 RXW852182:RXY852182 SHS852182:SHU852182 SRO852182:SRQ852182 TBK852182:TBM852182 TLG852182:TLI852182 TVC852182:TVE852182 UEY852182:UFA852182 UOU852182:UOW852182 UYQ852182:UYS852182 VIM852182:VIO852182 VSI852182:VSK852182 WCE852182:WCG852182 WMA852182:WMC852182 WVW852182:WVY852182 C917718:F917718 JK917718:JM917718 TG917718:TI917718 ADC917718:ADE917718 AMY917718:ANA917718 AWU917718:AWW917718 BGQ917718:BGS917718 BQM917718:BQO917718 CAI917718:CAK917718 CKE917718:CKG917718 CUA917718:CUC917718 DDW917718:DDY917718 DNS917718:DNU917718 DXO917718:DXQ917718 EHK917718:EHM917718 ERG917718:ERI917718 FBC917718:FBE917718 FKY917718:FLA917718 FUU917718:FUW917718 GEQ917718:GES917718 GOM917718:GOO917718 GYI917718:GYK917718 HIE917718:HIG917718 HSA917718:HSC917718 IBW917718:IBY917718 ILS917718:ILU917718 IVO917718:IVQ917718 JFK917718:JFM917718 JPG917718:JPI917718 JZC917718:JZE917718 KIY917718:KJA917718 KSU917718:KSW917718 LCQ917718:LCS917718 LMM917718:LMO917718 LWI917718:LWK917718 MGE917718:MGG917718 MQA917718:MQC917718 MZW917718:MZY917718 NJS917718:NJU917718 NTO917718:NTQ917718 ODK917718:ODM917718 ONG917718:ONI917718 OXC917718:OXE917718 PGY917718:PHA917718 PQU917718:PQW917718 QAQ917718:QAS917718 QKM917718:QKO917718 QUI917718:QUK917718 REE917718:REG917718 ROA917718:ROC917718 RXW917718:RXY917718 SHS917718:SHU917718 SRO917718:SRQ917718 TBK917718:TBM917718 TLG917718:TLI917718 TVC917718:TVE917718 UEY917718:UFA917718 UOU917718:UOW917718 UYQ917718:UYS917718 VIM917718:VIO917718 VSI917718:VSK917718 WCE917718:WCG917718 WMA917718:WMC917718 WVW917718:WVY917718 C983254:F983254 JK983254:JM983254 TG983254:TI983254 ADC983254:ADE983254 AMY983254:ANA983254 AWU983254:AWW983254 BGQ983254:BGS983254 BQM983254:BQO983254 CAI983254:CAK983254 CKE983254:CKG983254 CUA983254:CUC983254 DDW983254:DDY983254 DNS983254:DNU983254 DXO983254:DXQ983254 EHK983254:EHM983254 ERG983254:ERI983254 FBC983254:FBE983254 FKY983254:FLA983254 FUU983254:FUW983254 GEQ983254:GES983254 GOM983254:GOO983254 GYI983254:GYK983254 HIE983254:HIG983254 HSA983254:HSC983254 IBW983254:IBY983254 ILS983254:ILU983254 IVO983254:IVQ983254 JFK983254:JFM983254 JPG983254:JPI983254 JZC983254:JZE983254 KIY983254:KJA983254 KSU983254:KSW983254 LCQ983254:LCS983254 LMM983254:LMO983254 LWI983254:LWK983254 MGE983254:MGG983254 MQA983254:MQC983254 MZW983254:MZY983254 NJS983254:NJU983254 NTO983254:NTQ983254 ODK983254:ODM983254 ONG983254:ONI983254 OXC983254:OXE983254 PGY983254:PHA983254 PQU983254:PQW983254 QAQ983254:QAS983254 QKM983254:QKO983254 QUI983254:QUK983254 REE983254:REG983254 ROA983254:ROC983254 RXW983254:RXY983254 SHS983254:SHU983254 SRO983254:SRQ983254 TBK983254:TBM983254 TLG983254:TLI983254 TVC983254:TVE983254 UEY983254:UFA983254 UOU983254:UOW983254 UYQ983254:UYS983254 VIM983254:VIO983254 VSI983254:VSK983254 WCE983254:WCG983254 WMA983254:WMC983254 WVW983254:WVY983254 WVZ12:WWB12 WMD12:WMF12 WCH12:WCJ12 VSL12:VSN12 VIP12:VIR12 UYT12:UYV12 UOX12:UOZ12 UFB12:UFD12 TVF12:TVH12 TLJ12:TLL12 TBN12:TBP12 SRR12:SRT12 SHV12:SHX12 RXZ12:RYB12 ROD12:ROF12 REH12:REJ12 QUL12:QUN12 QKP12:QKR12 QAT12:QAV12 PQX12:PQZ12 PHB12:PHD12 OXF12:OXH12 ONJ12:ONL12 ODN12:ODP12 NTR12:NTT12 NJV12:NJX12 MZZ12:NAB12 MQD12:MQF12 MGH12:MGJ12 LWL12:LWN12 LMP12:LMR12 LCT12:LCV12 KSX12:KSZ12 KJB12:KJD12 JZF12:JZH12 JPJ12:JPL12 JFN12:JFP12 IVR12:IVT12 ILV12:ILX12 IBZ12:ICB12 HSD12:HSF12 HIH12:HIJ12 GYL12:GYN12 GOP12:GOR12 GET12:GEV12 FUX12:FUZ12 FLB12:FLD12 FBF12:FBH12 ERJ12:ERL12 EHN12:EHP12 DXR12:DXT12 DNV12:DNX12 DDZ12:DEB12 CUD12:CUF12 CKH12:CKJ12 CAL12:CAN12 BQP12:BQR12 BGT12:BGV12 AWX12:AWZ12 ANB12:AND12 ADF12:ADH12 TJ12:TL12 JN12:JP12 G12:I12" xr:uid="{96A0F38B-6DC1-47C5-902E-83B9A15378CD}"/>
    <dataValidation allowBlank="1" showInputMessage="1" showErrorMessage="1" prompt="Ingrese el valor a pagar segun la forma de pago establecida en los estudios previos" sqref="JN210:JZ210 TJ210:TV210 ADF210:ADR210 ANB210:ANN210 AWX210:AXJ210 BGT210:BHF210 BQP210:BRB210 CAL210:CAX210 CKH210:CKT210 CUD210:CUP210 DDZ210:DEL210 DNV210:DOH210 DXR210:DYD210 EHN210:EHZ210 ERJ210:ERV210 FBF210:FBR210 FLB210:FLN210 FUX210:FVJ210 GET210:GFF210 GOP210:GPB210 GYL210:GYX210 HIH210:HIT210 HSD210:HSP210 IBZ210:ICL210 ILV210:IMH210 IVR210:IWD210 JFN210:JFZ210 JPJ210:JPV210 JZF210:JZR210 KJB210:KJN210 KSX210:KTJ210 LCT210:LDF210 LMP210:LNB210 LWL210:LWX210 MGH210:MGT210 MQD210:MQP210 MZZ210:NAL210 NJV210:NKH210 NTR210:NUD210 ODN210:ODZ210 ONJ210:ONV210 OXF210:OXR210 PHB210:PHN210 PQX210:PRJ210 QAT210:QBF210 QKP210:QLB210 QUL210:QUX210 REH210:RET210 ROD210:ROP210 RXZ210:RYL210 SHV210:SIH210 SRR210:SSD210 TBN210:TBZ210 TLJ210:TLV210 TVF210:TVR210 UFB210:UFN210 UOX210:UPJ210 UYT210:UZF210 VIP210:VJB210 VSL210:VSX210 WCH210:WCT210 WMD210:WMP210 WVZ210:WWL210 JN65763:JZ65763 TJ65763:TV65763 ADF65763:ADR65763 ANB65763:ANN65763 AWX65763:AXJ65763 BGT65763:BHF65763 BQP65763:BRB65763 CAL65763:CAX65763 CKH65763:CKT65763 CUD65763:CUP65763 DDZ65763:DEL65763 DNV65763:DOH65763 DXR65763:DYD65763 EHN65763:EHZ65763 ERJ65763:ERV65763 FBF65763:FBR65763 FLB65763:FLN65763 FUX65763:FVJ65763 GET65763:GFF65763 GOP65763:GPB65763 GYL65763:GYX65763 HIH65763:HIT65763 HSD65763:HSP65763 IBZ65763:ICL65763 ILV65763:IMH65763 IVR65763:IWD65763 JFN65763:JFZ65763 JPJ65763:JPV65763 JZF65763:JZR65763 KJB65763:KJN65763 KSX65763:KTJ65763 LCT65763:LDF65763 LMP65763:LNB65763 LWL65763:LWX65763 MGH65763:MGT65763 MQD65763:MQP65763 MZZ65763:NAL65763 NJV65763:NKH65763 NTR65763:NUD65763 ODN65763:ODZ65763 ONJ65763:ONV65763 OXF65763:OXR65763 PHB65763:PHN65763 PQX65763:PRJ65763 QAT65763:QBF65763 QKP65763:QLB65763 QUL65763:QUX65763 REH65763:RET65763 ROD65763:ROP65763 RXZ65763:RYL65763 SHV65763:SIH65763 SRR65763:SSD65763 TBN65763:TBZ65763 TLJ65763:TLV65763 TVF65763:TVR65763 UFB65763:UFN65763 UOX65763:UPJ65763 UYT65763:UZF65763 VIP65763:VJB65763 VSL65763:VSX65763 WCH65763:WCT65763 WMD65763:WMP65763 WVZ65763:WWL65763 JN131299:JZ131299 TJ131299:TV131299 ADF131299:ADR131299 ANB131299:ANN131299 AWX131299:AXJ131299 BGT131299:BHF131299 BQP131299:BRB131299 CAL131299:CAX131299 CKH131299:CKT131299 CUD131299:CUP131299 DDZ131299:DEL131299 DNV131299:DOH131299 DXR131299:DYD131299 EHN131299:EHZ131299 ERJ131299:ERV131299 FBF131299:FBR131299 FLB131299:FLN131299 FUX131299:FVJ131299 GET131299:GFF131299 GOP131299:GPB131299 GYL131299:GYX131299 HIH131299:HIT131299 HSD131299:HSP131299 IBZ131299:ICL131299 ILV131299:IMH131299 IVR131299:IWD131299 JFN131299:JFZ131299 JPJ131299:JPV131299 JZF131299:JZR131299 KJB131299:KJN131299 KSX131299:KTJ131299 LCT131299:LDF131299 LMP131299:LNB131299 LWL131299:LWX131299 MGH131299:MGT131299 MQD131299:MQP131299 MZZ131299:NAL131299 NJV131299:NKH131299 NTR131299:NUD131299 ODN131299:ODZ131299 ONJ131299:ONV131299 OXF131299:OXR131299 PHB131299:PHN131299 PQX131299:PRJ131299 QAT131299:QBF131299 QKP131299:QLB131299 QUL131299:QUX131299 REH131299:RET131299 ROD131299:ROP131299 RXZ131299:RYL131299 SHV131299:SIH131299 SRR131299:SSD131299 TBN131299:TBZ131299 TLJ131299:TLV131299 TVF131299:TVR131299 UFB131299:UFN131299 UOX131299:UPJ131299 UYT131299:UZF131299 VIP131299:VJB131299 VSL131299:VSX131299 WCH131299:WCT131299 WMD131299:WMP131299 WVZ131299:WWL131299 JN196835:JZ196835 TJ196835:TV196835 ADF196835:ADR196835 ANB196835:ANN196835 AWX196835:AXJ196835 BGT196835:BHF196835 BQP196835:BRB196835 CAL196835:CAX196835 CKH196835:CKT196835 CUD196835:CUP196835 DDZ196835:DEL196835 DNV196835:DOH196835 DXR196835:DYD196835 EHN196835:EHZ196835 ERJ196835:ERV196835 FBF196835:FBR196835 FLB196835:FLN196835 FUX196835:FVJ196835 GET196835:GFF196835 GOP196835:GPB196835 GYL196835:GYX196835 HIH196835:HIT196835 HSD196835:HSP196835 IBZ196835:ICL196835 ILV196835:IMH196835 IVR196835:IWD196835 JFN196835:JFZ196835 JPJ196835:JPV196835 JZF196835:JZR196835 KJB196835:KJN196835 KSX196835:KTJ196835 LCT196835:LDF196835 LMP196835:LNB196835 LWL196835:LWX196835 MGH196835:MGT196835 MQD196835:MQP196835 MZZ196835:NAL196835 NJV196835:NKH196835 NTR196835:NUD196835 ODN196835:ODZ196835 ONJ196835:ONV196835 OXF196835:OXR196835 PHB196835:PHN196835 PQX196835:PRJ196835 QAT196835:QBF196835 QKP196835:QLB196835 QUL196835:QUX196835 REH196835:RET196835 ROD196835:ROP196835 RXZ196835:RYL196835 SHV196835:SIH196835 SRR196835:SSD196835 TBN196835:TBZ196835 TLJ196835:TLV196835 TVF196835:TVR196835 UFB196835:UFN196835 UOX196835:UPJ196835 UYT196835:UZF196835 VIP196835:VJB196835 VSL196835:VSX196835 WCH196835:WCT196835 WMD196835:WMP196835 WVZ196835:WWL196835 JN262371:JZ262371 TJ262371:TV262371 ADF262371:ADR262371 ANB262371:ANN262371 AWX262371:AXJ262371 BGT262371:BHF262371 BQP262371:BRB262371 CAL262371:CAX262371 CKH262371:CKT262371 CUD262371:CUP262371 DDZ262371:DEL262371 DNV262371:DOH262371 DXR262371:DYD262371 EHN262371:EHZ262371 ERJ262371:ERV262371 FBF262371:FBR262371 FLB262371:FLN262371 FUX262371:FVJ262371 GET262371:GFF262371 GOP262371:GPB262371 GYL262371:GYX262371 HIH262371:HIT262371 HSD262371:HSP262371 IBZ262371:ICL262371 ILV262371:IMH262371 IVR262371:IWD262371 JFN262371:JFZ262371 JPJ262371:JPV262371 JZF262371:JZR262371 KJB262371:KJN262371 KSX262371:KTJ262371 LCT262371:LDF262371 LMP262371:LNB262371 LWL262371:LWX262371 MGH262371:MGT262371 MQD262371:MQP262371 MZZ262371:NAL262371 NJV262371:NKH262371 NTR262371:NUD262371 ODN262371:ODZ262371 ONJ262371:ONV262371 OXF262371:OXR262371 PHB262371:PHN262371 PQX262371:PRJ262371 QAT262371:QBF262371 QKP262371:QLB262371 QUL262371:QUX262371 REH262371:RET262371 ROD262371:ROP262371 RXZ262371:RYL262371 SHV262371:SIH262371 SRR262371:SSD262371 TBN262371:TBZ262371 TLJ262371:TLV262371 TVF262371:TVR262371 UFB262371:UFN262371 UOX262371:UPJ262371 UYT262371:UZF262371 VIP262371:VJB262371 VSL262371:VSX262371 WCH262371:WCT262371 WMD262371:WMP262371 WVZ262371:WWL262371 JN327907:JZ327907 TJ327907:TV327907 ADF327907:ADR327907 ANB327907:ANN327907 AWX327907:AXJ327907 BGT327907:BHF327907 BQP327907:BRB327907 CAL327907:CAX327907 CKH327907:CKT327907 CUD327907:CUP327907 DDZ327907:DEL327907 DNV327907:DOH327907 DXR327907:DYD327907 EHN327907:EHZ327907 ERJ327907:ERV327907 FBF327907:FBR327907 FLB327907:FLN327907 FUX327907:FVJ327907 GET327907:GFF327907 GOP327907:GPB327907 GYL327907:GYX327907 HIH327907:HIT327907 HSD327907:HSP327907 IBZ327907:ICL327907 ILV327907:IMH327907 IVR327907:IWD327907 JFN327907:JFZ327907 JPJ327907:JPV327907 JZF327907:JZR327907 KJB327907:KJN327907 KSX327907:KTJ327907 LCT327907:LDF327907 LMP327907:LNB327907 LWL327907:LWX327907 MGH327907:MGT327907 MQD327907:MQP327907 MZZ327907:NAL327907 NJV327907:NKH327907 NTR327907:NUD327907 ODN327907:ODZ327907 ONJ327907:ONV327907 OXF327907:OXR327907 PHB327907:PHN327907 PQX327907:PRJ327907 QAT327907:QBF327907 QKP327907:QLB327907 QUL327907:QUX327907 REH327907:RET327907 ROD327907:ROP327907 RXZ327907:RYL327907 SHV327907:SIH327907 SRR327907:SSD327907 TBN327907:TBZ327907 TLJ327907:TLV327907 TVF327907:TVR327907 UFB327907:UFN327907 UOX327907:UPJ327907 UYT327907:UZF327907 VIP327907:VJB327907 VSL327907:VSX327907 WCH327907:WCT327907 WMD327907:WMP327907 WVZ327907:WWL327907 JN393443:JZ393443 TJ393443:TV393443 ADF393443:ADR393443 ANB393443:ANN393443 AWX393443:AXJ393443 BGT393443:BHF393443 BQP393443:BRB393443 CAL393443:CAX393443 CKH393443:CKT393443 CUD393443:CUP393443 DDZ393443:DEL393443 DNV393443:DOH393443 DXR393443:DYD393443 EHN393443:EHZ393443 ERJ393443:ERV393443 FBF393443:FBR393443 FLB393443:FLN393443 FUX393443:FVJ393443 GET393443:GFF393443 GOP393443:GPB393443 GYL393443:GYX393443 HIH393443:HIT393443 HSD393443:HSP393443 IBZ393443:ICL393443 ILV393443:IMH393443 IVR393443:IWD393443 JFN393443:JFZ393443 JPJ393443:JPV393443 JZF393443:JZR393443 KJB393443:KJN393443 KSX393443:KTJ393443 LCT393443:LDF393443 LMP393443:LNB393443 LWL393443:LWX393443 MGH393443:MGT393443 MQD393443:MQP393443 MZZ393443:NAL393443 NJV393443:NKH393443 NTR393443:NUD393443 ODN393443:ODZ393443 ONJ393443:ONV393443 OXF393443:OXR393443 PHB393443:PHN393443 PQX393443:PRJ393443 QAT393443:QBF393443 QKP393443:QLB393443 QUL393443:QUX393443 REH393443:RET393443 ROD393443:ROP393443 RXZ393443:RYL393443 SHV393443:SIH393443 SRR393443:SSD393443 TBN393443:TBZ393443 TLJ393443:TLV393443 TVF393443:TVR393443 UFB393443:UFN393443 UOX393443:UPJ393443 UYT393443:UZF393443 VIP393443:VJB393443 VSL393443:VSX393443 WCH393443:WCT393443 WMD393443:WMP393443 WVZ393443:WWL393443 JN458979:JZ458979 TJ458979:TV458979 ADF458979:ADR458979 ANB458979:ANN458979 AWX458979:AXJ458979 BGT458979:BHF458979 BQP458979:BRB458979 CAL458979:CAX458979 CKH458979:CKT458979 CUD458979:CUP458979 DDZ458979:DEL458979 DNV458979:DOH458979 DXR458979:DYD458979 EHN458979:EHZ458979 ERJ458979:ERV458979 FBF458979:FBR458979 FLB458979:FLN458979 FUX458979:FVJ458979 GET458979:GFF458979 GOP458979:GPB458979 GYL458979:GYX458979 HIH458979:HIT458979 HSD458979:HSP458979 IBZ458979:ICL458979 ILV458979:IMH458979 IVR458979:IWD458979 JFN458979:JFZ458979 JPJ458979:JPV458979 JZF458979:JZR458979 KJB458979:KJN458979 KSX458979:KTJ458979 LCT458979:LDF458979 LMP458979:LNB458979 LWL458979:LWX458979 MGH458979:MGT458979 MQD458979:MQP458979 MZZ458979:NAL458979 NJV458979:NKH458979 NTR458979:NUD458979 ODN458979:ODZ458979 ONJ458979:ONV458979 OXF458979:OXR458979 PHB458979:PHN458979 PQX458979:PRJ458979 QAT458979:QBF458979 QKP458979:QLB458979 QUL458979:QUX458979 REH458979:RET458979 ROD458979:ROP458979 RXZ458979:RYL458979 SHV458979:SIH458979 SRR458979:SSD458979 TBN458979:TBZ458979 TLJ458979:TLV458979 TVF458979:TVR458979 UFB458979:UFN458979 UOX458979:UPJ458979 UYT458979:UZF458979 VIP458979:VJB458979 VSL458979:VSX458979 WCH458979:WCT458979 WMD458979:WMP458979 WVZ458979:WWL458979 JN524515:JZ524515 TJ524515:TV524515 ADF524515:ADR524515 ANB524515:ANN524515 AWX524515:AXJ524515 BGT524515:BHF524515 BQP524515:BRB524515 CAL524515:CAX524515 CKH524515:CKT524515 CUD524515:CUP524515 DDZ524515:DEL524515 DNV524515:DOH524515 DXR524515:DYD524515 EHN524515:EHZ524515 ERJ524515:ERV524515 FBF524515:FBR524515 FLB524515:FLN524515 FUX524515:FVJ524515 GET524515:GFF524515 GOP524515:GPB524515 GYL524515:GYX524515 HIH524515:HIT524515 HSD524515:HSP524515 IBZ524515:ICL524515 ILV524515:IMH524515 IVR524515:IWD524515 JFN524515:JFZ524515 JPJ524515:JPV524515 JZF524515:JZR524515 KJB524515:KJN524515 KSX524515:KTJ524515 LCT524515:LDF524515 LMP524515:LNB524515 LWL524515:LWX524515 MGH524515:MGT524515 MQD524515:MQP524515 MZZ524515:NAL524515 NJV524515:NKH524515 NTR524515:NUD524515 ODN524515:ODZ524515 ONJ524515:ONV524515 OXF524515:OXR524515 PHB524515:PHN524515 PQX524515:PRJ524515 QAT524515:QBF524515 QKP524515:QLB524515 QUL524515:QUX524515 REH524515:RET524515 ROD524515:ROP524515 RXZ524515:RYL524515 SHV524515:SIH524515 SRR524515:SSD524515 TBN524515:TBZ524515 TLJ524515:TLV524515 TVF524515:TVR524515 UFB524515:UFN524515 UOX524515:UPJ524515 UYT524515:UZF524515 VIP524515:VJB524515 VSL524515:VSX524515 WCH524515:WCT524515 WMD524515:WMP524515 WVZ524515:WWL524515 JN590051:JZ590051 TJ590051:TV590051 ADF590051:ADR590051 ANB590051:ANN590051 AWX590051:AXJ590051 BGT590051:BHF590051 BQP590051:BRB590051 CAL590051:CAX590051 CKH590051:CKT590051 CUD590051:CUP590051 DDZ590051:DEL590051 DNV590051:DOH590051 DXR590051:DYD590051 EHN590051:EHZ590051 ERJ590051:ERV590051 FBF590051:FBR590051 FLB590051:FLN590051 FUX590051:FVJ590051 GET590051:GFF590051 GOP590051:GPB590051 GYL590051:GYX590051 HIH590051:HIT590051 HSD590051:HSP590051 IBZ590051:ICL590051 ILV590051:IMH590051 IVR590051:IWD590051 JFN590051:JFZ590051 JPJ590051:JPV590051 JZF590051:JZR590051 KJB590051:KJN590051 KSX590051:KTJ590051 LCT590051:LDF590051 LMP590051:LNB590051 LWL590051:LWX590051 MGH590051:MGT590051 MQD590051:MQP590051 MZZ590051:NAL590051 NJV590051:NKH590051 NTR590051:NUD590051 ODN590051:ODZ590051 ONJ590051:ONV590051 OXF590051:OXR590051 PHB590051:PHN590051 PQX590051:PRJ590051 QAT590051:QBF590051 QKP590051:QLB590051 QUL590051:QUX590051 REH590051:RET590051 ROD590051:ROP590051 RXZ590051:RYL590051 SHV590051:SIH590051 SRR590051:SSD590051 TBN590051:TBZ590051 TLJ590051:TLV590051 TVF590051:TVR590051 UFB590051:UFN590051 UOX590051:UPJ590051 UYT590051:UZF590051 VIP590051:VJB590051 VSL590051:VSX590051 WCH590051:WCT590051 WMD590051:WMP590051 WVZ590051:WWL590051 JN655587:JZ655587 TJ655587:TV655587 ADF655587:ADR655587 ANB655587:ANN655587 AWX655587:AXJ655587 BGT655587:BHF655587 BQP655587:BRB655587 CAL655587:CAX655587 CKH655587:CKT655587 CUD655587:CUP655587 DDZ655587:DEL655587 DNV655587:DOH655587 DXR655587:DYD655587 EHN655587:EHZ655587 ERJ655587:ERV655587 FBF655587:FBR655587 FLB655587:FLN655587 FUX655587:FVJ655587 GET655587:GFF655587 GOP655587:GPB655587 GYL655587:GYX655587 HIH655587:HIT655587 HSD655587:HSP655587 IBZ655587:ICL655587 ILV655587:IMH655587 IVR655587:IWD655587 JFN655587:JFZ655587 JPJ655587:JPV655587 JZF655587:JZR655587 KJB655587:KJN655587 KSX655587:KTJ655587 LCT655587:LDF655587 LMP655587:LNB655587 LWL655587:LWX655587 MGH655587:MGT655587 MQD655587:MQP655587 MZZ655587:NAL655587 NJV655587:NKH655587 NTR655587:NUD655587 ODN655587:ODZ655587 ONJ655587:ONV655587 OXF655587:OXR655587 PHB655587:PHN655587 PQX655587:PRJ655587 QAT655587:QBF655587 QKP655587:QLB655587 QUL655587:QUX655587 REH655587:RET655587 ROD655587:ROP655587 RXZ655587:RYL655587 SHV655587:SIH655587 SRR655587:SSD655587 TBN655587:TBZ655587 TLJ655587:TLV655587 TVF655587:TVR655587 UFB655587:UFN655587 UOX655587:UPJ655587 UYT655587:UZF655587 VIP655587:VJB655587 VSL655587:VSX655587 WCH655587:WCT655587 WMD655587:WMP655587 WVZ655587:WWL655587 JN721123:JZ721123 TJ721123:TV721123 ADF721123:ADR721123 ANB721123:ANN721123 AWX721123:AXJ721123 BGT721123:BHF721123 BQP721123:BRB721123 CAL721123:CAX721123 CKH721123:CKT721123 CUD721123:CUP721123 DDZ721123:DEL721123 DNV721123:DOH721123 DXR721123:DYD721123 EHN721123:EHZ721123 ERJ721123:ERV721123 FBF721123:FBR721123 FLB721123:FLN721123 FUX721123:FVJ721123 GET721123:GFF721123 GOP721123:GPB721123 GYL721123:GYX721123 HIH721123:HIT721123 HSD721123:HSP721123 IBZ721123:ICL721123 ILV721123:IMH721123 IVR721123:IWD721123 JFN721123:JFZ721123 JPJ721123:JPV721123 JZF721123:JZR721123 KJB721123:KJN721123 KSX721123:KTJ721123 LCT721123:LDF721123 LMP721123:LNB721123 LWL721123:LWX721123 MGH721123:MGT721123 MQD721123:MQP721123 MZZ721123:NAL721123 NJV721123:NKH721123 NTR721123:NUD721123 ODN721123:ODZ721123 ONJ721123:ONV721123 OXF721123:OXR721123 PHB721123:PHN721123 PQX721123:PRJ721123 QAT721123:QBF721123 QKP721123:QLB721123 QUL721123:QUX721123 REH721123:RET721123 ROD721123:ROP721123 RXZ721123:RYL721123 SHV721123:SIH721123 SRR721123:SSD721123 TBN721123:TBZ721123 TLJ721123:TLV721123 TVF721123:TVR721123 UFB721123:UFN721123 UOX721123:UPJ721123 UYT721123:UZF721123 VIP721123:VJB721123 VSL721123:VSX721123 WCH721123:WCT721123 WMD721123:WMP721123 WVZ721123:WWL721123 JN786659:JZ786659 TJ786659:TV786659 ADF786659:ADR786659 ANB786659:ANN786659 AWX786659:AXJ786659 BGT786659:BHF786659 BQP786659:BRB786659 CAL786659:CAX786659 CKH786659:CKT786659 CUD786659:CUP786659 DDZ786659:DEL786659 DNV786659:DOH786659 DXR786659:DYD786659 EHN786659:EHZ786659 ERJ786659:ERV786659 FBF786659:FBR786659 FLB786659:FLN786659 FUX786659:FVJ786659 GET786659:GFF786659 GOP786659:GPB786659 GYL786659:GYX786659 HIH786659:HIT786659 HSD786659:HSP786659 IBZ786659:ICL786659 ILV786659:IMH786659 IVR786659:IWD786659 JFN786659:JFZ786659 JPJ786659:JPV786659 JZF786659:JZR786659 KJB786659:KJN786659 KSX786659:KTJ786659 LCT786659:LDF786659 LMP786659:LNB786659 LWL786659:LWX786659 MGH786659:MGT786659 MQD786659:MQP786659 MZZ786659:NAL786659 NJV786659:NKH786659 NTR786659:NUD786659 ODN786659:ODZ786659 ONJ786659:ONV786659 OXF786659:OXR786659 PHB786659:PHN786659 PQX786659:PRJ786659 QAT786659:QBF786659 QKP786659:QLB786659 QUL786659:QUX786659 REH786659:RET786659 ROD786659:ROP786659 RXZ786659:RYL786659 SHV786659:SIH786659 SRR786659:SSD786659 TBN786659:TBZ786659 TLJ786659:TLV786659 TVF786659:TVR786659 UFB786659:UFN786659 UOX786659:UPJ786659 UYT786659:UZF786659 VIP786659:VJB786659 VSL786659:VSX786659 WCH786659:WCT786659 WMD786659:WMP786659 WVZ786659:WWL786659 JN852195:JZ852195 TJ852195:TV852195 ADF852195:ADR852195 ANB852195:ANN852195 AWX852195:AXJ852195 BGT852195:BHF852195 BQP852195:BRB852195 CAL852195:CAX852195 CKH852195:CKT852195 CUD852195:CUP852195 DDZ852195:DEL852195 DNV852195:DOH852195 DXR852195:DYD852195 EHN852195:EHZ852195 ERJ852195:ERV852195 FBF852195:FBR852195 FLB852195:FLN852195 FUX852195:FVJ852195 GET852195:GFF852195 GOP852195:GPB852195 GYL852195:GYX852195 HIH852195:HIT852195 HSD852195:HSP852195 IBZ852195:ICL852195 ILV852195:IMH852195 IVR852195:IWD852195 JFN852195:JFZ852195 JPJ852195:JPV852195 JZF852195:JZR852195 KJB852195:KJN852195 KSX852195:KTJ852195 LCT852195:LDF852195 LMP852195:LNB852195 LWL852195:LWX852195 MGH852195:MGT852195 MQD852195:MQP852195 MZZ852195:NAL852195 NJV852195:NKH852195 NTR852195:NUD852195 ODN852195:ODZ852195 ONJ852195:ONV852195 OXF852195:OXR852195 PHB852195:PHN852195 PQX852195:PRJ852195 QAT852195:QBF852195 QKP852195:QLB852195 QUL852195:QUX852195 REH852195:RET852195 ROD852195:ROP852195 RXZ852195:RYL852195 SHV852195:SIH852195 SRR852195:SSD852195 TBN852195:TBZ852195 TLJ852195:TLV852195 TVF852195:TVR852195 UFB852195:UFN852195 UOX852195:UPJ852195 UYT852195:UZF852195 VIP852195:VJB852195 VSL852195:VSX852195 WCH852195:WCT852195 WMD852195:WMP852195 WVZ852195:WWL852195 JN917731:JZ917731 TJ917731:TV917731 ADF917731:ADR917731 ANB917731:ANN917731 AWX917731:AXJ917731 BGT917731:BHF917731 BQP917731:BRB917731 CAL917731:CAX917731 CKH917731:CKT917731 CUD917731:CUP917731 DDZ917731:DEL917731 DNV917731:DOH917731 DXR917731:DYD917731 EHN917731:EHZ917731 ERJ917731:ERV917731 FBF917731:FBR917731 FLB917731:FLN917731 FUX917731:FVJ917731 GET917731:GFF917731 GOP917731:GPB917731 GYL917731:GYX917731 HIH917731:HIT917731 HSD917731:HSP917731 IBZ917731:ICL917731 ILV917731:IMH917731 IVR917731:IWD917731 JFN917731:JFZ917731 JPJ917731:JPV917731 JZF917731:JZR917731 KJB917731:KJN917731 KSX917731:KTJ917731 LCT917731:LDF917731 LMP917731:LNB917731 LWL917731:LWX917731 MGH917731:MGT917731 MQD917731:MQP917731 MZZ917731:NAL917731 NJV917731:NKH917731 NTR917731:NUD917731 ODN917731:ODZ917731 ONJ917731:ONV917731 OXF917731:OXR917731 PHB917731:PHN917731 PQX917731:PRJ917731 QAT917731:QBF917731 QKP917731:QLB917731 QUL917731:QUX917731 REH917731:RET917731 ROD917731:ROP917731 RXZ917731:RYL917731 SHV917731:SIH917731 SRR917731:SSD917731 TBN917731:TBZ917731 TLJ917731:TLV917731 TVF917731:TVR917731 UFB917731:UFN917731 UOX917731:UPJ917731 UYT917731:UZF917731 VIP917731:VJB917731 VSL917731:VSX917731 WCH917731:WCT917731 WMD917731:WMP917731 WVZ917731:WWL917731 JN983267:JZ983267 TJ983267:TV983267 ADF983267:ADR983267 ANB983267:ANN983267 AWX983267:AXJ983267 BGT983267:BHF983267 BQP983267:BRB983267 CAL983267:CAX983267 CKH983267:CKT983267 CUD983267:CUP983267 DDZ983267:DEL983267 DNV983267:DOH983267 DXR983267:DYD983267 EHN983267:EHZ983267 ERJ983267:ERV983267 FBF983267:FBR983267 FLB983267:FLN983267 FUX983267:FVJ983267 GET983267:GFF983267 GOP983267:GPB983267 GYL983267:GYX983267 HIH983267:HIT983267 HSD983267:HSP983267 IBZ983267:ICL983267 ILV983267:IMH983267 IVR983267:IWD983267 JFN983267:JFZ983267 JPJ983267:JPV983267 JZF983267:JZR983267 KJB983267:KJN983267 KSX983267:KTJ983267 LCT983267:LDF983267 LMP983267:LNB983267 LWL983267:LWX983267 MGH983267:MGT983267 MQD983267:MQP983267 MZZ983267:NAL983267 NJV983267:NKH983267 NTR983267:NUD983267 ODN983267:ODZ983267 ONJ983267:ONV983267 OXF983267:OXR983267 PHB983267:PHN983267 PQX983267:PRJ983267 QAT983267:QBF983267 QKP983267:QLB983267 QUL983267:QUX983267 REH983267:RET983267 ROD983267:ROP983267 RXZ983267:RYL983267 SHV983267:SIH983267 SRR983267:SSD983267 TBN983267:TBZ983267 TLJ983267:TLV983267 TVF983267:TVR983267 UFB983267:UFN983267 UOX983267:UPJ983267 UYT983267:UZF983267 VIP983267:VJB983267 VSL983267:VSX983267 WCH983267:WCT983267 WMD983267:WMP983267 WVZ983267:WWL983267 G65763:AD65763 G983267:AD983267 G917731:AD917731 G852195:AD852195 G786659:AD786659 G721123:AD721123 G655587:AD655587 G590051:AD590051 G524515:AD524515 G458979:AD458979 G393443:AD393443 G327907:AD327907 G262371:AD262371 G196835:AD196835 G131299:AD131299 G210:AD210" xr:uid="{F94D6542-4AD6-4264-B0AB-9D037B1D04DE}"/>
  </dataValidations>
  <hyperlinks>
    <hyperlink ref="AE1" location="ins" display="Instructivo" xr:uid="{CB1C5244-9A2C-4AE3-94EC-E810A30C58E2}"/>
    <hyperlink ref="R206" location="ANTI" display="Información anticipos" xr:uid="{A59D84A0-BAE2-4E8A-A956-3EE43ECEE608}"/>
  </hyperlinks>
  <printOptions horizontalCentered="1"/>
  <pageMargins left="0" right="0" top="0" bottom="0" header="0" footer="0"/>
  <pageSetup scale="36" fitToHeight="0" orientation="landscape" verticalDpi="4294967295" r:id="rId1"/>
  <headerFooter alignWithMargins="0">
    <oddFooter>&amp;R&amp;"Arial,Normal"&amp;K01+000Página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F4C2A-B25A-4EC6-B005-DFC32A5A8735}">
  <sheetPr>
    <tabColor theme="5" tint="0.39997558519241921"/>
  </sheetPr>
  <dimension ref="A1:AG234"/>
  <sheetViews>
    <sheetView topLeftCell="A14" zoomScale="86" zoomScaleNormal="86" workbookViewId="0">
      <selection activeCell="AF10" sqref="AF10"/>
    </sheetView>
  </sheetViews>
  <sheetFormatPr defaultColWidth="12" defaultRowHeight="12.75"/>
  <cols>
    <col min="2" max="2" width="35.1640625" customWidth="1"/>
    <col min="3" max="4" width="20.1640625" customWidth="1"/>
    <col min="5" max="5" width="25.33203125" customWidth="1"/>
    <col min="6" max="6" width="23" customWidth="1"/>
    <col min="7" max="7" width="19.83203125" customWidth="1"/>
    <col min="8" max="8" width="23.6640625" customWidth="1"/>
    <col min="9" max="9" width="19.83203125" customWidth="1"/>
    <col min="10" max="10" width="25.33203125" customWidth="1"/>
    <col min="11" max="11" width="25.5" customWidth="1"/>
    <col min="12" max="30" width="0" hidden="1" customWidth="1"/>
    <col min="31" max="31" width="19.6640625" customWidth="1"/>
    <col min="32" max="32" width="14.6640625" customWidth="1"/>
  </cols>
  <sheetData>
    <row r="1" spans="1:33">
      <c r="A1" s="903"/>
      <c r="B1" s="904"/>
      <c r="C1" s="904" t="s">
        <v>0</v>
      </c>
      <c r="D1" s="904"/>
      <c r="E1" s="904"/>
      <c r="F1" s="904"/>
      <c r="G1" s="904"/>
      <c r="H1" s="904"/>
      <c r="I1" s="904"/>
      <c r="J1" s="904"/>
      <c r="K1" s="904"/>
      <c r="L1" s="904"/>
      <c r="M1" s="904"/>
      <c r="N1" s="904"/>
      <c r="O1" s="904"/>
      <c r="P1" s="904"/>
      <c r="Q1" s="904"/>
      <c r="R1" s="994"/>
      <c r="S1" s="994"/>
      <c r="T1" s="994"/>
      <c r="U1" s="994"/>
      <c r="V1" s="994"/>
      <c r="W1" s="994"/>
      <c r="X1" s="994"/>
      <c r="Y1" s="994"/>
      <c r="Z1" s="994"/>
      <c r="AA1" s="994"/>
      <c r="AB1" s="994"/>
      <c r="AC1" s="994"/>
      <c r="AD1" s="912"/>
      <c r="AE1" s="366" t="s">
        <v>104</v>
      </c>
      <c r="AF1" s="65"/>
      <c r="AG1" s="65"/>
    </row>
    <row r="2" spans="1:33">
      <c r="A2" s="905"/>
      <c r="B2" s="906"/>
      <c r="C2" s="906" t="s">
        <v>105</v>
      </c>
      <c r="D2" s="906"/>
      <c r="E2" s="906"/>
      <c r="F2" s="906"/>
      <c r="G2" s="906"/>
      <c r="H2" s="906"/>
      <c r="I2" s="906"/>
      <c r="J2" s="906"/>
      <c r="K2" s="906"/>
      <c r="L2" s="906"/>
      <c r="M2" s="906"/>
      <c r="N2" s="906"/>
      <c r="O2" s="906"/>
      <c r="P2" s="906"/>
      <c r="Q2" s="906"/>
      <c r="R2" s="995"/>
      <c r="S2" s="995"/>
      <c r="T2" s="995"/>
      <c r="U2" s="995"/>
      <c r="V2" s="995"/>
      <c r="W2" s="995"/>
      <c r="X2" s="995"/>
      <c r="Y2" s="995"/>
      <c r="Z2" s="995"/>
      <c r="AA2" s="995"/>
      <c r="AB2" s="995"/>
      <c r="AC2" s="995"/>
      <c r="AD2" s="913"/>
      <c r="AE2" s="64"/>
      <c r="AF2" s="65"/>
      <c r="AG2" s="65"/>
    </row>
    <row r="3" spans="1:33" ht="30" customHeight="1" thickBot="1">
      <c r="A3" s="907"/>
      <c r="B3" s="908"/>
      <c r="C3" s="908" t="s">
        <v>2</v>
      </c>
      <c r="D3" s="908"/>
      <c r="E3" s="908"/>
      <c r="F3" s="908"/>
      <c r="G3" s="908"/>
      <c r="H3" s="908" t="s">
        <v>106</v>
      </c>
      <c r="I3" s="908"/>
      <c r="J3" s="908"/>
      <c r="K3" s="908"/>
      <c r="L3" s="908"/>
      <c r="M3" s="908"/>
      <c r="N3" s="908"/>
      <c r="O3" s="908"/>
      <c r="P3" s="908"/>
      <c r="Q3" s="908"/>
      <c r="R3" s="996"/>
      <c r="S3" s="996"/>
      <c r="T3" s="996"/>
      <c r="U3" s="996"/>
      <c r="V3" s="996"/>
      <c r="W3" s="996"/>
      <c r="X3" s="996"/>
      <c r="Y3" s="996"/>
      <c r="Z3" s="996"/>
      <c r="AA3" s="996"/>
      <c r="AB3" s="996"/>
      <c r="AC3" s="996"/>
      <c r="AD3" s="914"/>
      <c r="AE3" s="64"/>
      <c r="AF3" s="65"/>
      <c r="AG3" s="65"/>
    </row>
    <row r="4" spans="1:33" ht="13.5" thickBot="1">
      <c r="A4" s="66"/>
      <c r="B4" s="67"/>
      <c r="C4" s="67"/>
      <c r="D4" s="68"/>
      <c r="E4" s="67"/>
      <c r="F4" s="67"/>
      <c r="G4" s="67"/>
      <c r="H4" s="67"/>
      <c r="I4" s="67"/>
      <c r="J4" s="67"/>
      <c r="K4" s="67"/>
      <c r="L4" s="67"/>
      <c r="M4" s="67"/>
      <c r="N4" s="67"/>
      <c r="O4" s="67"/>
      <c r="P4" s="67"/>
      <c r="Q4" s="67"/>
      <c r="R4" s="67"/>
      <c r="S4" s="67"/>
      <c r="T4" s="67"/>
      <c r="U4" s="67"/>
      <c r="V4" s="67"/>
      <c r="W4" s="67"/>
      <c r="X4" s="67"/>
      <c r="Y4" s="67"/>
      <c r="Z4" s="67"/>
      <c r="AA4" s="67"/>
      <c r="AB4" s="67"/>
      <c r="AC4" s="67"/>
      <c r="AD4" s="67"/>
      <c r="AE4" s="64"/>
      <c r="AF4" s="65"/>
      <c r="AG4" s="65"/>
    </row>
    <row r="5" spans="1:33" ht="27" customHeight="1" thickBot="1">
      <c r="A5" s="989" t="s">
        <v>107</v>
      </c>
      <c r="B5" s="990"/>
      <c r="C5" s="991" t="s">
        <v>108</v>
      </c>
      <c r="D5" s="992"/>
      <c r="E5" s="992"/>
      <c r="F5" s="992"/>
      <c r="G5" s="992"/>
      <c r="H5" s="992"/>
      <c r="I5" s="992"/>
      <c r="J5" s="992"/>
      <c r="K5" s="992"/>
      <c r="L5" s="992"/>
      <c r="M5" s="992"/>
      <c r="N5" s="992"/>
      <c r="O5" s="992"/>
      <c r="P5" s="992"/>
      <c r="Q5" s="992"/>
      <c r="R5" s="992"/>
      <c r="S5" s="992"/>
      <c r="T5" s="992"/>
      <c r="U5" s="992"/>
      <c r="V5" s="992"/>
      <c r="W5" s="992"/>
      <c r="X5" s="992"/>
      <c r="Y5" s="992"/>
      <c r="Z5" s="992"/>
      <c r="AA5" s="992"/>
      <c r="AB5" s="992"/>
      <c r="AC5" s="992"/>
      <c r="AD5" s="993"/>
      <c r="AE5" s="645" t="s">
        <v>108</v>
      </c>
      <c r="AF5" s="64"/>
      <c r="AG5" s="64"/>
    </row>
    <row r="6" spans="1:33" ht="36" customHeight="1" thickBot="1">
      <c r="A6" s="989" t="s">
        <v>109</v>
      </c>
      <c r="B6" s="990"/>
      <c r="C6" s="991" t="s">
        <v>377</v>
      </c>
      <c r="D6" s="992"/>
      <c r="E6" s="992"/>
      <c r="F6" s="992"/>
      <c r="G6" s="992"/>
      <c r="H6" s="992"/>
      <c r="I6" s="992"/>
      <c r="J6" s="992"/>
      <c r="K6" s="992"/>
      <c r="L6" s="992"/>
      <c r="M6" s="992"/>
      <c r="N6" s="992"/>
      <c r="O6" s="992"/>
      <c r="P6" s="992"/>
      <c r="Q6" s="992"/>
      <c r="R6" s="992"/>
      <c r="S6" s="992"/>
      <c r="T6" s="992"/>
      <c r="U6" s="992"/>
      <c r="V6" s="992"/>
      <c r="W6" s="992"/>
      <c r="X6" s="992"/>
      <c r="Y6" s="992"/>
      <c r="Z6" s="992"/>
      <c r="AA6" s="992"/>
      <c r="AB6" s="992"/>
      <c r="AC6" s="992"/>
      <c r="AD6" s="993"/>
      <c r="AE6" s="645" t="s">
        <v>377</v>
      </c>
      <c r="AF6" s="64"/>
      <c r="AG6" s="64"/>
    </row>
    <row r="7" spans="1:33" ht="13.5" thickBot="1">
      <c r="A7" s="64"/>
      <c r="B7" s="70"/>
      <c r="C7" s="70"/>
      <c r="D7" s="71"/>
      <c r="E7" s="70"/>
      <c r="F7" s="72"/>
      <c r="G7" s="72"/>
      <c r="H7" s="72"/>
      <c r="I7" s="72"/>
      <c r="J7" s="73"/>
      <c r="K7" s="73"/>
      <c r="L7" s="73"/>
      <c r="M7" s="73"/>
      <c r="N7" s="73"/>
      <c r="O7" s="73"/>
      <c r="P7" s="73"/>
      <c r="Q7" s="73"/>
      <c r="R7" s="73"/>
      <c r="S7" s="73"/>
      <c r="T7" s="73"/>
      <c r="U7" s="73"/>
      <c r="V7" s="73"/>
      <c r="W7" s="73"/>
      <c r="X7" s="73"/>
      <c r="Y7" s="73"/>
      <c r="Z7" s="73"/>
      <c r="AA7" s="73"/>
      <c r="AB7" s="73"/>
      <c r="AC7" s="73"/>
      <c r="AD7" s="73"/>
      <c r="AE7" s="69"/>
      <c r="AF7" s="64"/>
      <c r="AG7" s="64"/>
    </row>
    <row r="8" spans="1:33" ht="13.5" thickBot="1">
      <c r="A8" s="985" t="s">
        <v>111</v>
      </c>
      <c r="B8" s="985"/>
      <c r="C8" s="986" t="s">
        <v>378</v>
      </c>
      <c r="D8" s="987"/>
      <c r="E8" s="987"/>
      <c r="F8" s="988"/>
      <c r="G8" s="65"/>
      <c r="H8" s="74"/>
      <c r="I8" s="74"/>
      <c r="J8" s="74"/>
      <c r="K8" s="74"/>
      <c r="L8" s="74"/>
      <c r="M8" s="74"/>
      <c r="N8" s="74"/>
      <c r="O8" s="74"/>
      <c r="P8" s="74"/>
      <c r="Q8" s="74"/>
      <c r="R8" s="74"/>
      <c r="S8" s="74"/>
      <c r="T8" s="74"/>
      <c r="U8" s="74"/>
      <c r="V8" s="74"/>
      <c r="W8" s="74"/>
      <c r="X8" s="74"/>
      <c r="Y8" s="74"/>
      <c r="Z8" s="74"/>
      <c r="AA8" s="74"/>
      <c r="AB8" s="74"/>
      <c r="AC8" s="74"/>
      <c r="AD8" s="65"/>
      <c r="AE8" s="65"/>
      <c r="AF8" s="65"/>
      <c r="AG8" s="65"/>
    </row>
    <row r="9" spans="1:33" ht="13.5" thickBot="1">
      <c r="A9" s="985" t="s">
        <v>113</v>
      </c>
      <c r="B9" s="985"/>
      <c r="C9" s="986" t="s">
        <v>114</v>
      </c>
      <c r="D9" s="987"/>
      <c r="E9" s="987"/>
      <c r="F9" s="988"/>
      <c r="G9" s="65"/>
      <c r="H9" s="108"/>
      <c r="I9" s="74"/>
      <c r="J9" s="74"/>
      <c r="K9" s="74"/>
      <c r="L9" s="74"/>
      <c r="M9" s="74"/>
      <c r="N9" s="74"/>
      <c r="O9" s="74"/>
      <c r="P9" s="74"/>
      <c r="Q9" s="74"/>
      <c r="R9" s="74"/>
      <c r="S9" s="74"/>
      <c r="T9" s="74"/>
      <c r="U9" s="74"/>
      <c r="V9" s="74"/>
      <c r="W9" s="74"/>
      <c r="X9" s="74"/>
      <c r="Y9" s="74"/>
      <c r="Z9" s="74"/>
      <c r="AA9" s="74"/>
      <c r="AB9" s="74"/>
      <c r="AC9" s="74"/>
      <c r="AD9" s="65"/>
      <c r="AE9" s="65"/>
      <c r="AF9" s="65"/>
      <c r="AG9" s="65"/>
    </row>
    <row r="10" spans="1:33" ht="13.5" thickBot="1">
      <c r="A10" s="958" t="s">
        <v>115</v>
      </c>
      <c r="B10" s="958"/>
      <c r="C10" s="986" t="s">
        <v>379</v>
      </c>
      <c r="D10" s="987"/>
      <c r="E10" s="987"/>
      <c r="F10" s="988"/>
      <c r="G10" s="83">
        <v>12</v>
      </c>
      <c r="H10" s="74"/>
      <c r="I10" s="74"/>
      <c r="J10" s="74">
        <f>16.7+16.7+33.4+33.4</f>
        <v>100.19999999999999</v>
      </c>
      <c r="K10" s="74"/>
      <c r="L10" s="74"/>
      <c r="M10" s="74"/>
      <c r="N10" s="74"/>
      <c r="O10" s="74"/>
      <c r="P10" s="74"/>
      <c r="Q10" s="74"/>
      <c r="R10" s="74"/>
      <c r="S10" s="74"/>
      <c r="T10" s="74"/>
      <c r="U10" s="74"/>
      <c r="V10" s="74"/>
      <c r="W10" s="74"/>
      <c r="X10" s="74"/>
      <c r="Y10" s="74"/>
      <c r="Z10" s="74"/>
      <c r="AA10" s="74"/>
      <c r="AB10" s="74"/>
      <c r="AC10" s="74"/>
      <c r="AD10" s="65"/>
      <c r="AE10" s="65"/>
      <c r="AF10" s="65"/>
      <c r="AG10" s="65"/>
    </row>
    <row r="11" spans="1:33" ht="13.5" thickBot="1">
      <c r="A11" s="958" t="s">
        <v>117</v>
      </c>
      <c r="B11" s="958"/>
      <c r="C11" s="959" t="s">
        <v>118</v>
      </c>
      <c r="D11" s="960"/>
      <c r="E11" s="960"/>
      <c r="F11" s="961"/>
      <c r="G11" s="863" t="s">
        <v>387</v>
      </c>
      <c r="H11" s="74"/>
      <c r="I11" s="74"/>
      <c r="J11" s="65"/>
      <c r="K11" s="65"/>
      <c r="L11" s="65"/>
      <c r="M11" s="65"/>
      <c r="N11" s="65"/>
      <c r="O11" s="65"/>
      <c r="P11" s="65"/>
      <c r="Q11" s="65"/>
      <c r="R11" s="65"/>
      <c r="S11" s="65"/>
      <c r="T11" s="65"/>
      <c r="U11" s="65"/>
      <c r="V11" s="65"/>
      <c r="W11" s="65"/>
      <c r="X11" s="65"/>
      <c r="Y11" s="65"/>
      <c r="Z11" s="65"/>
      <c r="AA11" s="65"/>
      <c r="AB11" s="65"/>
      <c r="AC11" s="65"/>
      <c r="AD11" s="65"/>
      <c r="AE11" s="65"/>
      <c r="AF11" s="65"/>
      <c r="AG11" s="65"/>
    </row>
    <row r="12" spans="1:33" ht="13.5" thickBot="1">
      <c r="A12" s="75"/>
      <c r="B12" s="76"/>
      <c r="C12" s="76"/>
      <c r="D12" s="77"/>
      <c r="E12" s="76"/>
      <c r="F12" s="76"/>
      <c r="G12" s="78"/>
      <c r="H12" s="78"/>
      <c r="I12" s="78"/>
      <c r="J12" s="65"/>
      <c r="K12" s="65"/>
      <c r="L12" s="65"/>
      <c r="M12" s="65"/>
      <c r="N12" s="65"/>
      <c r="O12" s="65"/>
      <c r="P12" s="65"/>
      <c r="Q12" s="65"/>
      <c r="R12" s="65"/>
      <c r="S12" s="65"/>
      <c r="T12" s="65"/>
      <c r="U12" s="65"/>
      <c r="V12" s="65"/>
      <c r="W12" s="65"/>
      <c r="X12" s="65"/>
      <c r="Y12" s="65"/>
      <c r="Z12" s="65"/>
      <c r="AA12" s="65"/>
      <c r="AB12" s="65"/>
      <c r="AC12" s="65"/>
      <c r="AD12" s="65"/>
      <c r="AE12" s="65"/>
      <c r="AF12" s="65"/>
      <c r="AG12" s="65"/>
    </row>
    <row r="13" spans="1:33">
      <c r="A13" s="962" t="s">
        <v>119</v>
      </c>
      <c r="B13" s="963"/>
      <c r="C13" s="963"/>
      <c r="D13" s="963"/>
      <c r="E13" s="963"/>
      <c r="F13" s="963"/>
      <c r="G13" s="963"/>
      <c r="H13" s="963"/>
      <c r="I13" s="963"/>
      <c r="J13" s="963"/>
      <c r="K13" s="963"/>
      <c r="L13" s="963"/>
      <c r="M13" s="963"/>
      <c r="N13" s="963"/>
      <c r="O13" s="963"/>
      <c r="P13" s="963"/>
      <c r="Q13" s="963"/>
      <c r="R13" s="964"/>
      <c r="S13" s="964"/>
      <c r="T13" s="964"/>
      <c r="U13" s="964"/>
      <c r="V13" s="964"/>
      <c r="W13" s="964"/>
      <c r="X13" s="964"/>
      <c r="Y13" s="964"/>
      <c r="Z13" s="964"/>
      <c r="AA13" s="964"/>
      <c r="AB13" s="964"/>
      <c r="AC13" s="964"/>
      <c r="AD13" s="965"/>
      <c r="AE13" s="65"/>
      <c r="AF13" s="65"/>
      <c r="AG13" s="65"/>
    </row>
    <row r="14" spans="1:33">
      <c r="A14" s="1007"/>
      <c r="B14" s="1000" t="s">
        <v>18</v>
      </c>
      <c r="C14" s="973" t="s">
        <v>120</v>
      </c>
      <c r="D14" s="972" t="s">
        <v>121</v>
      </c>
      <c r="E14" s="973" t="s">
        <v>122</v>
      </c>
      <c r="F14" s="973" t="s">
        <v>123</v>
      </c>
      <c r="G14" s="1000" t="s">
        <v>124</v>
      </c>
      <c r="H14" s="1000"/>
      <c r="I14" s="1000"/>
      <c r="J14" s="1000"/>
      <c r="K14" s="1000"/>
      <c r="L14" s="1000"/>
      <c r="M14" s="1000"/>
      <c r="N14" s="1000"/>
      <c r="O14" s="1000"/>
      <c r="P14" s="1000"/>
      <c r="Q14" s="1000"/>
      <c r="R14" s="1001"/>
      <c r="S14" s="1001"/>
      <c r="T14" s="1001"/>
      <c r="U14" s="1001"/>
      <c r="V14" s="1001"/>
      <c r="W14" s="1001"/>
      <c r="X14" s="1001"/>
      <c r="Y14" s="1001"/>
      <c r="Z14" s="1001"/>
      <c r="AA14" s="1001"/>
      <c r="AB14" s="1001"/>
      <c r="AC14" s="1001"/>
      <c r="AD14" s="1002"/>
      <c r="AE14" s="65"/>
      <c r="AF14" s="65"/>
      <c r="AG14" s="65"/>
    </row>
    <row r="15" spans="1:33" ht="25.5">
      <c r="A15" s="1007"/>
      <c r="B15" s="1000"/>
      <c r="C15" s="973"/>
      <c r="D15" s="972"/>
      <c r="E15" s="973"/>
      <c r="F15" s="973"/>
      <c r="G15" s="374" t="s">
        <v>125</v>
      </c>
      <c r="H15" s="374" t="s">
        <v>126</v>
      </c>
      <c r="I15" s="374" t="s">
        <v>127</v>
      </c>
      <c r="J15" s="374" t="s">
        <v>128</v>
      </c>
      <c r="K15" s="374" t="s">
        <v>129</v>
      </c>
      <c r="L15" s="374" t="s">
        <v>130</v>
      </c>
      <c r="M15" s="374" t="s">
        <v>131</v>
      </c>
      <c r="N15" s="374" t="s">
        <v>132</v>
      </c>
      <c r="O15" s="374" t="s">
        <v>133</v>
      </c>
      <c r="P15" s="374" t="s">
        <v>134</v>
      </c>
      <c r="Q15" s="374" t="s">
        <v>135</v>
      </c>
      <c r="R15" s="374" t="s">
        <v>136</v>
      </c>
      <c r="S15" s="374" t="s">
        <v>137</v>
      </c>
      <c r="T15" s="374" t="s">
        <v>138</v>
      </c>
      <c r="U15" s="374" t="s">
        <v>139</v>
      </c>
      <c r="V15" s="374" t="s">
        <v>140</v>
      </c>
      <c r="W15" s="374" t="s">
        <v>141</v>
      </c>
      <c r="X15" s="374" t="s">
        <v>142</v>
      </c>
      <c r="Y15" s="374" t="s">
        <v>143</v>
      </c>
      <c r="Z15" s="374" t="s">
        <v>144</v>
      </c>
      <c r="AA15" s="374" t="s">
        <v>145</v>
      </c>
      <c r="AB15" s="374" t="s">
        <v>146</v>
      </c>
      <c r="AC15" s="374" t="s">
        <v>147</v>
      </c>
      <c r="AD15" s="374" t="s">
        <v>148</v>
      </c>
      <c r="AE15" s="65"/>
      <c r="AF15" s="65"/>
      <c r="AG15" s="65"/>
    </row>
    <row r="16" spans="1:33" ht="51">
      <c r="A16" s="80" t="s">
        <v>149</v>
      </c>
      <c r="B16" s="81" t="s">
        <v>380</v>
      </c>
      <c r="C16" s="677">
        <v>1</v>
      </c>
      <c r="D16" s="845">
        <v>1</v>
      </c>
      <c r="E16" s="678" t="s">
        <v>151</v>
      </c>
      <c r="F16" s="679"/>
      <c r="G16" s="679"/>
      <c r="H16" s="679"/>
      <c r="I16" s="686"/>
      <c r="J16" s="686"/>
      <c r="K16" s="687"/>
      <c r="L16" s="679"/>
      <c r="M16" s="679"/>
      <c r="N16" s="679"/>
      <c r="O16" s="679"/>
      <c r="P16" s="679"/>
      <c r="Q16" s="679"/>
      <c r="R16" s="840"/>
      <c r="S16" s="840"/>
      <c r="T16" s="840"/>
      <c r="U16" s="840"/>
      <c r="V16" s="840"/>
      <c r="W16" s="840"/>
      <c r="X16" s="840"/>
      <c r="Y16" s="840"/>
      <c r="Z16" s="840"/>
      <c r="AA16" s="840"/>
      <c r="AB16" s="840"/>
      <c r="AC16" s="840"/>
      <c r="AD16" s="680"/>
      <c r="AE16" s="82"/>
      <c r="AF16" s="83"/>
      <c r="AG16" s="83"/>
    </row>
    <row r="17" spans="1:33" ht="30.75" customHeight="1">
      <c r="A17" s="84" t="s">
        <v>152</v>
      </c>
      <c r="B17" s="848" t="s">
        <v>381</v>
      </c>
      <c r="C17" s="38">
        <f>+'PRESUPUESTO OTRO SI '!G146</f>
        <v>0.11482260115756962</v>
      </c>
      <c r="D17" s="846"/>
      <c r="E17" s="39" t="s">
        <v>154</v>
      </c>
      <c r="F17" s="54"/>
      <c r="G17" s="54"/>
      <c r="H17" s="54"/>
      <c r="I17" s="461"/>
      <c r="J17" s="461"/>
      <c r="K17" s="54"/>
      <c r="L17" s="54"/>
      <c r="M17" s="54"/>
      <c r="N17" s="54"/>
      <c r="O17" s="54"/>
      <c r="P17" s="54"/>
      <c r="Q17" s="54"/>
      <c r="R17" s="54"/>
      <c r="S17" s="54"/>
      <c r="T17" s="54"/>
      <c r="U17" s="54"/>
      <c r="V17" s="54"/>
      <c r="W17" s="54"/>
      <c r="X17" s="54"/>
      <c r="Y17" s="54"/>
      <c r="Z17" s="54"/>
      <c r="AA17" s="54"/>
      <c r="AB17" s="54"/>
      <c r="AC17" s="54"/>
      <c r="AD17" s="54"/>
      <c r="AE17" s="82"/>
      <c r="AF17" s="65"/>
      <c r="AG17" s="65"/>
    </row>
    <row r="18" spans="1:33" ht="27" customHeight="1">
      <c r="A18" s="85" t="s">
        <v>155</v>
      </c>
      <c r="B18" s="34" t="s">
        <v>381</v>
      </c>
      <c r="C18" s="35">
        <v>1</v>
      </c>
      <c r="D18" s="847"/>
      <c r="E18" s="36" t="s">
        <v>154</v>
      </c>
      <c r="F18" s="55"/>
      <c r="G18" s="857">
        <v>0.25</v>
      </c>
      <c r="H18" s="857">
        <v>0.25</v>
      </c>
      <c r="I18" s="857"/>
      <c r="J18" s="857"/>
      <c r="K18" s="55"/>
      <c r="L18" s="55"/>
      <c r="M18" s="55"/>
      <c r="N18" s="55"/>
      <c r="O18" s="55"/>
      <c r="P18" s="55"/>
      <c r="Q18" s="55"/>
      <c r="R18" s="55"/>
      <c r="S18" s="55"/>
      <c r="T18" s="55"/>
      <c r="U18" s="55"/>
      <c r="V18" s="55"/>
      <c r="W18" s="55"/>
      <c r="X18" s="55"/>
      <c r="Y18" s="55"/>
      <c r="Z18" s="55"/>
      <c r="AA18" s="55"/>
      <c r="AB18" s="55"/>
      <c r="AC18" s="55"/>
      <c r="AD18" s="55"/>
      <c r="AE18" s="82"/>
      <c r="AF18" s="65"/>
      <c r="AG18" s="65"/>
    </row>
    <row r="19" spans="1:33" ht="31.5" customHeight="1">
      <c r="A19" s="86" t="s">
        <v>156</v>
      </c>
      <c r="B19" s="849" t="s">
        <v>381</v>
      </c>
      <c r="C19" s="677">
        <v>1</v>
      </c>
      <c r="D19" s="845">
        <v>0.11482260115756962</v>
      </c>
      <c r="E19" s="678" t="s">
        <v>154</v>
      </c>
      <c r="F19" s="681">
        <v>1</v>
      </c>
      <c r="G19" s="856">
        <v>0.25</v>
      </c>
      <c r="H19" s="856">
        <v>0.25</v>
      </c>
      <c r="I19" s="856">
        <v>0.25</v>
      </c>
      <c r="J19" s="856">
        <v>0.25</v>
      </c>
      <c r="K19" s="681"/>
      <c r="L19" s="681"/>
      <c r="M19" s="681"/>
      <c r="N19" s="681"/>
      <c r="O19" s="681"/>
      <c r="P19" s="681"/>
      <c r="Q19" s="681"/>
      <c r="R19" s="681"/>
      <c r="S19" s="681"/>
      <c r="T19" s="681"/>
      <c r="U19" s="681"/>
      <c r="V19" s="681"/>
      <c r="W19" s="681"/>
      <c r="X19" s="681"/>
      <c r="Y19" s="681"/>
      <c r="Z19" s="681"/>
      <c r="AA19" s="681"/>
      <c r="AB19" s="681"/>
      <c r="AC19" s="681"/>
      <c r="AD19" s="681"/>
      <c r="AE19" s="82"/>
      <c r="AF19" s="65"/>
      <c r="AG19" s="65"/>
    </row>
    <row r="20" spans="1:33" ht="25.5" hidden="1">
      <c r="A20" s="86" t="s">
        <v>157</v>
      </c>
      <c r="B20" s="51"/>
      <c r="C20" s="677"/>
      <c r="D20" s="845">
        <v>0</v>
      </c>
      <c r="E20" s="678"/>
      <c r="F20" s="681"/>
      <c r="G20" s="681"/>
      <c r="H20" s="681"/>
      <c r="I20" s="856"/>
      <c r="J20" s="856"/>
      <c r="K20" s="681"/>
      <c r="L20" s="681"/>
      <c r="M20" s="681"/>
      <c r="N20" s="681"/>
      <c r="O20" s="681"/>
      <c r="P20" s="681"/>
      <c r="Q20" s="681"/>
      <c r="R20" s="681"/>
      <c r="S20" s="681"/>
      <c r="T20" s="681"/>
      <c r="U20" s="681"/>
      <c r="V20" s="681"/>
      <c r="W20" s="681"/>
      <c r="X20" s="681"/>
      <c r="Y20" s="681"/>
      <c r="Z20" s="681"/>
      <c r="AA20" s="681"/>
      <c r="AB20" s="681"/>
      <c r="AC20" s="681"/>
      <c r="AD20" s="681"/>
      <c r="AE20" s="82"/>
      <c r="AF20" s="65"/>
      <c r="AG20" s="65"/>
    </row>
    <row r="21" spans="1:33" ht="25.5" hidden="1">
      <c r="A21" s="86" t="s">
        <v>158</v>
      </c>
      <c r="B21" s="51"/>
      <c r="C21" s="677"/>
      <c r="D21" s="845">
        <v>0</v>
      </c>
      <c r="E21" s="678"/>
      <c r="F21" s="681"/>
      <c r="G21" s="681"/>
      <c r="H21" s="681"/>
      <c r="I21" s="856"/>
      <c r="J21" s="856"/>
      <c r="K21" s="681"/>
      <c r="L21" s="681"/>
      <c r="M21" s="681"/>
      <c r="N21" s="681"/>
      <c r="O21" s="681"/>
      <c r="P21" s="681"/>
      <c r="Q21" s="681"/>
      <c r="R21" s="681"/>
      <c r="S21" s="681"/>
      <c r="T21" s="681"/>
      <c r="U21" s="681"/>
      <c r="V21" s="681"/>
      <c r="W21" s="681"/>
      <c r="X21" s="681"/>
      <c r="Y21" s="681"/>
      <c r="Z21" s="681"/>
      <c r="AA21" s="681"/>
      <c r="AB21" s="681"/>
      <c r="AC21" s="681"/>
      <c r="AD21" s="681"/>
      <c r="AE21" s="82"/>
      <c r="AF21" s="65"/>
      <c r="AG21" s="65"/>
    </row>
    <row r="22" spans="1:33" ht="25.5" hidden="1">
      <c r="A22" s="86" t="s">
        <v>159</v>
      </c>
      <c r="B22" s="51"/>
      <c r="C22" s="677"/>
      <c r="D22" s="845">
        <v>0</v>
      </c>
      <c r="E22" s="678"/>
      <c r="F22" s="681"/>
      <c r="G22" s="681"/>
      <c r="H22" s="681"/>
      <c r="I22" s="856"/>
      <c r="J22" s="856"/>
      <c r="K22" s="681"/>
      <c r="L22" s="681"/>
      <c r="M22" s="681"/>
      <c r="N22" s="681"/>
      <c r="O22" s="681"/>
      <c r="P22" s="681"/>
      <c r="Q22" s="681"/>
      <c r="R22" s="681"/>
      <c r="S22" s="681"/>
      <c r="T22" s="681"/>
      <c r="U22" s="681"/>
      <c r="V22" s="681"/>
      <c r="W22" s="681"/>
      <c r="X22" s="681"/>
      <c r="Y22" s="681"/>
      <c r="Z22" s="681"/>
      <c r="AA22" s="681"/>
      <c r="AB22" s="681"/>
      <c r="AC22" s="681"/>
      <c r="AD22" s="681"/>
      <c r="AE22" s="82"/>
      <c r="AF22" s="65"/>
      <c r="AG22" s="65"/>
    </row>
    <row r="23" spans="1:33" ht="25.5" hidden="1">
      <c r="A23" s="86" t="s">
        <v>160</v>
      </c>
      <c r="B23" s="51"/>
      <c r="C23" s="677"/>
      <c r="D23" s="845">
        <v>0</v>
      </c>
      <c r="E23" s="678"/>
      <c r="F23" s="681"/>
      <c r="G23" s="681"/>
      <c r="H23" s="681"/>
      <c r="I23" s="856"/>
      <c r="J23" s="856"/>
      <c r="K23" s="681"/>
      <c r="L23" s="681"/>
      <c r="M23" s="681"/>
      <c r="N23" s="681"/>
      <c r="O23" s="681"/>
      <c r="P23" s="681"/>
      <c r="Q23" s="681"/>
      <c r="R23" s="681"/>
      <c r="S23" s="681"/>
      <c r="T23" s="681"/>
      <c r="U23" s="681"/>
      <c r="V23" s="681"/>
      <c r="W23" s="681"/>
      <c r="X23" s="681"/>
      <c r="Y23" s="681"/>
      <c r="Z23" s="681"/>
      <c r="AA23" s="681"/>
      <c r="AB23" s="681"/>
      <c r="AC23" s="681"/>
      <c r="AD23" s="681"/>
      <c r="AE23" s="82"/>
      <c r="AF23" s="65"/>
      <c r="AG23" s="65"/>
    </row>
    <row r="24" spans="1:33" ht="25.5" hidden="1">
      <c r="A24" s="85" t="s">
        <v>161</v>
      </c>
      <c r="B24" s="34"/>
      <c r="C24" s="35"/>
      <c r="D24" s="847"/>
      <c r="E24" s="36"/>
      <c r="F24" s="55"/>
      <c r="G24" s="55"/>
      <c r="H24" s="55"/>
      <c r="I24" s="857"/>
      <c r="J24" s="857"/>
      <c r="K24" s="55"/>
      <c r="L24" s="55"/>
      <c r="M24" s="55"/>
      <c r="N24" s="55"/>
      <c r="O24" s="55"/>
      <c r="P24" s="55"/>
      <c r="Q24" s="55"/>
      <c r="R24" s="55"/>
      <c r="S24" s="55"/>
      <c r="T24" s="55"/>
      <c r="U24" s="55"/>
      <c r="V24" s="55"/>
      <c r="W24" s="55"/>
      <c r="X24" s="55"/>
      <c r="Y24" s="55"/>
      <c r="Z24" s="55"/>
      <c r="AA24" s="55"/>
      <c r="AB24" s="55"/>
      <c r="AC24" s="55"/>
      <c r="AD24" s="55"/>
      <c r="AE24" s="82"/>
      <c r="AF24" s="65"/>
      <c r="AG24" s="65"/>
    </row>
    <row r="25" spans="1:33" ht="25.5" hidden="1">
      <c r="A25" s="86" t="s">
        <v>162</v>
      </c>
      <c r="B25" s="51"/>
      <c r="C25" s="677"/>
      <c r="D25" s="845">
        <v>0</v>
      </c>
      <c r="E25" s="678"/>
      <c r="F25" s="681"/>
      <c r="G25" s="681"/>
      <c r="H25" s="681"/>
      <c r="I25" s="856"/>
      <c r="J25" s="856"/>
      <c r="K25" s="681"/>
      <c r="L25" s="681"/>
      <c r="M25" s="681"/>
      <c r="N25" s="681"/>
      <c r="O25" s="681"/>
      <c r="P25" s="681"/>
      <c r="Q25" s="681"/>
      <c r="R25" s="681"/>
      <c r="S25" s="681"/>
      <c r="T25" s="681"/>
      <c r="U25" s="681"/>
      <c r="V25" s="681"/>
      <c r="W25" s="681"/>
      <c r="X25" s="681"/>
      <c r="Y25" s="681"/>
      <c r="Z25" s="681"/>
      <c r="AA25" s="681"/>
      <c r="AB25" s="681"/>
      <c r="AC25" s="681"/>
      <c r="AD25" s="681"/>
      <c r="AE25" s="82"/>
      <c r="AF25" s="65"/>
      <c r="AG25" s="65"/>
    </row>
    <row r="26" spans="1:33" ht="25.5" hidden="1">
      <c r="A26" s="86" t="s">
        <v>163</v>
      </c>
      <c r="B26" s="51"/>
      <c r="C26" s="677"/>
      <c r="D26" s="845">
        <v>0</v>
      </c>
      <c r="E26" s="678"/>
      <c r="F26" s="681"/>
      <c r="G26" s="681"/>
      <c r="H26" s="681"/>
      <c r="I26" s="856"/>
      <c r="J26" s="856"/>
      <c r="K26" s="681"/>
      <c r="L26" s="681"/>
      <c r="M26" s="681"/>
      <c r="N26" s="681"/>
      <c r="O26" s="681"/>
      <c r="P26" s="681"/>
      <c r="Q26" s="681"/>
      <c r="R26" s="681"/>
      <c r="S26" s="681"/>
      <c r="T26" s="681"/>
      <c r="U26" s="681"/>
      <c r="V26" s="681"/>
      <c r="W26" s="681"/>
      <c r="X26" s="681"/>
      <c r="Y26" s="681"/>
      <c r="Z26" s="681"/>
      <c r="AA26" s="681"/>
      <c r="AB26" s="681"/>
      <c r="AC26" s="681"/>
      <c r="AD26" s="681"/>
      <c r="AE26" s="82"/>
      <c r="AF26" s="65"/>
      <c r="AG26" s="65"/>
    </row>
    <row r="27" spans="1:33" ht="25.5" hidden="1">
      <c r="A27" s="86" t="s">
        <v>164</v>
      </c>
      <c r="B27" s="51"/>
      <c r="C27" s="677"/>
      <c r="D27" s="845">
        <v>0</v>
      </c>
      <c r="E27" s="678"/>
      <c r="F27" s="681"/>
      <c r="G27" s="681"/>
      <c r="H27" s="681"/>
      <c r="I27" s="856"/>
      <c r="J27" s="856"/>
      <c r="K27" s="681"/>
      <c r="L27" s="681"/>
      <c r="M27" s="681"/>
      <c r="N27" s="681"/>
      <c r="O27" s="681"/>
      <c r="P27" s="681"/>
      <c r="Q27" s="681"/>
      <c r="R27" s="681"/>
      <c r="S27" s="681"/>
      <c r="T27" s="681"/>
      <c r="U27" s="681"/>
      <c r="V27" s="681"/>
      <c r="W27" s="681"/>
      <c r="X27" s="681"/>
      <c r="Y27" s="681"/>
      <c r="Z27" s="681"/>
      <c r="AA27" s="681"/>
      <c r="AB27" s="681"/>
      <c r="AC27" s="681"/>
      <c r="AD27" s="681"/>
      <c r="AE27" s="82"/>
      <c r="AF27" s="65"/>
      <c r="AG27" s="65"/>
    </row>
    <row r="28" spans="1:33" ht="25.5" hidden="1">
      <c r="A28" s="86" t="s">
        <v>165</v>
      </c>
      <c r="B28" s="51"/>
      <c r="C28" s="677"/>
      <c r="D28" s="845">
        <v>0</v>
      </c>
      <c r="E28" s="678"/>
      <c r="F28" s="681"/>
      <c r="G28" s="681"/>
      <c r="H28" s="681"/>
      <c r="I28" s="856"/>
      <c r="J28" s="856"/>
      <c r="K28" s="681"/>
      <c r="L28" s="681"/>
      <c r="M28" s="681"/>
      <c r="N28" s="681"/>
      <c r="O28" s="681"/>
      <c r="P28" s="681"/>
      <c r="Q28" s="681"/>
      <c r="R28" s="681"/>
      <c r="S28" s="681"/>
      <c r="T28" s="681"/>
      <c r="U28" s="681"/>
      <c r="V28" s="681"/>
      <c r="W28" s="681"/>
      <c r="X28" s="681"/>
      <c r="Y28" s="681"/>
      <c r="Z28" s="681"/>
      <c r="AA28" s="681"/>
      <c r="AB28" s="681"/>
      <c r="AC28" s="681"/>
      <c r="AD28" s="681"/>
      <c r="AE28" s="82"/>
      <c r="AF28" s="65"/>
      <c r="AG28" s="65"/>
    </row>
    <row r="29" spans="1:33" ht="25.5" hidden="1">
      <c r="A29" s="86" t="s">
        <v>166</v>
      </c>
      <c r="B29" s="51"/>
      <c r="C29" s="677"/>
      <c r="D29" s="845">
        <v>0</v>
      </c>
      <c r="E29" s="678"/>
      <c r="F29" s="681"/>
      <c r="G29" s="681"/>
      <c r="H29" s="681"/>
      <c r="I29" s="856"/>
      <c r="J29" s="856"/>
      <c r="K29" s="681"/>
      <c r="L29" s="681"/>
      <c r="M29" s="681"/>
      <c r="N29" s="681"/>
      <c r="O29" s="681"/>
      <c r="P29" s="681"/>
      <c r="Q29" s="681"/>
      <c r="R29" s="681"/>
      <c r="S29" s="681"/>
      <c r="T29" s="681"/>
      <c r="U29" s="681"/>
      <c r="V29" s="681"/>
      <c r="W29" s="681"/>
      <c r="X29" s="681"/>
      <c r="Y29" s="681"/>
      <c r="Z29" s="681"/>
      <c r="AA29" s="681"/>
      <c r="AB29" s="681"/>
      <c r="AC29" s="681"/>
      <c r="AD29" s="681"/>
      <c r="AE29" s="82"/>
      <c r="AF29" s="65"/>
      <c r="AG29" s="65"/>
    </row>
    <row r="30" spans="1:33" ht="25.5" hidden="1">
      <c r="A30" s="85" t="s">
        <v>167</v>
      </c>
      <c r="B30" s="34"/>
      <c r="C30" s="35"/>
      <c r="D30" s="847"/>
      <c r="E30" s="36"/>
      <c r="F30" s="55"/>
      <c r="G30" s="55"/>
      <c r="H30" s="55"/>
      <c r="I30" s="857"/>
      <c r="J30" s="857"/>
      <c r="K30" s="55"/>
      <c r="L30" s="55"/>
      <c r="M30" s="55"/>
      <c r="N30" s="55"/>
      <c r="O30" s="55"/>
      <c r="P30" s="55"/>
      <c r="Q30" s="55"/>
      <c r="R30" s="55"/>
      <c r="S30" s="55"/>
      <c r="T30" s="55"/>
      <c r="U30" s="55"/>
      <c r="V30" s="55"/>
      <c r="W30" s="55"/>
      <c r="X30" s="55"/>
      <c r="Y30" s="55"/>
      <c r="Z30" s="55"/>
      <c r="AA30" s="55"/>
      <c r="AB30" s="55"/>
      <c r="AC30" s="55"/>
      <c r="AD30" s="55"/>
      <c r="AE30" s="82"/>
      <c r="AF30" s="65"/>
      <c r="AG30" s="65"/>
    </row>
    <row r="31" spans="1:33" ht="25.5" hidden="1">
      <c r="A31" s="86" t="s">
        <v>168</v>
      </c>
      <c r="B31" s="51"/>
      <c r="C31" s="677"/>
      <c r="D31" s="845">
        <v>0</v>
      </c>
      <c r="E31" s="678"/>
      <c r="F31" s="681"/>
      <c r="G31" s="681"/>
      <c r="H31" s="681"/>
      <c r="I31" s="856"/>
      <c r="J31" s="856"/>
      <c r="K31" s="681"/>
      <c r="L31" s="681"/>
      <c r="M31" s="681"/>
      <c r="N31" s="681"/>
      <c r="O31" s="681"/>
      <c r="P31" s="681"/>
      <c r="Q31" s="681"/>
      <c r="R31" s="681"/>
      <c r="S31" s="681"/>
      <c r="T31" s="681"/>
      <c r="U31" s="681"/>
      <c r="V31" s="681"/>
      <c r="W31" s="681"/>
      <c r="X31" s="681"/>
      <c r="Y31" s="681"/>
      <c r="Z31" s="681"/>
      <c r="AA31" s="681"/>
      <c r="AB31" s="681"/>
      <c r="AC31" s="681"/>
      <c r="AD31" s="681"/>
      <c r="AE31" s="82"/>
      <c r="AF31" s="65"/>
      <c r="AG31" s="65"/>
    </row>
    <row r="32" spans="1:33" ht="25.5" hidden="1">
      <c r="A32" s="86" t="s">
        <v>169</v>
      </c>
      <c r="B32" s="51"/>
      <c r="C32" s="677"/>
      <c r="D32" s="845">
        <v>0</v>
      </c>
      <c r="E32" s="678"/>
      <c r="F32" s="681"/>
      <c r="G32" s="681"/>
      <c r="H32" s="681"/>
      <c r="I32" s="856"/>
      <c r="J32" s="856"/>
      <c r="K32" s="681"/>
      <c r="L32" s="681"/>
      <c r="M32" s="681"/>
      <c r="N32" s="681"/>
      <c r="O32" s="681"/>
      <c r="P32" s="681"/>
      <c r="Q32" s="681"/>
      <c r="R32" s="681"/>
      <c r="S32" s="681"/>
      <c r="T32" s="681"/>
      <c r="U32" s="681"/>
      <c r="V32" s="681"/>
      <c r="W32" s="681"/>
      <c r="X32" s="681"/>
      <c r="Y32" s="681"/>
      <c r="Z32" s="681"/>
      <c r="AA32" s="681"/>
      <c r="AB32" s="681"/>
      <c r="AC32" s="681"/>
      <c r="AD32" s="681"/>
      <c r="AE32" s="82"/>
      <c r="AF32" s="65"/>
      <c r="AG32" s="65"/>
    </row>
    <row r="33" spans="1:33" ht="25.5" hidden="1">
      <c r="A33" s="86" t="s">
        <v>170</v>
      </c>
      <c r="B33" s="51"/>
      <c r="C33" s="677"/>
      <c r="D33" s="845">
        <v>0</v>
      </c>
      <c r="E33" s="678"/>
      <c r="F33" s="681"/>
      <c r="G33" s="681"/>
      <c r="H33" s="681"/>
      <c r="I33" s="856"/>
      <c r="J33" s="856"/>
      <c r="K33" s="681"/>
      <c r="L33" s="681"/>
      <c r="M33" s="681"/>
      <c r="N33" s="681"/>
      <c r="O33" s="681"/>
      <c r="P33" s="681"/>
      <c r="Q33" s="681"/>
      <c r="R33" s="681"/>
      <c r="S33" s="681"/>
      <c r="T33" s="681"/>
      <c r="U33" s="681"/>
      <c r="V33" s="681"/>
      <c r="W33" s="681"/>
      <c r="X33" s="681"/>
      <c r="Y33" s="681"/>
      <c r="Z33" s="681"/>
      <c r="AA33" s="681"/>
      <c r="AB33" s="681"/>
      <c r="AC33" s="681"/>
      <c r="AD33" s="681"/>
      <c r="AE33" s="82"/>
      <c r="AF33" s="65"/>
      <c r="AG33" s="65"/>
    </row>
    <row r="34" spans="1:33" ht="25.5" hidden="1">
      <c r="A34" s="86" t="s">
        <v>171</v>
      </c>
      <c r="B34" s="51"/>
      <c r="C34" s="677"/>
      <c r="D34" s="845">
        <v>0</v>
      </c>
      <c r="E34" s="678"/>
      <c r="F34" s="681"/>
      <c r="G34" s="681"/>
      <c r="H34" s="681"/>
      <c r="I34" s="856"/>
      <c r="J34" s="856"/>
      <c r="K34" s="681"/>
      <c r="L34" s="681"/>
      <c r="M34" s="681"/>
      <c r="N34" s="681"/>
      <c r="O34" s="681"/>
      <c r="P34" s="681"/>
      <c r="Q34" s="681"/>
      <c r="R34" s="681"/>
      <c r="S34" s="681"/>
      <c r="T34" s="681"/>
      <c r="U34" s="681"/>
      <c r="V34" s="681"/>
      <c r="W34" s="681"/>
      <c r="X34" s="681"/>
      <c r="Y34" s="681"/>
      <c r="Z34" s="681"/>
      <c r="AA34" s="681"/>
      <c r="AB34" s="681"/>
      <c r="AC34" s="681"/>
      <c r="AD34" s="681"/>
      <c r="AE34" s="82"/>
      <c r="AF34" s="65"/>
      <c r="AG34" s="65"/>
    </row>
    <row r="35" spans="1:33" ht="25.5" hidden="1">
      <c r="A35" s="86" t="s">
        <v>172</v>
      </c>
      <c r="B35" s="51"/>
      <c r="C35" s="677"/>
      <c r="D35" s="845">
        <v>0</v>
      </c>
      <c r="E35" s="678"/>
      <c r="F35" s="681"/>
      <c r="G35" s="681"/>
      <c r="H35" s="681"/>
      <c r="I35" s="856"/>
      <c r="J35" s="856"/>
      <c r="K35" s="681"/>
      <c r="L35" s="681"/>
      <c r="M35" s="681"/>
      <c r="N35" s="681"/>
      <c r="O35" s="681"/>
      <c r="P35" s="681"/>
      <c r="Q35" s="681"/>
      <c r="R35" s="681"/>
      <c r="S35" s="681"/>
      <c r="T35" s="681"/>
      <c r="U35" s="681"/>
      <c r="V35" s="681"/>
      <c r="W35" s="681"/>
      <c r="X35" s="681"/>
      <c r="Y35" s="681"/>
      <c r="Z35" s="681"/>
      <c r="AA35" s="681"/>
      <c r="AB35" s="681"/>
      <c r="AC35" s="681"/>
      <c r="AD35" s="681"/>
      <c r="AE35" s="82"/>
      <c r="AF35" s="65"/>
      <c r="AG35" s="65"/>
    </row>
    <row r="36" spans="1:33" ht="25.5" hidden="1">
      <c r="A36" s="85" t="s">
        <v>173</v>
      </c>
      <c r="B36" s="34"/>
      <c r="C36" s="35"/>
      <c r="D36" s="847"/>
      <c r="E36" s="36"/>
      <c r="F36" s="55"/>
      <c r="G36" s="55"/>
      <c r="H36" s="55"/>
      <c r="I36" s="857"/>
      <c r="J36" s="857"/>
      <c r="K36" s="55"/>
      <c r="L36" s="55"/>
      <c r="M36" s="55"/>
      <c r="N36" s="55"/>
      <c r="O36" s="55"/>
      <c r="P36" s="55"/>
      <c r="Q36" s="55"/>
      <c r="R36" s="55"/>
      <c r="S36" s="55"/>
      <c r="T36" s="55"/>
      <c r="U36" s="55"/>
      <c r="V36" s="55"/>
      <c r="W36" s="55"/>
      <c r="X36" s="55"/>
      <c r="Y36" s="55"/>
      <c r="Z36" s="55"/>
      <c r="AA36" s="55"/>
      <c r="AB36" s="55"/>
      <c r="AC36" s="55"/>
      <c r="AD36" s="55"/>
      <c r="AE36" s="82"/>
      <c r="AF36" s="65"/>
      <c r="AG36" s="65"/>
    </row>
    <row r="37" spans="1:33" ht="25.5" hidden="1">
      <c r="A37" s="86" t="s">
        <v>174</v>
      </c>
      <c r="B37" s="51"/>
      <c r="C37" s="677"/>
      <c r="D37" s="845">
        <v>0</v>
      </c>
      <c r="E37" s="678"/>
      <c r="F37" s="681"/>
      <c r="G37" s="681"/>
      <c r="H37" s="681"/>
      <c r="I37" s="856"/>
      <c r="J37" s="856"/>
      <c r="K37" s="681"/>
      <c r="L37" s="681"/>
      <c r="M37" s="681"/>
      <c r="N37" s="681"/>
      <c r="O37" s="681"/>
      <c r="P37" s="681"/>
      <c r="Q37" s="681"/>
      <c r="R37" s="681"/>
      <c r="S37" s="681"/>
      <c r="T37" s="681"/>
      <c r="U37" s="681"/>
      <c r="V37" s="681"/>
      <c r="W37" s="681"/>
      <c r="X37" s="681"/>
      <c r="Y37" s="681"/>
      <c r="Z37" s="681"/>
      <c r="AA37" s="681"/>
      <c r="AB37" s="681"/>
      <c r="AC37" s="681"/>
      <c r="AD37" s="681"/>
      <c r="AE37" s="82"/>
      <c r="AF37" s="65"/>
      <c r="AG37" s="65"/>
    </row>
    <row r="38" spans="1:33" ht="25.5" hidden="1">
      <c r="A38" s="86" t="s">
        <v>175</v>
      </c>
      <c r="B38" s="51"/>
      <c r="C38" s="677"/>
      <c r="D38" s="845">
        <v>0</v>
      </c>
      <c r="E38" s="678"/>
      <c r="F38" s="681"/>
      <c r="G38" s="681"/>
      <c r="H38" s="681"/>
      <c r="I38" s="856"/>
      <c r="J38" s="856"/>
      <c r="K38" s="681"/>
      <c r="L38" s="681"/>
      <c r="M38" s="681"/>
      <c r="N38" s="681"/>
      <c r="O38" s="681"/>
      <c r="P38" s="681"/>
      <c r="Q38" s="681"/>
      <c r="R38" s="681"/>
      <c r="S38" s="681"/>
      <c r="T38" s="681"/>
      <c r="U38" s="681"/>
      <c r="V38" s="681"/>
      <c r="W38" s="681"/>
      <c r="X38" s="681"/>
      <c r="Y38" s="681"/>
      <c r="Z38" s="681"/>
      <c r="AA38" s="681"/>
      <c r="AB38" s="681"/>
      <c r="AC38" s="681"/>
      <c r="AD38" s="681"/>
      <c r="AE38" s="82"/>
      <c r="AF38" s="65"/>
      <c r="AG38" s="65"/>
    </row>
    <row r="39" spans="1:33" ht="25.5" hidden="1">
      <c r="A39" s="86" t="s">
        <v>176</v>
      </c>
      <c r="B39" s="51"/>
      <c r="C39" s="677"/>
      <c r="D39" s="845">
        <v>0</v>
      </c>
      <c r="E39" s="678"/>
      <c r="F39" s="681"/>
      <c r="G39" s="681"/>
      <c r="H39" s="681"/>
      <c r="I39" s="856"/>
      <c r="J39" s="856"/>
      <c r="K39" s="681"/>
      <c r="L39" s="681"/>
      <c r="M39" s="681"/>
      <c r="N39" s="681"/>
      <c r="O39" s="681"/>
      <c r="P39" s="681"/>
      <c r="Q39" s="681"/>
      <c r="R39" s="681"/>
      <c r="S39" s="681"/>
      <c r="T39" s="681"/>
      <c r="U39" s="681"/>
      <c r="V39" s="681"/>
      <c r="W39" s="681"/>
      <c r="X39" s="681"/>
      <c r="Y39" s="681"/>
      <c r="Z39" s="681"/>
      <c r="AA39" s="681"/>
      <c r="AB39" s="681"/>
      <c r="AC39" s="681"/>
      <c r="AD39" s="681"/>
      <c r="AE39" s="82"/>
      <c r="AF39" s="65"/>
      <c r="AG39" s="65"/>
    </row>
    <row r="40" spans="1:33" ht="25.5" hidden="1">
      <c r="A40" s="86" t="s">
        <v>177</v>
      </c>
      <c r="B40" s="51"/>
      <c r="C40" s="677"/>
      <c r="D40" s="845">
        <v>0</v>
      </c>
      <c r="E40" s="678"/>
      <c r="F40" s="681"/>
      <c r="G40" s="681"/>
      <c r="H40" s="681"/>
      <c r="I40" s="856"/>
      <c r="J40" s="856"/>
      <c r="K40" s="681"/>
      <c r="L40" s="681"/>
      <c r="M40" s="681"/>
      <c r="N40" s="681"/>
      <c r="O40" s="681"/>
      <c r="P40" s="681"/>
      <c r="Q40" s="681"/>
      <c r="R40" s="681"/>
      <c r="S40" s="681"/>
      <c r="T40" s="681"/>
      <c r="U40" s="681"/>
      <c r="V40" s="681"/>
      <c r="W40" s="681"/>
      <c r="X40" s="681"/>
      <c r="Y40" s="681"/>
      <c r="Z40" s="681"/>
      <c r="AA40" s="681"/>
      <c r="AB40" s="681"/>
      <c r="AC40" s="681"/>
      <c r="AD40" s="681"/>
      <c r="AE40" s="82"/>
      <c r="AF40" s="65"/>
      <c r="AG40" s="65"/>
    </row>
    <row r="41" spans="1:33" ht="25.5" hidden="1">
      <c r="A41" s="86" t="s">
        <v>178</v>
      </c>
      <c r="B41" s="51"/>
      <c r="C41" s="677"/>
      <c r="D41" s="845">
        <v>0</v>
      </c>
      <c r="E41" s="678"/>
      <c r="F41" s="681"/>
      <c r="G41" s="681"/>
      <c r="H41" s="681"/>
      <c r="I41" s="856"/>
      <c r="J41" s="856"/>
      <c r="K41" s="681"/>
      <c r="L41" s="681"/>
      <c r="M41" s="681"/>
      <c r="N41" s="681"/>
      <c r="O41" s="681"/>
      <c r="P41" s="681"/>
      <c r="Q41" s="681"/>
      <c r="R41" s="681"/>
      <c r="S41" s="681"/>
      <c r="T41" s="681"/>
      <c r="U41" s="681"/>
      <c r="V41" s="681"/>
      <c r="W41" s="681"/>
      <c r="X41" s="681"/>
      <c r="Y41" s="681"/>
      <c r="Z41" s="681"/>
      <c r="AA41" s="681"/>
      <c r="AB41" s="681"/>
      <c r="AC41" s="681"/>
      <c r="AD41" s="681"/>
      <c r="AE41" s="82"/>
      <c r="AF41" s="65"/>
      <c r="AG41" s="65"/>
    </row>
    <row r="42" spans="1:33" ht="25.5" hidden="1">
      <c r="A42" s="85" t="s">
        <v>179</v>
      </c>
      <c r="B42" s="34"/>
      <c r="C42" s="35"/>
      <c r="D42" s="847"/>
      <c r="E42" s="36"/>
      <c r="F42" s="55"/>
      <c r="G42" s="55"/>
      <c r="H42" s="55"/>
      <c r="I42" s="857"/>
      <c r="J42" s="857"/>
      <c r="K42" s="55"/>
      <c r="L42" s="55"/>
      <c r="M42" s="55"/>
      <c r="N42" s="55"/>
      <c r="O42" s="55"/>
      <c r="P42" s="55"/>
      <c r="Q42" s="55"/>
      <c r="R42" s="55"/>
      <c r="S42" s="55"/>
      <c r="T42" s="55"/>
      <c r="U42" s="55"/>
      <c r="V42" s="55"/>
      <c r="W42" s="55"/>
      <c r="X42" s="55"/>
      <c r="Y42" s="55"/>
      <c r="Z42" s="55"/>
      <c r="AA42" s="55"/>
      <c r="AB42" s="55"/>
      <c r="AC42" s="55"/>
      <c r="AD42" s="55"/>
      <c r="AE42" s="82"/>
      <c r="AF42" s="65"/>
      <c r="AG42" s="65"/>
    </row>
    <row r="43" spans="1:33" ht="25.5" hidden="1">
      <c r="A43" s="86" t="s">
        <v>180</v>
      </c>
      <c r="B43" s="51"/>
      <c r="C43" s="677"/>
      <c r="D43" s="845">
        <v>0</v>
      </c>
      <c r="E43" s="678"/>
      <c r="F43" s="681"/>
      <c r="G43" s="681"/>
      <c r="H43" s="681"/>
      <c r="I43" s="856"/>
      <c r="J43" s="856"/>
      <c r="K43" s="681"/>
      <c r="L43" s="681"/>
      <c r="M43" s="681"/>
      <c r="N43" s="681"/>
      <c r="O43" s="681"/>
      <c r="P43" s="681"/>
      <c r="Q43" s="681"/>
      <c r="R43" s="681"/>
      <c r="S43" s="681"/>
      <c r="T43" s="681"/>
      <c r="U43" s="681"/>
      <c r="V43" s="681"/>
      <c r="W43" s="681"/>
      <c r="X43" s="681"/>
      <c r="Y43" s="681"/>
      <c r="Z43" s="681"/>
      <c r="AA43" s="681"/>
      <c r="AB43" s="681"/>
      <c r="AC43" s="681"/>
      <c r="AD43" s="681"/>
      <c r="AE43" s="82"/>
      <c r="AF43" s="65"/>
      <c r="AG43" s="65"/>
    </row>
    <row r="44" spans="1:33" ht="25.5" hidden="1">
      <c r="A44" s="86" t="s">
        <v>181</v>
      </c>
      <c r="B44" s="51"/>
      <c r="C44" s="677"/>
      <c r="D44" s="845">
        <v>0</v>
      </c>
      <c r="E44" s="678"/>
      <c r="F44" s="681"/>
      <c r="G44" s="681"/>
      <c r="H44" s="681"/>
      <c r="I44" s="856"/>
      <c r="J44" s="856"/>
      <c r="K44" s="681"/>
      <c r="L44" s="681"/>
      <c r="M44" s="681"/>
      <c r="N44" s="681"/>
      <c r="O44" s="681"/>
      <c r="P44" s="681"/>
      <c r="Q44" s="681"/>
      <c r="R44" s="681"/>
      <c r="S44" s="681"/>
      <c r="T44" s="681"/>
      <c r="U44" s="681"/>
      <c r="V44" s="681"/>
      <c r="W44" s="681"/>
      <c r="X44" s="681"/>
      <c r="Y44" s="681"/>
      <c r="Z44" s="681"/>
      <c r="AA44" s="681"/>
      <c r="AB44" s="681"/>
      <c r="AC44" s="681"/>
      <c r="AD44" s="681"/>
      <c r="AE44" s="82"/>
      <c r="AF44" s="65"/>
      <c r="AG44" s="65"/>
    </row>
    <row r="45" spans="1:33" ht="25.5" hidden="1">
      <c r="A45" s="86" t="s">
        <v>182</v>
      </c>
      <c r="B45" s="51"/>
      <c r="C45" s="677"/>
      <c r="D45" s="845">
        <v>0</v>
      </c>
      <c r="E45" s="678"/>
      <c r="F45" s="681"/>
      <c r="G45" s="681"/>
      <c r="H45" s="681"/>
      <c r="I45" s="856"/>
      <c r="J45" s="856"/>
      <c r="K45" s="681"/>
      <c r="L45" s="681"/>
      <c r="M45" s="681"/>
      <c r="N45" s="681"/>
      <c r="O45" s="681"/>
      <c r="P45" s="681"/>
      <c r="Q45" s="681"/>
      <c r="R45" s="681"/>
      <c r="S45" s="681"/>
      <c r="T45" s="681"/>
      <c r="U45" s="681"/>
      <c r="V45" s="681"/>
      <c r="W45" s="681"/>
      <c r="X45" s="681"/>
      <c r="Y45" s="681"/>
      <c r="Z45" s="681"/>
      <c r="AA45" s="681"/>
      <c r="AB45" s="681"/>
      <c r="AC45" s="681"/>
      <c r="AD45" s="681"/>
      <c r="AE45" s="82"/>
      <c r="AF45" s="65"/>
      <c r="AG45" s="65"/>
    </row>
    <row r="46" spans="1:33" ht="25.5" hidden="1">
      <c r="A46" s="86" t="s">
        <v>183</v>
      </c>
      <c r="B46" s="51"/>
      <c r="C46" s="677"/>
      <c r="D46" s="845">
        <v>0</v>
      </c>
      <c r="E46" s="678"/>
      <c r="F46" s="681"/>
      <c r="G46" s="681"/>
      <c r="H46" s="681"/>
      <c r="I46" s="856"/>
      <c r="J46" s="856"/>
      <c r="K46" s="681"/>
      <c r="L46" s="681"/>
      <c r="M46" s="681"/>
      <c r="N46" s="681"/>
      <c r="O46" s="681"/>
      <c r="P46" s="681"/>
      <c r="Q46" s="681"/>
      <c r="R46" s="681"/>
      <c r="S46" s="681"/>
      <c r="T46" s="681"/>
      <c r="U46" s="681"/>
      <c r="V46" s="681"/>
      <c r="W46" s="681"/>
      <c r="X46" s="681"/>
      <c r="Y46" s="681"/>
      <c r="Z46" s="681"/>
      <c r="AA46" s="681"/>
      <c r="AB46" s="681"/>
      <c r="AC46" s="681"/>
      <c r="AD46" s="681"/>
      <c r="AE46" s="82"/>
      <c r="AF46" s="65"/>
      <c r="AG46" s="65"/>
    </row>
    <row r="47" spans="1:33" ht="25.5" hidden="1">
      <c r="A47" s="86" t="s">
        <v>184</v>
      </c>
      <c r="B47" s="51"/>
      <c r="C47" s="677"/>
      <c r="D47" s="845">
        <v>0</v>
      </c>
      <c r="E47" s="678"/>
      <c r="F47" s="681"/>
      <c r="G47" s="681"/>
      <c r="H47" s="681"/>
      <c r="I47" s="856"/>
      <c r="J47" s="856"/>
      <c r="K47" s="681"/>
      <c r="L47" s="681"/>
      <c r="M47" s="681"/>
      <c r="N47" s="681"/>
      <c r="O47" s="681"/>
      <c r="P47" s="681"/>
      <c r="Q47" s="681"/>
      <c r="R47" s="681"/>
      <c r="S47" s="681"/>
      <c r="T47" s="681"/>
      <c r="U47" s="681"/>
      <c r="V47" s="681"/>
      <c r="W47" s="681"/>
      <c r="X47" s="681"/>
      <c r="Y47" s="681"/>
      <c r="Z47" s="681"/>
      <c r="AA47" s="681"/>
      <c r="AB47" s="681"/>
      <c r="AC47" s="681"/>
      <c r="AD47" s="681"/>
      <c r="AE47" s="82"/>
      <c r="AF47" s="65"/>
      <c r="AG47" s="65"/>
    </row>
    <row r="48" spans="1:33" ht="50.25" customHeight="1">
      <c r="A48" s="84" t="s">
        <v>185</v>
      </c>
      <c r="B48" s="848" t="s">
        <v>382</v>
      </c>
      <c r="C48" s="38">
        <f>+'PRESUPUESTO OTRO SI '!G147</f>
        <v>0.5521814736951387</v>
      </c>
      <c r="D48" s="846"/>
      <c r="E48" s="39" t="s">
        <v>118</v>
      </c>
      <c r="F48" s="54">
        <v>4</v>
      </c>
      <c r="G48" s="54">
        <v>1</v>
      </c>
      <c r="H48" s="54">
        <v>1</v>
      </c>
      <c r="I48" s="461">
        <v>1</v>
      </c>
      <c r="J48" s="461">
        <v>1</v>
      </c>
      <c r="K48" s="460"/>
      <c r="L48" s="54"/>
      <c r="M48" s="54"/>
      <c r="N48" s="54"/>
      <c r="O48" s="54"/>
      <c r="P48" s="54"/>
      <c r="Q48" s="54"/>
      <c r="R48" s="54"/>
      <c r="S48" s="54"/>
      <c r="T48" s="54"/>
      <c r="U48" s="54"/>
      <c r="V48" s="54"/>
      <c r="W48" s="54"/>
      <c r="X48" s="54"/>
      <c r="Y48" s="54"/>
      <c r="Z48" s="54"/>
      <c r="AA48" s="54"/>
      <c r="AB48" s="54"/>
      <c r="AC48" s="54"/>
      <c r="AD48" s="54"/>
      <c r="AE48" s="82"/>
      <c r="AF48" s="65"/>
      <c r="AG48" s="65"/>
    </row>
    <row r="49" spans="1:33" ht="25.5">
      <c r="A49" s="85" t="s">
        <v>188</v>
      </c>
      <c r="B49" s="34"/>
      <c r="C49" s="35">
        <v>1</v>
      </c>
      <c r="D49" s="847"/>
      <c r="E49" s="55" t="s">
        <v>118</v>
      </c>
      <c r="F49" s="55">
        <v>4</v>
      </c>
      <c r="G49" s="55">
        <v>1</v>
      </c>
      <c r="H49" s="55">
        <v>1</v>
      </c>
      <c r="I49" s="857">
        <v>1</v>
      </c>
      <c r="J49" s="857">
        <v>1</v>
      </c>
      <c r="K49" s="851"/>
      <c r="L49" s="55"/>
      <c r="M49" s="55"/>
      <c r="N49" s="55"/>
      <c r="O49" s="55"/>
      <c r="P49" s="55"/>
      <c r="Q49" s="55"/>
      <c r="R49" s="55"/>
      <c r="S49" s="55"/>
      <c r="T49" s="55"/>
      <c r="U49" s="55"/>
      <c r="V49" s="55"/>
      <c r="W49" s="55"/>
      <c r="X49" s="55"/>
      <c r="Y49" s="55"/>
      <c r="Z49" s="55"/>
      <c r="AA49" s="55"/>
      <c r="AB49" s="55"/>
      <c r="AC49" s="55"/>
      <c r="AD49" s="55"/>
      <c r="AE49" s="82"/>
      <c r="AF49" s="65"/>
      <c r="AG49" s="65"/>
    </row>
    <row r="50" spans="1:33" ht="25.5">
      <c r="A50" s="86" t="s">
        <v>189</v>
      </c>
      <c r="B50" s="51"/>
      <c r="C50" s="677">
        <v>1</v>
      </c>
      <c r="D50" s="845">
        <v>0.5521814736951387</v>
      </c>
      <c r="E50" s="681" t="s">
        <v>118</v>
      </c>
      <c r="F50" s="681">
        <v>4</v>
      </c>
      <c r="G50" s="681">
        <v>1</v>
      </c>
      <c r="H50" s="681">
        <v>1</v>
      </c>
      <c r="I50" s="856">
        <v>1</v>
      </c>
      <c r="J50" s="856">
        <v>1</v>
      </c>
      <c r="K50" s="852"/>
      <c r="L50" s="681"/>
      <c r="M50" s="681"/>
      <c r="N50" s="681"/>
      <c r="O50" s="681"/>
      <c r="P50" s="681"/>
      <c r="Q50" s="681"/>
      <c r="R50" s="681"/>
      <c r="S50" s="681"/>
      <c r="T50" s="681"/>
      <c r="U50" s="681"/>
      <c r="V50" s="681"/>
      <c r="W50" s="681"/>
      <c r="X50" s="681"/>
      <c r="Y50" s="681"/>
      <c r="Z50" s="681"/>
      <c r="AA50" s="681"/>
      <c r="AB50" s="681"/>
      <c r="AC50" s="681"/>
      <c r="AD50" s="681"/>
      <c r="AE50" s="82"/>
      <c r="AF50" s="65"/>
      <c r="AG50" s="65"/>
    </row>
    <row r="51" spans="1:33" ht="25.5">
      <c r="A51" s="86" t="s">
        <v>190</v>
      </c>
      <c r="B51" s="51"/>
      <c r="C51" s="677"/>
      <c r="D51" s="845">
        <v>0</v>
      </c>
      <c r="E51" s="678"/>
      <c r="F51" s="681"/>
      <c r="G51" s="681"/>
      <c r="H51" s="681"/>
      <c r="I51" s="856"/>
      <c r="J51" s="856"/>
      <c r="K51" s="681"/>
      <c r="L51" s="681"/>
      <c r="M51" s="681"/>
      <c r="N51" s="681"/>
      <c r="O51" s="681"/>
      <c r="P51" s="681"/>
      <c r="Q51" s="681"/>
      <c r="R51" s="681"/>
      <c r="S51" s="681"/>
      <c r="T51" s="681"/>
      <c r="U51" s="681"/>
      <c r="V51" s="681"/>
      <c r="W51" s="681"/>
      <c r="X51" s="681"/>
      <c r="Y51" s="681"/>
      <c r="Z51" s="681"/>
      <c r="AA51" s="681"/>
      <c r="AB51" s="681"/>
      <c r="AC51" s="681"/>
      <c r="AD51" s="681"/>
      <c r="AE51" s="82">
        <f t="shared" ref="AE51:AE80" si="0">F51-SUM(G51:AD51)</f>
        <v>0</v>
      </c>
      <c r="AF51" s="65"/>
      <c r="AG51" s="65"/>
    </row>
    <row r="52" spans="1:33" ht="25.5" hidden="1">
      <c r="A52" s="86" t="s">
        <v>191</v>
      </c>
      <c r="B52" s="51"/>
      <c r="C52" s="677"/>
      <c r="D52" s="845">
        <v>0</v>
      </c>
      <c r="E52" s="678"/>
      <c r="F52" s="681"/>
      <c r="G52" s="681"/>
      <c r="H52" s="681"/>
      <c r="I52" s="856"/>
      <c r="J52" s="856"/>
      <c r="K52" s="681"/>
      <c r="L52" s="681"/>
      <c r="M52" s="681"/>
      <c r="N52" s="681"/>
      <c r="O52" s="681"/>
      <c r="P52" s="681"/>
      <c r="Q52" s="681"/>
      <c r="R52" s="681"/>
      <c r="S52" s="681"/>
      <c r="T52" s="681"/>
      <c r="U52" s="681"/>
      <c r="V52" s="681"/>
      <c r="W52" s="681"/>
      <c r="X52" s="681"/>
      <c r="Y52" s="681"/>
      <c r="Z52" s="681"/>
      <c r="AA52" s="681"/>
      <c r="AB52" s="681"/>
      <c r="AC52" s="681"/>
      <c r="AD52" s="681"/>
      <c r="AE52" s="82">
        <f t="shared" si="0"/>
        <v>0</v>
      </c>
      <c r="AF52" s="65"/>
      <c r="AG52" s="65"/>
    </row>
    <row r="53" spans="1:33" ht="25.5" hidden="1">
      <c r="A53" s="86" t="s">
        <v>192</v>
      </c>
      <c r="B53" s="51"/>
      <c r="C53" s="677"/>
      <c r="D53" s="845">
        <v>0</v>
      </c>
      <c r="E53" s="678"/>
      <c r="F53" s="681"/>
      <c r="G53" s="681"/>
      <c r="H53" s="681"/>
      <c r="I53" s="856"/>
      <c r="J53" s="856"/>
      <c r="K53" s="681"/>
      <c r="L53" s="681"/>
      <c r="M53" s="681"/>
      <c r="N53" s="681"/>
      <c r="O53" s="681"/>
      <c r="P53" s="681"/>
      <c r="Q53" s="681"/>
      <c r="R53" s="681"/>
      <c r="S53" s="681"/>
      <c r="T53" s="681"/>
      <c r="U53" s="681"/>
      <c r="V53" s="681"/>
      <c r="W53" s="681"/>
      <c r="X53" s="681"/>
      <c r="Y53" s="681"/>
      <c r="Z53" s="681"/>
      <c r="AA53" s="681"/>
      <c r="AB53" s="681"/>
      <c r="AC53" s="681"/>
      <c r="AD53" s="681"/>
      <c r="AE53" s="82">
        <f t="shared" si="0"/>
        <v>0</v>
      </c>
      <c r="AF53" s="65"/>
      <c r="AG53" s="65"/>
    </row>
    <row r="54" spans="1:33" ht="25.5" hidden="1">
      <c r="A54" s="86" t="s">
        <v>193</v>
      </c>
      <c r="B54" s="51"/>
      <c r="C54" s="677"/>
      <c r="D54" s="845">
        <v>0</v>
      </c>
      <c r="E54" s="678"/>
      <c r="F54" s="681"/>
      <c r="G54" s="681"/>
      <c r="H54" s="681"/>
      <c r="I54" s="856"/>
      <c r="J54" s="856"/>
      <c r="K54" s="681"/>
      <c r="L54" s="681"/>
      <c r="M54" s="681"/>
      <c r="N54" s="681"/>
      <c r="O54" s="681"/>
      <c r="P54" s="681"/>
      <c r="Q54" s="681"/>
      <c r="R54" s="681"/>
      <c r="S54" s="681"/>
      <c r="T54" s="681"/>
      <c r="U54" s="681"/>
      <c r="V54" s="681"/>
      <c r="W54" s="681"/>
      <c r="X54" s="681"/>
      <c r="Y54" s="681"/>
      <c r="Z54" s="681"/>
      <c r="AA54" s="681"/>
      <c r="AB54" s="681"/>
      <c r="AC54" s="681"/>
      <c r="AD54" s="681"/>
      <c r="AE54" s="82">
        <f t="shared" si="0"/>
        <v>0</v>
      </c>
      <c r="AF54" s="65"/>
      <c r="AG54" s="65"/>
    </row>
    <row r="55" spans="1:33" ht="25.5" hidden="1">
      <c r="A55" s="85" t="s">
        <v>194</v>
      </c>
      <c r="B55" s="34"/>
      <c r="C55" s="35"/>
      <c r="D55" s="847"/>
      <c r="E55" s="36"/>
      <c r="F55" s="55"/>
      <c r="G55" s="55">
        <f>SUM(G56:G60)</f>
        <v>0</v>
      </c>
      <c r="H55" s="55">
        <f t="shared" ref="H55:I55" si="1">SUM(H56:H60)</f>
        <v>0</v>
      </c>
      <c r="I55" s="857">
        <f t="shared" si="1"/>
        <v>0</v>
      </c>
      <c r="J55" s="857">
        <f>SUM(J56:J60)</f>
        <v>0</v>
      </c>
      <c r="K55" s="55">
        <f t="shared" ref="K55:AD55" si="2">SUM(K56:K60)</f>
        <v>0</v>
      </c>
      <c r="L55" s="55">
        <f t="shared" si="2"/>
        <v>0</v>
      </c>
      <c r="M55" s="55">
        <f t="shared" si="2"/>
        <v>0</v>
      </c>
      <c r="N55" s="55">
        <f t="shared" si="2"/>
        <v>0</v>
      </c>
      <c r="O55" s="55">
        <f t="shared" si="2"/>
        <v>0</v>
      </c>
      <c r="P55" s="55">
        <f t="shared" si="2"/>
        <v>0</v>
      </c>
      <c r="Q55" s="55">
        <f t="shared" si="2"/>
        <v>0</v>
      </c>
      <c r="R55" s="55">
        <f t="shared" si="2"/>
        <v>0</v>
      </c>
      <c r="S55" s="55">
        <f t="shared" si="2"/>
        <v>0</v>
      </c>
      <c r="T55" s="55">
        <f t="shared" si="2"/>
        <v>0</v>
      </c>
      <c r="U55" s="55">
        <f t="shared" si="2"/>
        <v>0</v>
      </c>
      <c r="V55" s="55">
        <f t="shared" si="2"/>
        <v>0</v>
      </c>
      <c r="W55" s="55">
        <f t="shared" si="2"/>
        <v>0</v>
      </c>
      <c r="X55" s="55">
        <f t="shared" si="2"/>
        <v>0</v>
      </c>
      <c r="Y55" s="55">
        <f t="shared" si="2"/>
        <v>0</v>
      </c>
      <c r="Z55" s="55">
        <f t="shared" si="2"/>
        <v>0</v>
      </c>
      <c r="AA55" s="55">
        <f t="shared" si="2"/>
        <v>0</v>
      </c>
      <c r="AB55" s="55">
        <f t="shared" si="2"/>
        <v>0</v>
      </c>
      <c r="AC55" s="55">
        <f t="shared" si="2"/>
        <v>0</v>
      </c>
      <c r="AD55" s="55">
        <f t="shared" si="2"/>
        <v>0</v>
      </c>
      <c r="AE55" s="82">
        <f t="shared" si="0"/>
        <v>0</v>
      </c>
      <c r="AF55" s="65"/>
      <c r="AG55" s="65"/>
    </row>
    <row r="56" spans="1:33" ht="25.5" hidden="1">
      <c r="A56" s="86" t="s">
        <v>195</v>
      </c>
      <c r="B56" s="51"/>
      <c r="C56" s="677"/>
      <c r="D56" s="845">
        <v>0</v>
      </c>
      <c r="E56" s="678"/>
      <c r="F56" s="681"/>
      <c r="G56" s="681"/>
      <c r="H56" s="681"/>
      <c r="I56" s="856"/>
      <c r="J56" s="856"/>
      <c r="K56" s="681"/>
      <c r="L56" s="681"/>
      <c r="M56" s="681"/>
      <c r="N56" s="681"/>
      <c r="O56" s="681"/>
      <c r="P56" s="681"/>
      <c r="Q56" s="681"/>
      <c r="R56" s="681"/>
      <c r="S56" s="681"/>
      <c r="T56" s="681"/>
      <c r="U56" s="681"/>
      <c r="V56" s="681"/>
      <c r="W56" s="681"/>
      <c r="X56" s="681"/>
      <c r="Y56" s="681"/>
      <c r="Z56" s="681"/>
      <c r="AA56" s="681"/>
      <c r="AB56" s="681"/>
      <c r="AC56" s="681"/>
      <c r="AD56" s="681"/>
      <c r="AE56" s="82">
        <f t="shared" si="0"/>
        <v>0</v>
      </c>
      <c r="AF56" s="65"/>
      <c r="AG56" s="65"/>
    </row>
    <row r="57" spans="1:33" ht="25.5" hidden="1">
      <c r="A57" s="86" t="s">
        <v>196</v>
      </c>
      <c r="B57" s="51"/>
      <c r="C57" s="677"/>
      <c r="D57" s="845">
        <v>0</v>
      </c>
      <c r="E57" s="678"/>
      <c r="F57" s="681"/>
      <c r="G57" s="681"/>
      <c r="H57" s="681"/>
      <c r="I57" s="856"/>
      <c r="J57" s="856"/>
      <c r="K57" s="681"/>
      <c r="L57" s="681"/>
      <c r="M57" s="681"/>
      <c r="N57" s="681"/>
      <c r="O57" s="681"/>
      <c r="P57" s="681"/>
      <c r="Q57" s="681"/>
      <c r="R57" s="681"/>
      <c r="S57" s="681"/>
      <c r="T57" s="681"/>
      <c r="U57" s="681"/>
      <c r="V57" s="681"/>
      <c r="W57" s="681"/>
      <c r="X57" s="681"/>
      <c r="Y57" s="681"/>
      <c r="Z57" s="681"/>
      <c r="AA57" s="681"/>
      <c r="AB57" s="681"/>
      <c r="AC57" s="681"/>
      <c r="AD57" s="681"/>
      <c r="AE57" s="82">
        <f t="shared" si="0"/>
        <v>0</v>
      </c>
      <c r="AF57" s="65"/>
      <c r="AG57" s="65"/>
    </row>
    <row r="58" spans="1:33" ht="25.5" hidden="1">
      <c r="A58" s="86" t="s">
        <v>197</v>
      </c>
      <c r="B58" s="51"/>
      <c r="C58" s="677"/>
      <c r="D58" s="845">
        <v>0</v>
      </c>
      <c r="E58" s="678"/>
      <c r="F58" s="681"/>
      <c r="G58" s="681"/>
      <c r="H58" s="681"/>
      <c r="I58" s="856"/>
      <c r="J58" s="856"/>
      <c r="K58" s="681"/>
      <c r="L58" s="681"/>
      <c r="M58" s="681"/>
      <c r="N58" s="681"/>
      <c r="O58" s="681"/>
      <c r="P58" s="681"/>
      <c r="Q58" s="681"/>
      <c r="R58" s="681"/>
      <c r="S58" s="681"/>
      <c r="T58" s="681"/>
      <c r="U58" s="681"/>
      <c r="V58" s="681"/>
      <c r="W58" s="681"/>
      <c r="X58" s="681"/>
      <c r="Y58" s="681"/>
      <c r="Z58" s="681"/>
      <c r="AA58" s="681"/>
      <c r="AB58" s="681"/>
      <c r="AC58" s="681"/>
      <c r="AD58" s="681"/>
      <c r="AE58" s="82">
        <f t="shared" si="0"/>
        <v>0</v>
      </c>
      <c r="AF58" s="65"/>
      <c r="AG58" s="65"/>
    </row>
    <row r="59" spans="1:33" ht="25.5" hidden="1">
      <c r="A59" s="86" t="s">
        <v>198</v>
      </c>
      <c r="B59" s="51"/>
      <c r="C59" s="677"/>
      <c r="D59" s="845">
        <v>0</v>
      </c>
      <c r="E59" s="678"/>
      <c r="F59" s="681"/>
      <c r="G59" s="681"/>
      <c r="H59" s="681"/>
      <c r="I59" s="856"/>
      <c r="J59" s="856"/>
      <c r="K59" s="681"/>
      <c r="L59" s="681"/>
      <c r="M59" s="681"/>
      <c r="N59" s="681"/>
      <c r="O59" s="681"/>
      <c r="P59" s="681"/>
      <c r="Q59" s="681"/>
      <c r="R59" s="681"/>
      <c r="S59" s="681"/>
      <c r="T59" s="681"/>
      <c r="U59" s="681"/>
      <c r="V59" s="681"/>
      <c r="W59" s="681"/>
      <c r="X59" s="681"/>
      <c r="Y59" s="681"/>
      <c r="Z59" s="681"/>
      <c r="AA59" s="681"/>
      <c r="AB59" s="681"/>
      <c r="AC59" s="681"/>
      <c r="AD59" s="681"/>
      <c r="AE59" s="82">
        <f t="shared" si="0"/>
        <v>0</v>
      </c>
      <c r="AF59" s="65"/>
      <c r="AG59" s="65"/>
    </row>
    <row r="60" spans="1:33" ht="25.5" hidden="1">
      <c r="A60" s="86" t="s">
        <v>199</v>
      </c>
      <c r="B60" s="51"/>
      <c r="C60" s="677"/>
      <c r="D60" s="845">
        <v>0</v>
      </c>
      <c r="E60" s="678"/>
      <c r="F60" s="681"/>
      <c r="G60" s="681"/>
      <c r="H60" s="681"/>
      <c r="I60" s="856"/>
      <c r="J60" s="856"/>
      <c r="K60" s="681"/>
      <c r="L60" s="681"/>
      <c r="M60" s="681"/>
      <c r="N60" s="681"/>
      <c r="O60" s="681"/>
      <c r="P60" s="681"/>
      <c r="Q60" s="681"/>
      <c r="R60" s="681"/>
      <c r="S60" s="681"/>
      <c r="T60" s="681"/>
      <c r="U60" s="681"/>
      <c r="V60" s="681"/>
      <c r="W60" s="681"/>
      <c r="X60" s="681"/>
      <c r="Y60" s="681"/>
      <c r="Z60" s="681"/>
      <c r="AA60" s="681"/>
      <c r="AB60" s="681"/>
      <c r="AC60" s="681"/>
      <c r="AD60" s="681"/>
      <c r="AE60" s="82">
        <f t="shared" si="0"/>
        <v>0</v>
      </c>
      <c r="AF60" s="65"/>
      <c r="AG60" s="65"/>
    </row>
    <row r="61" spans="1:33" ht="25.5" hidden="1">
      <c r="A61" s="85" t="s">
        <v>200</v>
      </c>
      <c r="B61" s="34"/>
      <c r="C61" s="35"/>
      <c r="D61" s="847"/>
      <c r="E61" s="36"/>
      <c r="F61" s="55"/>
      <c r="G61" s="55">
        <f>SUM(G62:G66)</f>
        <v>0</v>
      </c>
      <c r="H61" s="55">
        <f>SUM(H62:H66)</f>
        <v>0</v>
      </c>
      <c r="I61" s="857">
        <f t="shared" ref="I61:J61" si="3">SUM(I62:I66)</f>
        <v>0</v>
      </c>
      <c r="J61" s="857">
        <f t="shared" si="3"/>
        <v>0</v>
      </c>
      <c r="K61" s="55">
        <f>SUM(K62:K66)</f>
        <v>0</v>
      </c>
      <c r="L61" s="55">
        <f t="shared" ref="L61:AD61" si="4">SUM(L62:L66)</f>
        <v>0</v>
      </c>
      <c r="M61" s="55">
        <f t="shared" si="4"/>
        <v>0</v>
      </c>
      <c r="N61" s="55">
        <f t="shared" si="4"/>
        <v>0</v>
      </c>
      <c r="O61" s="55">
        <f t="shared" si="4"/>
        <v>0</v>
      </c>
      <c r="P61" s="55">
        <f t="shared" si="4"/>
        <v>0</v>
      </c>
      <c r="Q61" s="55">
        <f t="shared" si="4"/>
        <v>0</v>
      </c>
      <c r="R61" s="55">
        <f t="shared" si="4"/>
        <v>0</v>
      </c>
      <c r="S61" s="55">
        <f t="shared" si="4"/>
        <v>0</v>
      </c>
      <c r="T61" s="55">
        <f t="shared" si="4"/>
        <v>0</v>
      </c>
      <c r="U61" s="55">
        <f t="shared" si="4"/>
        <v>0</v>
      </c>
      <c r="V61" s="55">
        <f t="shared" si="4"/>
        <v>0</v>
      </c>
      <c r="W61" s="55">
        <f t="shared" si="4"/>
        <v>0</v>
      </c>
      <c r="X61" s="55">
        <f t="shared" si="4"/>
        <v>0</v>
      </c>
      <c r="Y61" s="55">
        <f t="shared" si="4"/>
        <v>0</v>
      </c>
      <c r="Z61" s="55">
        <f t="shared" si="4"/>
        <v>0</v>
      </c>
      <c r="AA61" s="55">
        <f t="shared" si="4"/>
        <v>0</v>
      </c>
      <c r="AB61" s="55">
        <f t="shared" si="4"/>
        <v>0</v>
      </c>
      <c r="AC61" s="55">
        <f t="shared" si="4"/>
        <v>0</v>
      </c>
      <c r="AD61" s="55">
        <f t="shared" si="4"/>
        <v>0</v>
      </c>
      <c r="AE61" s="82">
        <f t="shared" si="0"/>
        <v>0</v>
      </c>
      <c r="AF61" s="65"/>
      <c r="AG61" s="65"/>
    </row>
    <row r="62" spans="1:33" ht="25.5" hidden="1">
      <c r="A62" s="86" t="s">
        <v>201</v>
      </c>
      <c r="B62" s="51"/>
      <c r="C62" s="677"/>
      <c r="D62" s="845">
        <v>0</v>
      </c>
      <c r="E62" s="678"/>
      <c r="F62" s="681"/>
      <c r="G62" s="681"/>
      <c r="H62" s="681"/>
      <c r="I62" s="856"/>
      <c r="J62" s="856"/>
      <c r="K62" s="681"/>
      <c r="L62" s="681"/>
      <c r="M62" s="681"/>
      <c r="N62" s="681"/>
      <c r="O62" s="681"/>
      <c r="P62" s="681"/>
      <c r="Q62" s="681"/>
      <c r="R62" s="681"/>
      <c r="S62" s="681"/>
      <c r="T62" s="681"/>
      <c r="U62" s="681"/>
      <c r="V62" s="681"/>
      <c r="W62" s="681"/>
      <c r="X62" s="681"/>
      <c r="Y62" s="681"/>
      <c r="Z62" s="681"/>
      <c r="AA62" s="681"/>
      <c r="AB62" s="681"/>
      <c r="AC62" s="681"/>
      <c r="AD62" s="681"/>
      <c r="AE62" s="82">
        <f t="shared" si="0"/>
        <v>0</v>
      </c>
      <c r="AF62" s="65"/>
      <c r="AG62" s="65"/>
    </row>
    <row r="63" spans="1:33" ht="25.5" hidden="1">
      <c r="A63" s="86" t="s">
        <v>202</v>
      </c>
      <c r="B63" s="51"/>
      <c r="C63" s="677"/>
      <c r="D63" s="845">
        <v>0</v>
      </c>
      <c r="E63" s="678"/>
      <c r="F63" s="681"/>
      <c r="G63" s="681"/>
      <c r="H63" s="681"/>
      <c r="I63" s="856"/>
      <c r="J63" s="856"/>
      <c r="K63" s="681"/>
      <c r="L63" s="681"/>
      <c r="M63" s="681"/>
      <c r="N63" s="681"/>
      <c r="O63" s="681"/>
      <c r="P63" s="681"/>
      <c r="Q63" s="681"/>
      <c r="R63" s="681"/>
      <c r="S63" s="681"/>
      <c r="T63" s="681"/>
      <c r="U63" s="681"/>
      <c r="V63" s="681"/>
      <c r="W63" s="681"/>
      <c r="X63" s="681"/>
      <c r="Y63" s="681"/>
      <c r="Z63" s="681"/>
      <c r="AA63" s="681"/>
      <c r="AB63" s="681"/>
      <c r="AC63" s="681"/>
      <c r="AD63" s="681"/>
      <c r="AE63" s="82">
        <f t="shared" si="0"/>
        <v>0</v>
      </c>
      <c r="AF63" s="65"/>
      <c r="AG63" s="65"/>
    </row>
    <row r="64" spans="1:33" ht="25.5" hidden="1">
      <c r="A64" s="86" t="s">
        <v>203</v>
      </c>
      <c r="B64" s="51"/>
      <c r="C64" s="677"/>
      <c r="D64" s="845">
        <v>0</v>
      </c>
      <c r="E64" s="678"/>
      <c r="F64" s="681"/>
      <c r="G64" s="681"/>
      <c r="H64" s="681"/>
      <c r="I64" s="856"/>
      <c r="J64" s="856"/>
      <c r="K64" s="681"/>
      <c r="L64" s="681"/>
      <c r="M64" s="681"/>
      <c r="N64" s="681"/>
      <c r="O64" s="681"/>
      <c r="P64" s="681"/>
      <c r="Q64" s="681"/>
      <c r="R64" s="681"/>
      <c r="S64" s="681"/>
      <c r="T64" s="681"/>
      <c r="U64" s="681"/>
      <c r="V64" s="681"/>
      <c r="W64" s="681"/>
      <c r="X64" s="681"/>
      <c r="Y64" s="681"/>
      <c r="Z64" s="681"/>
      <c r="AA64" s="681"/>
      <c r="AB64" s="681"/>
      <c r="AC64" s="681"/>
      <c r="AD64" s="681"/>
      <c r="AE64" s="82">
        <f t="shared" si="0"/>
        <v>0</v>
      </c>
      <c r="AF64" s="65"/>
      <c r="AG64" s="65"/>
    </row>
    <row r="65" spans="1:33" ht="25.5" hidden="1">
      <c r="A65" s="86" t="s">
        <v>204</v>
      </c>
      <c r="B65" s="51"/>
      <c r="C65" s="677"/>
      <c r="D65" s="845">
        <v>0</v>
      </c>
      <c r="E65" s="678"/>
      <c r="F65" s="681"/>
      <c r="G65" s="681"/>
      <c r="H65" s="681"/>
      <c r="I65" s="856"/>
      <c r="J65" s="856"/>
      <c r="K65" s="681"/>
      <c r="L65" s="681"/>
      <c r="M65" s="681"/>
      <c r="N65" s="681"/>
      <c r="O65" s="681"/>
      <c r="P65" s="681"/>
      <c r="Q65" s="681"/>
      <c r="R65" s="681"/>
      <c r="S65" s="681"/>
      <c r="T65" s="681"/>
      <c r="U65" s="681"/>
      <c r="V65" s="681"/>
      <c r="W65" s="681"/>
      <c r="X65" s="681"/>
      <c r="Y65" s="681"/>
      <c r="Z65" s="681"/>
      <c r="AA65" s="681"/>
      <c r="AB65" s="681"/>
      <c r="AC65" s="681"/>
      <c r="AD65" s="681"/>
      <c r="AE65" s="82">
        <f t="shared" si="0"/>
        <v>0</v>
      </c>
      <c r="AF65" s="65"/>
      <c r="AG65" s="65"/>
    </row>
    <row r="66" spans="1:33" ht="25.5" hidden="1">
      <c r="A66" s="86" t="s">
        <v>205</v>
      </c>
      <c r="B66" s="51"/>
      <c r="C66" s="677"/>
      <c r="D66" s="845">
        <v>0</v>
      </c>
      <c r="E66" s="678"/>
      <c r="F66" s="681"/>
      <c r="G66" s="681"/>
      <c r="H66" s="681"/>
      <c r="I66" s="856"/>
      <c r="J66" s="856"/>
      <c r="K66" s="681"/>
      <c r="L66" s="681"/>
      <c r="M66" s="681"/>
      <c r="N66" s="681"/>
      <c r="O66" s="681"/>
      <c r="P66" s="681"/>
      <c r="Q66" s="681"/>
      <c r="R66" s="681"/>
      <c r="S66" s="681"/>
      <c r="T66" s="681"/>
      <c r="U66" s="681"/>
      <c r="V66" s="681"/>
      <c r="W66" s="681"/>
      <c r="X66" s="681"/>
      <c r="Y66" s="681"/>
      <c r="Z66" s="681"/>
      <c r="AA66" s="681"/>
      <c r="AB66" s="681"/>
      <c r="AC66" s="681"/>
      <c r="AD66" s="681"/>
      <c r="AE66" s="82">
        <f t="shared" si="0"/>
        <v>0</v>
      </c>
      <c r="AF66" s="65"/>
      <c r="AG66" s="65"/>
    </row>
    <row r="67" spans="1:33" ht="25.5" hidden="1">
      <c r="A67" s="85" t="s">
        <v>206</v>
      </c>
      <c r="B67" s="34"/>
      <c r="C67" s="35"/>
      <c r="D67" s="847"/>
      <c r="E67" s="36"/>
      <c r="F67" s="55"/>
      <c r="G67" s="55">
        <f>SUM(G68:G72)</f>
        <v>0</v>
      </c>
      <c r="H67" s="55">
        <f>SUM(H68:H72)</f>
        <v>0</v>
      </c>
      <c r="I67" s="857">
        <f t="shared" ref="I67" si="5">SUM(I68:I72)</f>
        <v>0</v>
      </c>
      <c r="J67" s="857">
        <f>SUM(J68:J72)</f>
        <v>0</v>
      </c>
      <c r="K67" s="55">
        <f>SUM(K68:K72)</f>
        <v>0</v>
      </c>
      <c r="L67" s="55">
        <f t="shared" ref="L67:AD67" si="6">SUM(L68:L72)</f>
        <v>0</v>
      </c>
      <c r="M67" s="55">
        <f t="shared" si="6"/>
        <v>0</v>
      </c>
      <c r="N67" s="55">
        <f t="shared" si="6"/>
        <v>0</v>
      </c>
      <c r="O67" s="55">
        <f t="shared" si="6"/>
        <v>0</v>
      </c>
      <c r="P67" s="55">
        <f t="shared" si="6"/>
        <v>0</v>
      </c>
      <c r="Q67" s="55">
        <f t="shared" si="6"/>
        <v>0</v>
      </c>
      <c r="R67" s="55">
        <f t="shared" si="6"/>
        <v>0</v>
      </c>
      <c r="S67" s="55">
        <f t="shared" si="6"/>
        <v>0</v>
      </c>
      <c r="T67" s="55">
        <f t="shared" si="6"/>
        <v>0</v>
      </c>
      <c r="U67" s="55">
        <f t="shared" si="6"/>
        <v>0</v>
      </c>
      <c r="V67" s="55">
        <f t="shared" si="6"/>
        <v>0</v>
      </c>
      <c r="W67" s="55">
        <f t="shared" si="6"/>
        <v>0</v>
      </c>
      <c r="X67" s="55">
        <f t="shared" si="6"/>
        <v>0</v>
      </c>
      <c r="Y67" s="55">
        <f t="shared" si="6"/>
        <v>0</v>
      </c>
      <c r="Z67" s="55">
        <f t="shared" si="6"/>
        <v>0</v>
      </c>
      <c r="AA67" s="55">
        <f t="shared" si="6"/>
        <v>0</v>
      </c>
      <c r="AB67" s="55">
        <f t="shared" si="6"/>
        <v>0</v>
      </c>
      <c r="AC67" s="55">
        <f t="shared" si="6"/>
        <v>0</v>
      </c>
      <c r="AD67" s="55">
        <f t="shared" si="6"/>
        <v>0</v>
      </c>
      <c r="AE67" s="82">
        <f t="shared" si="0"/>
        <v>0</v>
      </c>
      <c r="AF67" s="65"/>
      <c r="AG67" s="65"/>
    </row>
    <row r="68" spans="1:33" ht="25.5" hidden="1">
      <c r="A68" s="86" t="s">
        <v>207</v>
      </c>
      <c r="B68" s="51"/>
      <c r="C68" s="677"/>
      <c r="D68" s="845">
        <v>0</v>
      </c>
      <c r="E68" s="678"/>
      <c r="F68" s="681"/>
      <c r="G68" s="681"/>
      <c r="H68" s="681"/>
      <c r="I68" s="856"/>
      <c r="J68" s="856"/>
      <c r="K68" s="681"/>
      <c r="L68" s="681"/>
      <c r="M68" s="681"/>
      <c r="N68" s="681"/>
      <c r="O68" s="681"/>
      <c r="P68" s="681"/>
      <c r="Q68" s="681"/>
      <c r="R68" s="681"/>
      <c r="S68" s="681"/>
      <c r="T68" s="681"/>
      <c r="U68" s="681"/>
      <c r="V68" s="681"/>
      <c r="W68" s="681"/>
      <c r="X68" s="681"/>
      <c r="Y68" s="681"/>
      <c r="Z68" s="681"/>
      <c r="AA68" s="681"/>
      <c r="AB68" s="681"/>
      <c r="AC68" s="681"/>
      <c r="AD68" s="681"/>
      <c r="AE68" s="82">
        <f t="shared" si="0"/>
        <v>0</v>
      </c>
      <c r="AF68" s="65"/>
      <c r="AG68" s="65"/>
    </row>
    <row r="69" spans="1:33" ht="25.5" hidden="1">
      <c r="A69" s="86" t="s">
        <v>208</v>
      </c>
      <c r="B69" s="51"/>
      <c r="C69" s="677"/>
      <c r="D69" s="845">
        <v>0</v>
      </c>
      <c r="E69" s="678"/>
      <c r="F69" s="681"/>
      <c r="G69" s="681"/>
      <c r="H69" s="681"/>
      <c r="I69" s="856"/>
      <c r="J69" s="856"/>
      <c r="K69" s="681"/>
      <c r="L69" s="681"/>
      <c r="M69" s="681"/>
      <c r="N69" s="681"/>
      <c r="O69" s="681"/>
      <c r="P69" s="681"/>
      <c r="Q69" s="681"/>
      <c r="R69" s="681"/>
      <c r="S69" s="681"/>
      <c r="T69" s="681"/>
      <c r="U69" s="681"/>
      <c r="V69" s="681"/>
      <c r="W69" s="681"/>
      <c r="X69" s="681"/>
      <c r="Y69" s="681"/>
      <c r="Z69" s="681"/>
      <c r="AA69" s="681"/>
      <c r="AB69" s="681"/>
      <c r="AC69" s="681"/>
      <c r="AD69" s="681"/>
      <c r="AE69" s="82">
        <f t="shared" si="0"/>
        <v>0</v>
      </c>
      <c r="AF69" s="65"/>
      <c r="AG69" s="65"/>
    </row>
    <row r="70" spans="1:33" ht="25.5" hidden="1">
      <c r="A70" s="86" t="s">
        <v>209</v>
      </c>
      <c r="B70" s="51"/>
      <c r="C70" s="677"/>
      <c r="D70" s="845">
        <v>0</v>
      </c>
      <c r="E70" s="678"/>
      <c r="F70" s="681"/>
      <c r="G70" s="681"/>
      <c r="H70" s="681"/>
      <c r="I70" s="856"/>
      <c r="J70" s="856"/>
      <c r="K70" s="681"/>
      <c r="L70" s="681"/>
      <c r="M70" s="681"/>
      <c r="N70" s="681"/>
      <c r="O70" s="681"/>
      <c r="P70" s="681"/>
      <c r="Q70" s="681"/>
      <c r="R70" s="681"/>
      <c r="S70" s="681"/>
      <c r="T70" s="681"/>
      <c r="U70" s="681"/>
      <c r="V70" s="681"/>
      <c r="W70" s="681"/>
      <c r="X70" s="681"/>
      <c r="Y70" s="681"/>
      <c r="Z70" s="681"/>
      <c r="AA70" s="681"/>
      <c r="AB70" s="681"/>
      <c r="AC70" s="681"/>
      <c r="AD70" s="681"/>
      <c r="AE70" s="82">
        <f t="shared" si="0"/>
        <v>0</v>
      </c>
      <c r="AF70" s="65"/>
      <c r="AG70" s="65"/>
    </row>
    <row r="71" spans="1:33" ht="25.5" hidden="1">
      <c r="A71" s="86" t="s">
        <v>210</v>
      </c>
      <c r="B71" s="51"/>
      <c r="C71" s="677"/>
      <c r="D71" s="845">
        <v>0</v>
      </c>
      <c r="E71" s="678"/>
      <c r="F71" s="681"/>
      <c r="G71" s="681"/>
      <c r="H71" s="681"/>
      <c r="I71" s="856"/>
      <c r="J71" s="856"/>
      <c r="K71" s="681"/>
      <c r="L71" s="681"/>
      <c r="M71" s="681"/>
      <c r="N71" s="681"/>
      <c r="O71" s="681"/>
      <c r="P71" s="681"/>
      <c r="Q71" s="681"/>
      <c r="R71" s="681"/>
      <c r="S71" s="681"/>
      <c r="T71" s="681"/>
      <c r="U71" s="681"/>
      <c r="V71" s="681"/>
      <c r="W71" s="681"/>
      <c r="X71" s="681"/>
      <c r="Y71" s="681"/>
      <c r="Z71" s="681"/>
      <c r="AA71" s="681"/>
      <c r="AB71" s="681"/>
      <c r="AC71" s="681"/>
      <c r="AD71" s="681"/>
      <c r="AE71" s="82">
        <f t="shared" si="0"/>
        <v>0</v>
      </c>
      <c r="AF71" s="65"/>
      <c r="AG71" s="65"/>
    </row>
    <row r="72" spans="1:33" ht="25.5" hidden="1">
      <c r="A72" s="86" t="s">
        <v>211</v>
      </c>
      <c r="B72" s="51"/>
      <c r="C72" s="677"/>
      <c r="D72" s="845">
        <v>0</v>
      </c>
      <c r="E72" s="678"/>
      <c r="F72" s="681"/>
      <c r="G72" s="681"/>
      <c r="H72" s="681"/>
      <c r="I72" s="856"/>
      <c r="J72" s="856"/>
      <c r="K72" s="681"/>
      <c r="L72" s="681"/>
      <c r="M72" s="681"/>
      <c r="N72" s="681"/>
      <c r="O72" s="681"/>
      <c r="P72" s="681"/>
      <c r="Q72" s="681"/>
      <c r="R72" s="681"/>
      <c r="S72" s="681"/>
      <c r="T72" s="681"/>
      <c r="U72" s="681"/>
      <c r="V72" s="681"/>
      <c r="W72" s="681"/>
      <c r="X72" s="681"/>
      <c r="Y72" s="681"/>
      <c r="Z72" s="681"/>
      <c r="AA72" s="681"/>
      <c r="AB72" s="681"/>
      <c r="AC72" s="681"/>
      <c r="AD72" s="681"/>
      <c r="AE72" s="82">
        <f t="shared" si="0"/>
        <v>0</v>
      </c>
      <c r="AF72" s="65"/>
      <c r="AG72" s="65"/>
    </row>
    <row r="73" spans="1:33" ht="25.5" hidden="1">
      <c r="A73" s="85" t="s">
        <v>212</v>
      </c>
      <c r="B73" s="34"/>
      <c r="C73" s="35"/>
      <c r="D73" s="847"/>
      <c r="E73" s="36"/>
      <c r="F73" s="55"/>
      <c r="G73" s="55">
        <f>SUM(G74:G78)</f>
        <v>0</v>
      </c>
      <c r="H73" s="55">
        <f>SUM(H74:H78)</f>
        <v>0</v>
      </c>
      <c r="I73" s="857">
        <f t="shared" ref="I73" si="7">SUM(I74:I78)</f>
        <v>0</v>
      </c>
      <c r="J73" s="857">
        <f>SUM(J74:J78)</f>
        <v>0</v>
      </c>
      <c r="K73" s="55">
        <f>SUM(K74:K78)</f>
        <v>0</v>
      </c>
      <c r="L73" s="55">
        <f t="shared" ref="L73:AD73" si="8">SUM(L74:L78)</f>
        <v>0</v>
      </c>
      <c r="M73" s="55">
        <f t="shared" si="8"/>
        <v>0</v>
      </c>
      <c r="N73" s="55">
        <f t="shared" si="8"/>
        <v>0</v>
      </c>
      <c r="O73" s="55">
        <f t="shared" si="8"/>
        <v>0</v>
      </c>
      <c r="P73" s="55">
        <f t="shared" si="8"/>
        <v>0</v>
      </c>
      <c r="Q73" s="55">
        <f t="shared" si="8"/>
        <v>0</v>
      </c>
      <c r="R73" s="55">
        <f t="shared" si="8"/>
        <v>0</v>
      </c>
      <c r="S73" s="55">
        <f t="shared" si="8"/>
        <v>0</v>
      </c>
      <c r="T73" s="55">
        <f t="shared" si="8"/>
        <v>0</v>
      </c>
      <c r="U73" s="55">
        <f t="shared" si="8"/>
        <v>0</v>
      </c>
      <c r="V73" s="55">
        <f t="shared" si="8"/>
        <v>0</v>
      </c>
      <c r="W73" s="55">
        <f t="shared" si="8"/>
        <v>0</v>
      </c>
      <c r="X73" s="55">
        <f t="shared" si="8"/>
        <v>0</v>
      </c>
      <c r="Y73" s="55">
        <f t="shared" si="8"/>
        <v>0</v>
      </c>
      <c r="Z73" s="55">
        <f t="shared" si="8"/>
        <v>0</v>
      </c>
      <c r="AA73" s="55">
        <f t="shared" si="8"/>
        <v>0</v>
      </c>
      <c r="AB73" s="55">
        <f t="shared" si="8"/>
        <v>0</v>
      </c>
      <c r="AC73" s="55">
        <f t="shared" si="8"/>
        <v>0</v>
      </c>
      <c r="AD73" s="55">
        <f t="shared" si="8"/>
        <v>0</v>
      </c>
      <c r="AE73" s="82">
        <f t="shared" si="0"/>
        <v>0</v>
      </c>
      <c r="AF73" s="65"/>
      <c r="AG73" s="65"/>
    </row>
    <row r="74" spans="1:33" ht="25.5" hidden="1">
      <c r="A74" s="86" t="s">
        <v>213</v>
      </c>
      <c r="B74" s="51"/>
      <c r="C74" s="677"/>
      <c r="D74" s="845">
        <v>0</v>
      </c>
      <c r="E74" s="678"/>
      <c r="F74" s="681"/>
      <c r="G74" s="681"/>
      <c r="H74" s="681"/>
      <c r="I74" s="856"/>
      <c r="J74" s="856"/>
      <c r="K74" s="681"/>
      <c r="L74" s="681"/>
      <c r="M74" s="681"/>
      <c r="N74" s="681"/>
      <c r="O74" s="681"/>
      <c r="P74" s="681"/>
      <c r="Q74" s="681"/>
      <c r="R74" s="681"/>
      <c r="S74" s="681"/>
      <c r="T74" s="681"/>
      <c r="U74" s="681"/>
      <c r="V74" s="681"/>
      <c r="W74" s="681"/>
      <c r="X74" s="681"/>
      <c r="Y74" s="681"/>
      <c r="Z74" s="681"/>
      <c r="AA74" s="681"/>
      <c r="AB74" s="681"/>
      <c r="AC74" s="681"/>
      <c r="AD74" s="681"/>
      <c r="AE74" s="82">
        <f t="shared" si="0"/>
        <v>0</v>
      </c>
      <c r="AF74" s="65"/>
      <c r="AG74" s="65"/>
    </row>
    <row r="75" spans="1:33" ht="25.5" hidden="1">
      <c r="A75" s="86" t="s">
        <v>214</v>
      </c>
      <c r="B75" s="51"/>
      <c r="C75" s="677"/>
      <c r="D75" s="845">
        <v>0</v>
      </c>
      <c r="E75" s="678"/>
      <c r="F75" s="681"/>
      <c r="G75" s="681"/>
      <c r="H75" s="681"/>
      <c r="I75" s="856"/>
      <c r="J75" s="856"/>
      <c r="K75" s="681"/>
      <c r="L75" s="681"/>
      <c r="M75" s="681"/>
      <c r="N75" s="681"/>
      <c r="O75" s="681"/>
      <c r="P75" s="681"/>
      <c r="Q75" s="681"/>
      <c r="R75" s="681"/>
      <c r="S75" s="681"/>
      <c r="T75" s="681"/>
      <c r="U75" s="681"/>
      <c r="V75" s="681"/>
      <c r="W75" s="681"/>
      <c r="X75" s="681"/>
      <c r="Y75" s="681"/>
      <c r="Z75" s="681"/>
      <c r="AA75" s="681"/>
      <c r="AB75" s="681"/>
      <c r="AC75" s="681"/>
      <c r="AD75" s="681"/>
      <c r="AE75" s="82">
        <f t="shared" si="0"/>
        <v>0</v>
      </c>
      <c r="AF75" s="65"/>
      <c r="AG75" s="65"/>
    </row>
    <row r="76" spans="1:33" ht="25.5" hidden="1">
      <c r="A76" s="86" t="s">
        <v>215</v>
      </c>
      <c r="B76" s="51"/>
      <c r="C76" s="677"/>
      <c r="D76" s="845">
        <v>0</v>
      </c>
      <c r="E76" s="678"/>
      <c r="F76" s="681"/>
      <c r="G76" s="681"/>
      <c r="H76" s="681"/>
      <c r="I76" s="856"/>
      <c r="J76" s="856"/>
      <c r="K76" s="681"/>
      <c r="L76" s="681"/>
      <c r="M76" s="681"/>
      <c r="N76" s="681"/>
      <c r="O76" s="681"/>
      <c r="P76" s="681"/>
      <c r="Q76" s="681"/>
      <c r="R76" s="681"/>
      <c r="S76" s="681"/>
      <c r="T76" s="681"/>
      <c r="U76" s="681"/>
      <c r="V76" s="681"/>
      <c r="W76" s="681"/>
      <c r="X76" s="681"/>
      <c r="Y76" s="681"/>
      <c r="Z76" s="681"/>
      <c r="AA76" s="681"/>
      <c r="AB76" s="681"/>
      <c r="AC76" s="681"/>
      <c r="AD76" s="681"/>
      <c r="AE76" s="82">
        <f t="shared" si="0"/>
        <v>0</v>
      </c>
      <c r="AF76" s="65"/>
      <c r="AG76" s="65"/>
    </row>
    <row r="77" spans="1:33" ht="25.5" hidden="1">
      <c r="A77" s="86" t="s">
        <v>216</v>
      </c>
      <c r="B77" s="51"/>
      <c r="C77" s="677"/>
      <c r="D77" s="845">
        <v>0</v>
      </c>
      <c r="E77" s="678"/>
      <c r="F77" s="681"/>
      <c r="G77" s="681"/>
      <c r="H77" s="681"/>
      <c r="I77" s="856"/>
      <c r="J77" s="856"/>
      <c r="K77" s="681"/>
      <c r="L77" s="681"/>
      <c r="M77" s="681"/>
      <c r="N77" s="681"/>
      <c r="O77" s="681"/>
      <c r="P77" s="681"/>
      <c r="Q77" s="681"/>
      <c r="R77" s="681"/>
      <c r="S77" s="681"/>
      <c r="T77" s="681"/>
      <c r="U77" s="681"/>
      <c r="V77" s="681"/>
      <c r="W77" s="681"/>
      <c r="X77" s="681"/>
      <c r="Y77" s="681"/>
      <c r="Z77" s="681"/>
      <c r="AA77" s="681"/>
      <c r="AB77" s="681"/>
      <c r="AC77" s="681"/>
      <c r="AD77" s="681"/>
      <c r="AE77" s="82">
        <f t="shared" si="0"/>
        <v>0</v>
      </c>
      <c r="AF77" s="65"/>
      <c r="AG77" s="65"/>
    </row>
    <row r="78" spans="1:33" ht="25.5" hidden="1">
      <c r="A78" s="86" t="s">
        <v>217</v>
      </c>
      <c r="B78" s="51"/>
      <c r="C78" s="677"/>
      <c r="D78" s="845">
        <v>0</v>
      </c>
      <c r="E78" s="678"/>
      <c r="F78" s="681"/>
      <c r="G78" s="681"/>
      <c r="H78" s="681"/>
      <c r="I78" s="856"/>
      <c r="J78" s="856"/>
      <c r="K78" s="681"/>
      <c r="L78" s="681"/>
      <c r="M78" s="681"/>
      <c r="N78" s="681"/>
      <c r="O78" s="681"/>
      <c r="P78" s="681"/>
      <c r="Q78" s="681"/>
      <c r="R78" s="681"/>
      <c r="S78" s="681"/>
      <c r="T78" s="681"/>
      <c r="U78" s="681"/>
      <c r="V78" s="681"/>
      <c r="W78" s="681"/>
      <c r="X78" s="681"/>
      <c r="Y78" s="681"/>
      <c r="Z78" s="681"/>
      <c r="AA78" s="681"/>
      <c r="AB78" s="681"/>
      <c r="AC78" s="681"/>
      <c r="AD78" s="681"/>
      <c r="AE78" s="82">
        <f t="shared" si="0"/>
        <v>0</v>
      </c>
      <c r="AF78" s="65"/>
      <c r="AG78" s="65"/>
    </row>
    <row r="79" spans="1:33" ht="33" customHeight="1">
      <c r="A79" s="843"/>
      <c r="B79" s="848" t="str">
        <f>+B80</f>
        <v>Módulo de Certificación Ambiental Ventanilla Minera</v>
      </c>
      <c r="C79" s="38">
        <f>+'PRESUPUESTO OTRO SI '!G148</f>
        <v>0.33299592514729165</v>
      </c>
      <c r="D79" s="846">
        <v>0.03</v>
      </c>
      <c r="E79" s="39" t="s">
        <v>383</v>
      </c>
      <c r="F79" s="54"/>
      <c r="G79" s="54"/>
      <c r="H79" s="54"/>
      <c r="I79" s="461"/>
      <c r="J79" s="461">
        <v>0</v>
      </c>
      <c r="K79" s="54">
        <v>0</v>
      </c>
      <c r="L79" s="54">
        <f t="shared" ref="L79:AD79" si="9">L80+L86+L92+L98+L104</f>
        <v>0</v>
      </c>
      <c r="M79" s="54">
        <f t="shared" si="9"/>
        <v>0</v>
      </c>
      <c r="N79" s="54">
        <f t="shared" si="9"/>
        <v>0</v>
      </c>
      <c r="O79" s="54">
        <f t="shared" si="9"/>
        <v>0</v>
      </c>
      <c r="P79" s="54">
        <f t="shared" si="9"/>
        <v>0</v>
      </c>
      <c r="Q79" s="54">
        <f t="shared" si="9"/>
        <v>0</v>
      </c>
      <c r="R79" s="54">
        <f t="shared" si="9"/>
        <v>0</v>
      </c>
      <c r="S79" s="54">
        <f t="shared" si="9"/>
        <v>0</v>
      </c>
      <c r="T79" s="54">
        <f t="shared" si="9"/>
        <v>0</v>
      </c>
      <c r="U79" s="54">
        <f t="shared" si="9"/>
        <v>0</v>
      </c>
      <c r="V79" s="54">
        <f t="shared" si="9"/>
        <v>0</v>
      </c>
      <c r="W79" s="54">
        <f t="shared" si="9"/>
        <v>0</v>
      </c>
      <c r="X79" s="54">
        <f t="shared" si="9"/>
        <v>0</v>
      </c>
      <c r="Y79" s="54">
        <f t="shared" si="9"/>
        <v>0</v>
      </c>
      <c r="Z79" s="54">
        <f t="shared" si="9"/>
        <v>0</v>
      </c>
      <c r="AA79" s="54">
        <f t="shared" si="9"/>
        <v>0</v>
      </c>
      <c r="AB79" s="54">
        <f t="shared" si="9"/>
        <v>0</v>
      </c>
      <c r="AC79" s="54">
        <f t="shared" si="9"/>
        <v>0</v>
      </c>
      <c r="AD79" s="54">
        <f t="shared" si="9"/>
        <v>0</v>
      </c>
      <c r="AE79" s="82">
        <f t="shared" si="0"/>
        <v>0</v>
      </c>
      <c r="AF79" s="65"/>
      <c r="AG79" s="65"/>
    </row>
    <row r="80" spans="1:33" ht="24.75" customHeight="1">
      <c r="A80" s="85"/>
      <c r="B80" s="34" t="str">
        <f>+B81</f>
        <v>Módulo de Certificación Ambiental Ventanilla Minera</v>
      </c>
      <c r="C80" s="35">
        <v>1</v>
      </c>
      <c r="D80" s="847"/>
      <c r="E80" s="55" t="s">
        <v>383</v>
      </c>
      <c r="F80" s="55"/>
      <c r="G80" s="55"/>
      <c r="H80" s="55"/>
      <c r="I80" s="857"/>
      <c r="J80" s="857">
        <v>0</v>
      </c>
      <c r="K80" s="55">
        <v>0</v>
      </c>
      <c r="L80" s="55">
        <f t="shared" ref="L80" si="10">SUM(L81:L85)</f>
        <v>0</v>
      </c>
      <c r="M80" s="55">
        <f t="shared" ref="M80:AD80" si="11">SUM(M81:M85)</f>
        <v>0</v>
      </c>
      <c r="N80" s="55">
        <f t="shared" si="11"/>
        <v>0</v>
      </c>
      <c r="O80" s="55">
        <f t="shared" si="11"/>
        <v>0</v>
      </c>
      <c r="P80" s="55">
        <f t="shared" si="11"/>
        <v>0</v>
      </c>
      <c r="Q80" s="55">
        <f t="shared" si="11"/>
        <v>0</v>
      </c>
      <c r="R80" s="55">
        <f t="shared" si="11"/>
        <v>0</v>
      </c>
      <c r="S80" s="55">
        <f t="shared" si="11"/>
        <v>0</v>
      </c>
      <c r="T80" s="55">
        <f t="shared" si="11"/>
        <v>0</v>
      </c>
      <c r="U80" s="55">
        <f t="shared" si="11"/>
        <v>0</v>
      </c>
      <c r="V80" s="55">
        <f t="shared" si="11"/>
        <v>0</v>
      </c>
      <c r="W80" s="55">
        <f t="shared" si="11"/>
        <v>0</v>
      </c>
      <c r="X80" s="55">
        <f t="shared" si="11"/>
        <v>0</v>
      </c>
      <c r="Y80" s="55">
        <f t="shared" si="11"/>
        <v>0</v>
      </c>
      <c r="Z80" s="55">
        <f t="shared" si="11"/>
        <v>0</v>
      </c>
      <c r="AA80" s="55">
        <f t="shared" si="11"/>
        <v>0</v>
      </c>
      <c r="AB80" s="55">
        <f t="shared" si="11"/>
        <v>0</v>
      </c>
      <c r="AC80" s="55">
        <f t="shared" si="11"/>
        <v>0</v>
      </c>
      <c r="AD80" s="55">
        <f t="shared" si="11"/>
        <v>0</v>
      </c>
      <c r="AE80" s="82">
        <f t="shared" si="0"/>
        <v>0</v>
      </c>
      <c r="AF80" s="65"/>
      <c r="AG80" s="65"/>
    </row>
    <row r="81" spans="1:33" ht="30" customHeight="1">
      <c r="A81" s="86"/>
      <c r="B81" s="51" t="s">
        <v>384</v>
      </c>
      <c r="C81" s="677">
        <v>1</v>
      </c>
      <c r="D81" s="845">
        <v>0.3</v>
      </c>
      <c r="E81" s="681" t="s">
        <v>383</v>
      </c>
      <c r="F81" s="681">
        <v>1</v>
      </c>
      <c r="G81" s="681">
        <v>0</v>
      </c>
      <c r="H81" s="681">
        <v>0</v>
      </c>
      <c r="I81" s="856">
        <v>0.5</v>
      </c>
      <c r="J81" s="856">
        <v>0.5</v>
      </c>
      <c r="K81" s="681">
        <v>0</v>
      </c>
      <c r="L81" s="681"/>
      <c r="M81" s="681"/>
      <c r="N81" s="681"/>
      <c r="O81" s="681"/>
      <c r="P81" s="681"/>
      <c r="Q81" s="681"/>
      <c r="R81" s="681"/>
      <c r="S81" s="681"/>
      <c r="T81" s="681"/>
      <c r="U81" s="681"/>
      <c r="V81" s="681"/>
      <c r="W81" s="681"/>
      <c r="X81" s="681"/>
      <c r="Y81" s="681"/>
      <c r="Z81" s="681"/>
      <c r="AA81" s="681"/>
      <c r="AB81" s="681"/>
      <c r="AC81" s="681"/>
      <c r="AD81" s="681"/>
      <c r="AE81" s="82">
        <f t="shared" ref="AE81:AE144" si="12">F81-SUM(G81:AD81)</f>
        <v>0</v>
      </c>
      <c r="AF81" s="65"/>
      <c r="AG81" s="65"/>
    </row>
    <row r="82" spans="1:33" ht="25.5" hidden="1">
      <c r="A82" s="86" t="s">
        <v>223</v>
      </c>
      <c r="B82" s="51"/>
      <c r="C82" s="677"/>
      <c r="D82" s="845">
        <v>0</v>
      </c>
      <c r="E82" s="678"/>
      <c r="F82" s="681"/>
      <c r="G82" s="681"/>
      <c r="H82" s="681"/>
      <c r="I82" s="856"/>
      <c r="J82" s="856"/>
      <c r="K82" s="681"/>
      <c r="L82" s="681"/>
      <c r="M82" s="681"/>
      <c r="N82" s="681"/>
      <c r="O82" s="681"/>
      <c r="P82" s="681"/>
      <c r="Q82" s="681"/>
      <c r="R82" s="681"/>
      <c r="S82" s="681"/>
      <c r="T82" s="681"/>
      <c r="U82" s="681"/>
      <c r="V82" s="681"/>
      <c r="W82" s="681"/>
      <c r="X82" s="681"/>
      <c r="Y82" s="681"/>
      <c r="Z82" s="681"/>
      <c r="AA82" s="681"/>
      <c r="AB82" s="681"/>
      <c r="AC82" s="681"/>
      <c r="AD82" s="681"/>
      <c r="AE82" s="82">
        <f t="shared" si="12"/>
        <v>0</v>
      </c>
      <c r="AF82" s="65"/>
      <c r="AG82" s="65"/>
    </row>
    <row r="83" spans="1:33" ht="25.5" hidden="1">
      <c r="A83" s="86" t="s">
        <v>224</v>
      </c>
      <c r="B83" s="51"/>
      <c r="C83" s="677"/>
      <c r="D83" s="845">
        <v>0</v>
      </c>
      <c r="E83" s="678"/>
      <c r="F83" s="681"/>
      <c r="G83" s="681"/>
      <c r="H83" s="681"/>
      <c r="I83" s="856"/>
      <c r="J83" s="856"/>
      <c r="K83" s="681"/>
      <c r="L83" s="681"/>
      <c r="M83" s="681"/>
      <c r="N83" s="681"/>
      <c r="O83" s="681"/>
      <c r="P83" s="681"/>
      <c r="Q83" s="681"/>
      <c r="R83" s="681"/>
      <c r="S83" s="681"/>
      <c r="T83" s="681"/>
      <c r="U83" s="681"/>
      <c r="V83" s="681"/>
      <c r="W83" s="681"/>
      <c r="X83" s="681"/>
      <c r="Y83" s="681"/>
      <c r="Z83" s="681"/>
      <c r="AA83" s="681"/>
      <c r="AB83" s="681"/>
      <c r="AC83" s="681"/>
      <c r="AD83" s="681"/>
      <c r="AE83" s="82">
        <f t="shared" si="12"/>
        <v>0</v>
      </c>
      <c r="AF83" s="65"/>
      <c r="AG83" s="65"/>
    </row>
    <row r="84" spans="1:33" ht="25.5" hidden="1">
      <c r="A84" s="86" t="s">
        <v>225</v>
      </c>
      <c r="B84" s="51"/>
      <c r="C84" s="677"/>
      <c r="D84" s="845">
        <v>0</v>
      </c>
      <c r="E84" s="678"/>
      <c r="F84" s="681"/>
      <c r="G84" s="681"/>
      <c r="H84" s="681"/>
      <c r="I84" s="856"/>
      <c r="J84" s="856"/>
      <c r="K84" s="681"/>
      <c r="L84" s="681"/>
      <c r="M84" s="681"/>
      <c r="N84" s="681"/>
      <c r="O84" s="681"/>
      <c r="P84" s="681"/>
      <c r="Q84" s="681"/>
      <c r="R84" s="681"/>
      <c r="S84" s="681"/>
      <c r="T84" s="681"/>
      <c r="U84" s="681"/>
      <c r="V84" s="681"/>
      <c r="W84" s="681"/>
      <c r="X84" s="681"/>
      <c r="Y84" s="681"/>
      <c r="Z84" s="681"/>
      <c r="AA84" s="681"/>
      <c r="AB84" s="681"/>
      <c r="AC84" s="681"/>
      <c r="AD84" s="681"/>
      <c r="AE84" s="82">
        <f t="shared" si="12"/>
        <v>0</v>
      </c>
      <c r="AF84" s="65"/>
      <c r="AG84" s="65"/>
    </row>
    <row r="85" spans="1:33" ht="25.5" hidden="1">
      <c r="A85" s="86" t="s">
        <v>226</v>
      </c>
      <c r="B85" s="51"/>
      <c r="C85" s="677"/>
      <c r="D85" s="845">
        <v>0</v>
      </c>
      <c r="E85" s="678"/>
      <c r="F85" s="681"/>
      <c r="G85" s="681"/>
      <c r="H85" s="681"/>
      <c r="I85" s="856"/>
      <c r="J85" s="856"/>
      <c r="K85" s="681"/>
      <c r="L85" s="681"/>
      <c r="M85" s="681"/>
      <c r="N85" s="681"/>
      <c r="O85" s="681"/>
      <c r="P85" s="681"/>
      <c r="Q85" s="681"/>
      <c r="R85" s="681"/>
      <c r="S85" s="681"/>
      <c r="T85" s="681"/>
      <c r="U85" s="681"/>
      <c r="V85" s="681"/>
      <c r="W85" s="681"/>
      <c r="X85" s="681"/>
      <c r="Y85" s="681"/>
      <c r="Z85" s="681"/>
      <c r="AA85" s="681"/>
      <c r="AB85" s="681"/>
      <c r="AC85" s="681"/>
      <c r="AD85" s="681"/>
      <c r="AE85" s="82">
        <f t="shared" si="12"/>
        <v>0</v>
      </c>
      <c r="AF85" s="65"/>
      <c r="AG85" s="65"/>
    </row>
    <row r="86" spans="1:33" ht="25.5" hidden="1">
      <c r="A86" s="85" t="s">
        <v>227</v>
      </c>
      <c r="B86" s="34"/>
      <c r="C86" s="35"/>
      <c r="D86" s="847"/>
      <c r="E86" s="36"/>
      <c r="F86" s="55"/>
      <c r="G86" s="55">
        <f>SUM(G87:G91)</f>
        <v>0</v>
      </c>
      <c r="H86" s="55">
        <f t="shared" ref="H86" si="13">SUM(H87:H91)</f>
        <v>0</v>
      </c>
      <c r="I86" s="857">
        <f>SUM(I87:I91)</f>
        <v>0</v>
      </c>
      <c r="J86" s="857">
        <f t="shared" ref="J86:AD86" si="14">SUM(J87:J91)</f>
        <v>0</v>
      </c>
      <c r="K86" s="55">
        <f t="shared" si="14"/>
        <v>0</v>
      </c>
      <c r="L86" s="55">
        <f t="shared" si="14"/>
        <v>0</v>
      </c>
      <c r="M86" s="55">
        <f t="shared" si="14"/>
        <v>0</v>
      </c>
      <c r="N86" s="55">
        <f t="shared" si="14"/>
        <v>0</v>
      </c>
      <c r="O86" s="55">
        <f t="shared" si="14"/>
        <v>0</v>
      </c>
      <c r="P86" s="55">
        <f t="shared" si="14"/>
        <v>0</v>
      </c>
      <c r="Q86" s="55">
        <f t="shared" si="14"/>
        <v>0</v>
      </c>
      <c r="R86" s="55">
        <f t="shared" si="14"/>
        <v>0</v>
      </c>
      <c r="S86" s="55">
        <f t="shared" si="14"/>
        <v>0</v>
      </c>
      <c r="T86" s="55">
        <f t="shared" si="14"/>
        <v>0</v>
      </c>
      <c r="U86" s="55">
        <f t="shared" si="14"/>
        <v>0</v>
      </c>
      <c r="V86" s="55">
        <f t="shared" si="14"/>
        <v>0</v>
      </c>
      <c r="W86" s="55">
        <f t="shared" si="14"/>
        <v>0</v>
      </c>
      <c r="X86" s="55">
        <f t="shared" si="14"/>
        <v>0</v>
      </c>
      <c r="Y86" s="55">
        <f t="shared" si="14"/>
        <v>0</v>
      </c>
      <c r="Z86" s="55">
        <f t="shared" si="14"/>
        <v>0</v>
      </c>
      <c r="AA86" s="55">
        <f t="shared" si="14"/>
        <v>0</v>
      </c>
      <c r="AB86" s="55">
        <f t="shared" si="14"/>
        <v>0</v>
      </c>
      <c r="AC86" s="55">
        <f t="shared" si="14"/>
        <v>0</v>
      </c>
      <c r="AD86" s="55">
        <f t="shared" si="14"/>
        <v>0</v>
      </c>
      <c r="AE86" s="82">
        <f t="shared" si="12"/>
        <v>0</v>
      </c>
      <c r="AF86" s="65"/>
      <c r="AG86" s="65"/>
    </row>
    <row r="87" spans="1:33" ht="25.5" hidden="1">
      <c r="A87" s="86" t="s">
        <v>228</v>
      </c>
      <c r="B87" s="51"/>
      <c r="C87" s="677"/>
      <c r="D87" s="845">
        <v>0</v>
      </c>
      <c r="E87" s="678"/>
      <c r="F87" s="681"/>
      <c r="G87" s="681"/>
      <c r="H87" s="681"/>
      <c r="I87" s="856"/>
      <c r="J87" s="856"/>
      <c r="K87" s="681"/>
      <c r="L87" s="681"/>
      <c r="M87" s="681"/>
      <c r="N87" s="681"/>
      <c r="O87" s="681"/>
      <c r="P87" s="681"/>
      <c r="Q87" s="681"/>
      <c r="R87" s="681"/>
      <c r="S87" s="681"/>
      <c r="T87" s="681"/>
      <c r="U87" s="681"/>
      <c r="V87" s="681"/>
      <c r="W87" s="681"/>
      <c r="X87" s="681"/>
      <c r="Y87" s="681"/>
      <c r="Z87" s="681"/>
      <c r="AA87" s="681"/>
      <c r="AB87" s="681"/>
      <c r="AC87" s="681"/>
      <c r="AD87" s="681"/>
      <c r="AE87" s="82">
        <f t="shared" si="12"/>
        <v>0</v>
      </c>
      <c r="AF87" s="65"/>
      <c r="AG87" s="65"/>
    </row>
    <row r="88" spans="1:33" ht="25.5" hidden="1">
      <c r="A88" s="86" t="s">
        <v>229</v>
      </c>
      <c r="B88" s="51"/>
      <c r="C88" s="677"/>
      <c r="D88" s="845">
        <v>0</v>
      </c>
      <c r="E88" s="678"/>
      <c r="F88" s="681"/>
      <c r="G88" s="681"/>
      <c r="H88" s="681"/>
      <c r="I88" s="856"/>
      <c r="J88" s="856"/>
      <c r="K88" s="681"/>
      <c r="L88" s="681"/>
      <c r="M88" s="681"/>
      <c r="N88" s="681"/>
      <c r="O88" s="681"/>
      <c r="P88" s="681"/>
      <c r="Q88" s="681"/>
      <c r="R88" s="681"/>
      <c r="S88" s="681"/>
      <c r="T88" s="681"/>
      <c r="U88" s="681"/>
      <c r="V88" s="681"/>
      <c r="W88" s="681"/>
      <c r="X88" s="681"/>
      <c r="Y88" s="681"/>
      <c r="Z88" s="681"/>
      <c r="AA88" s="681"/>
      <c r="AB88" s="681"/>
      <c r="AC88" s="681"/>
      <c r="AD88" s="681"/>
      <c r="AE88" s="82">
        <f t="shared" si="12"/>
        <v>0</v>
      </c>
      <c r="AF88" s="65"/>
      <c r="AG88" s="65"/>
    </row>
    <row r="89" spans="1:33" ht="25.5" hidden="1">
      <c r="A89" s="86" t="s">
        <v>230</v>
      </c>
      <c r="B89" s="51"/>
      <c r="C89" s="677"/>
      <c r="D89" s="845">
        <v>0</v>
      </c>
      <c r="E89" s="678"/>
      <c r="F89" s="681"/>
      <c r="G89" s="681"/>
      <c r="H89" s="681"/>
      <c r="I89" s="856"/>
      <c r="J89" s="856"/>
      <c r="K89" s="681"/>
      <c r="L89" s="681"/>
      <c r="M89" s="681"/>
      <c r="N89" s="681"/>
      <c r="O89" s="681"/>
      <c r="P89" s="681"/>
      <c r="Q89" s="681"/>
      <c r="R89" s="681"/>
      <c r="S89" s="681"/>
      <c r="T89" s="681"/>
      <c r="U89" s="681"/>
      <c r="V89" s="681"/>
      <c r="W89" s="681"/>
      <c r="X89" s="681"/>
      <c r="Y89" s="681"/>
      <c r="Z89" s="681"/>
      <c r="AA89" s="681"/>
      <c r="AB89" s="681"/>
      <c r="AC89" s="681"/>
      <c r="AD89" s="681"/>
      <c r="AE89" s="82">
        <f t="shared" si="12"/>
        <v>0</v>
      </c>
      <c r="AF89" s="65"/>
      <c r="AG89" s="65"/>
    </row>
    <row r="90" spans="1:33" ht="25.5" hidden="1">
      <c r="A90" s="86" t="s">
        <v>231</v>
      </c>
      <c r="B90" s="51"/>
      <c r="C90" s="677"/>
      <c r="D90" s="845">
        <v>0</v>
      </c>
      <c r="E90" s="678"/>
      <c r="F90" s="681"/>
      <c r="G90" s="681"/>
      <c r="H90" s="681"/>
      <c r="I90" s="856"/>
      <c r="J90" s="856"/>
      <c r="K90" s="681"/>
      <c r="L90" s="681"/>
      <c r="M90" s="681"/>
      <c r="N90" s="681"/>
      <c r="O90" s="681"/>
      <c r="P90" s="681"/>
      <c r="Q90" s="681"/>
      <c r="R90" s="681"/>
      <c r="S90" s="681"/>
      <c r="T90" s="681"/>
      <c r="U90" s="681"/>
      <c r="V90" s="681"/>
      <c r="W90" s="681"/>
      <c r="X90" s="681"/>
      <c r="Y90" s="681"/>
      <c r="Z90" s="681"/>
      <c r="AA90" s="681"/>
      <c r="AB90" s="681"/>
      <c r="AC90" s="681"/>
      <c r="AD90" s="681"/>
      <c r="AE90" s="82">
        <f t="shared" si="12"/>
        <v>0</v>
      </c>
      <c r="AF90" s="65"/>
      <c r="AG90" s="65"/>
    </row>
    <row r="91" spans="1:33" ht="25.5" hidden="1">
      <c r="A91" s="86" t="s">
        <v>232</v>
      </c>
      <c r="B91" s="51"/>
      <c r="C91" s="677"/>
      <c r="D91" s="845">
        <v>0</v>
      </c>
      <c r="E91" s="678"/>
      <c r="F91" s="681"/>
      <c r="G91" s="681"/>
      <c r="H91" s="681"/>
      <c r="I91" s="856"/>
      <c r="J91" s="856"/>
      <c r="K91" s="681"/>
      <c r="L91" s="681"/>
      <c r="M91" s="681"/>
      <c r="N91" s="681"/>
      <c r="O91" s="681"/>
      <c r="P91" s="681"/>
      <c r="Q91" s="681"/>
      <c r="R91" s="681"/>
      <c r="S91" s="681"/>
      <c r="T91" s="681"/>
      <c r="U91" s="681"/>
      <c r="V91" s="681"/>
      <c r="W91" s="681"/>
      <c r="X91" s="681"/>
      <c r="Y91" s="681"/>
      <c r="Z91" s="681"/>
      <c r="AA91" s="681"/>
      <c r="AB91" s="681"/>
      <c r="AC91" s="681"/>
      <c r="AD91" s="681"/>
      <c r="AE91" s="82">
        <f t="shared" si="12"/>
        <v>0</v>
      </c>
      <c r="AF91" s="65"/>
      <c r="AG91" s="65"/>
    </row>
    <row r="92" spans="1:33" ht="25.5" hidden="1">
      <c r="A92" s="85" t="s">
        <v>233</v>
      </c>
      <c r="B92" s="34"/>
      <c r="C92" s="35"/>
      <c r="D92" s="847"/>
      <c r="E92" s="36"/>
      <c r="F92" s="55"/>
      <c r="G92" s="55">
        <f>SUM(G93:G97)</f>
        <v>0</v>
      </c>
      <c r="H92" s="55">
        <f>SUM(H93:H97)</f>
        <v>0</v>
      </c>
      <c r="I92" s="857">
        <f>SUM(I93:I97)</f>
        <v>0</v>
      </c>
      <c r="J92" s="857">
        <f>SUM(J93:J97)</f>
        <v>0</v>
      </c>
      <c r="K92" s="55">
        <f t="shared" ref="K92:AD92" si="15">SUM(K93:K97)</f>
        <v>0</v>
      </c>
      <c r="L92" s="55">
        <f t="shared" si="15"/>
        <v>0</v>
      </c>
      <c r="M92" s="55">
        <f t="shared" si="15"/>
        <v>0</v>
      </c>
      <c r="N92" s="55">
        <f t="shared" si="15"/>
        <v>0</v>
      </c>
      <c r="O92" s="55">
        <f t="shared" si="15"/>
        <v>0</v>
      </c>
      <c r="P92" s="55">
        <f t="shared" si="15"/>
        <v>0</v>
      </c>
      <c r="Q92" s="55">
        <f t="shared" si="15"/>
        <v>0</v>
      </c>
      <c r="R92" s="55">
        <f t="shared" si="15"/>
        <v>0</v>
      </c>
      <c r="S92" s="55">
        <f t="shared" si="15"/>
        <v>0</v>
      </c>
      <c r="T92" s="55">
        <f t="shared" si="15"/>
        <v>0</v>
      </c>
      <c r="U92" s="55">
        <f t="shared" si="15"/>
        <v>0</v>
      </c>
      <c r="V92" s="55">
        <f t="shared" si="15"/>
        <v>0</v>
      </c>
      <c r="W92" s="55">
        <f t="shared" si="15"/>
        <v>0</v>
      </c>
      <c r="X92" s="55">
        <f t="shared" si="15"/>
        <v>0</v>
      </c>
      <c r="Y92" s="55">
        <f t="shared" si="15"/>
        <v>0</v>
      </c>
      <c r="Z92" s="55">
        <f t="shared" si="15"/>
        <v>0</v>
      </c>
      <c r="AA92" s="55">
        <f t="shared" si="15"/>
        <v>0</v>
      </c>
      <c r="AB92" s="55">
        <f t="shared" si="15"/>
        <v>0</v>
      </c>
      <c r="AC92" s="55">
        <f t="shared" si="15"/>
        <v>0</v>
      </c>
      <c r="AD92" s="55">
        <f t="shared" si="15"/>
        <v>0</v>
      </c>
      <c r="AE92" s="82">
        <f t="shared" si="12"/>
        <v>0</v>
      </c>
      <c r="AF92" s="65"/>
      <c r="AG92" s="65"/>
    </row>
    <row r="93" spans="1:33" ht="25.5" hidden="1">
      <c r="A93" s="86" t="s">
        <v>234</v>
      </c>
      <c r="B93" s="51"/>
      <c r="C93" s="677"/>
      <c r="D93" s="845">
        <v>0</v>
      </c>
      <c r="E93" s="678"/>
      <c r="F93" s="681"/>
      <c r="G93" s="681"/>
      <c r="H93" s="681"/>
      <c r="I93" s="856"/>
      <c r="J93" s="856"/>
      <c r="K93" s="681"/>
      <c r="L93" s="681"/>
      <c r="M93" s="681"/>
      <c r="N93" s="681"/>
      <c r="O93" s="681"/>
      <c r="P93" s="681"/>
      <c r="Q93" s="681"/>
      <c r="R93" s="681"/>
      <c r="S93" s="681"/>
      <c r="T93" s="681"/>
      <c r="U93" s="681"/>
      <c r="V93" s="681"/>
      <c r="W93" s="681"/>
      <c r="X93" s="681"/>
      <c r="Y93" s="681"/>
      <c r="Z93" s="681"/>
      <c r="AA93" s="681"/>
      <c r="AB93" s="681"/>
      <c r="AC93" s="681"/>
      <c r="AD93" s="681"/>
      <c r="AE93" s="82">
        <f t="shared" si="12"/>
        <v>0</v>
      </c>
      <c r="AF93" s="65"/>
      <c r="AG93" s="65"/>
    </row>
    <row r="94" spans="1:33" ht="25.5" hidden="1">
      <c r="A94" s="86" t="s">
        <v>235</v>
      </c>
      <c r="B94" s="51"/>
      <c r="C94" s="677"/>
      <c r="D94" s="845">
        <v>0</v>
      </c>
      <c r="E94" s="678"/>
      <c r="F94" s="681"/>
      <c r="G94" s="681"/>
      <c r="H94" s="681"/>
      <c r="I94" s="856"/>
      <c r="J94" s="856"/>
      <c r="K94" s="681"/>
      <c r="L94" s="681"/>
      <c r="M94" s="681"/>
      <c r="N94" s="681"/>
      <c r="O94" s="681"/>
      <c r="P94" s="681"/>
      <c r="Q94" s="681"/>
      <c r="R94" s="681"/>
      <c r="S94" s="681"/>
      <c r="T94" s="681"/>
      <c r="U94" s="681"/>
      <c r="V94" s="681"/>
      <c r="W94" s="681"/>
      <c r="X94" s="681"/>
      <c r="Y94" s="681"/>
      <c r="Z94" s="681"/>
      <c r="AA94" s="681"/>
      <c r="AB94" s="681"/>
      <c r="AC94" s="681"/>
      <c r="AD94" s="681"/>
      <c r="AE94" s="82">
        <f t="shared" si="12"/>
        <v>0</v>
      </c>
      <c r="AF94" s="65"/>
      <c r="AG94" s="65"/>
    </row>
    <row r="95" spans="1:33" ht="25.5" hidden="1">
      <c r="A95" s="86" t="s">
        <v>236</v>
      </c>
      <c r="B95" s="51"/>
      <c r="C95" s="677"/>
      <c r="D95" s="845">
        <v>0</v>
      </c>
      <c r="E95" s="678"/>
      <c r="F95" s="681"/>
      <c r="G95" s="681"/>
      <c r="H95" s="681"/>
      <c r="I95" s="856"/>
      <c r="J95" s="856"/>
      <c r="K95" s="681"/>
      <c r="L95" s="681"/>
      <c r="M95" s="681"/>
      <c r="N95" s="681"/>
      <c r="O95" s="681"/>
      <c r="P95" s="681"/>
      <c r="Q95" s="681"/>
      <c r="R95" s="681"/>
      <c r="S95" s="681"/>
      <c r="T95" s="681"/>
      <c r="U95" s="681"/>
      <c r="V95" s="681"/>
      <c r="W95" s="681"/>
      <c r="X95" s="681"/>
      <c r="Y95" s="681"/>
      <c r="Z95" s="681"/>
      <c r="AA95" s="681"/>
      <c r="AB95" s="681"/>
      <c r="AC95" s="681"/>
      <c r="AD95" s="681"/>
      <c r="AE95" s="82">
        <f t="shared" si="12"/>
        <v>0</v>
      </c>
      <c r="AF95" s="65"/>
      <c r="AG95" s="65"/>
    </row>
    <row r="96" spans="1:33" ht="25.5" hidden="1">
      <c r="A96" s="86" t="s">
        <v>237</v>
      </c>
      <c r="B96" s="51"/>
      <c r="C96" s="677"/>
      <c r="D96" s="845">
        <v>0</v>
      </c>
      <c r="E96" s="678"/>
      <c r="F96" s="681"/>
      <c r="G96" s="681"/>
      <c r="H96" s="681"/>
      <c r="I96" s="856"/>
      <c r="J96" s="856"/>
      <c r="K96" s="681"/>
      <c r="L96" s="681"/>
      <c r="M96" s="681"/>
      <c r="N96" s="681"/>
      <c r="O96" s="681"/>
      <c r="P96" s="681"/>
      <c r="Q96" s="681"/>
      <c r="R96" s="681"/>
      <c r="S96" s="681"/>
      <c r="T96" s="681"/>
      <c r="U96" s="681"/>
      <c r="V96" s="681"/>
      <c r="W96" s="681"/>
      <c r="X96" s="681"/>
      <c r="Y96" s="681"/>
      <c r="Z96" s="681"/>
      <c r="AA96" s="681"/>
      <c r="AB96" s="681"/>
      <c r="AC96" s="681"/>
      <c r="AD96" s="681"/>
      <c r="AE96" s="82">
        <f t="shared" si="12"/>
        <v>0</v>
      </c>
      <c r="AF96" s="65"/>
      <c r="AG96" s="65"/>
    </row>
    <row r="97" spans="1:33" ht="25.5" hidden="1">
      <c r="A97" s="86" t="s">
        <v>238</v>
      </c>
      <c r="B97" s="51"/>
      <c r="C97" s="677"/>
      <c r="D97" s="845">
        <v>0</v>
      </c>
      <c r="E97" s="678"/>
      <c r="F97" s="681"/>
      <c r="G97" s="681"/>
      <c r="H97" s="681"/>
      <c r="I97" s="856"/>
      <c r="J97" s="856"/>
      <c r="K97" s="681"/>
      <c r="L97" s="681"/>
      <c r="M97" s="681"/>
      <c r="N97" s="681"/>
      <c r="O97" s="681"/>
      <c r="P97" s="681"/>
      <c r="Q97" s="681"/>
      <c r="R97" s="681"/>
      <c r="S97" s="681"/>
      <c r="T97" s="681"/>
      <c r="U97" s="681"/>
      <c r="V97" s="681"/>
      <c r="W97" s="681"/>
      <c r="X97" s="681"/>
      <c r="Y97" s="681"/>
      <c r="Z97" s="681"/>
      <c r="AA97" s="681"/>
      <c r="AB97" s="681"/>
      <c r="AC97" s="681"/>
      <c r="AD97" s="681"/>
      <c r="AE97" s="82">
        <f t="shared" si="12"/>
        <v>0</v>
      </c>
      <c r="AF97" s="65"/>
      <c r="AG97" s="65"/>
    </row>
    <row r="98" spans="1:33" ht="25.5" hidden="1">
      <c r="A98" s="85" t="s">
        <v>239</v>
      </c>
      <c r="B98" s="34"/>
      <c r="C98" s="35"/>
      <c r="D98" s="847"/>
      <c r="E98" s="36"/>
      <c r="F98" s="55"/>
      <c r="G98" s="55">
        <f>SUM(G99:G103)</f>
        <v>0</v>
      </c>
      <c r="H98" s="55">
        <f>SUM(H99:H103)</f>
        <v>0</v>
      </c>
      <c r="I98" s="857">
        <f>SUM(I99:I103)</f>
        <v>0</v>
      </c>
      <c r="J98" s="857">
        <f>SUM(J99:J103)</f>
        <v>0</v>
      </c>
      <c r="K98" s="55">
        <f t="shared" ref="K98:AD98" si="16">SUM(K99:K103)</f>
        <v>0</v>
      </c>
      <c r="L98" s="55">
        <f t="shared" si="16"/>
        <v>0</v>
      </c>
      <c r="M98" s="55">
        <f t="shared" si="16"/>
        <v>0</v>
      </c>
      <c r="N98" s="55">
        <f t="shared" si="16"/>
        <v>0</v>
      </c>
      <c r="O98" s="55">
        <f t="shared" si="16"/>
        <v>0</v>
      </c>
      <c r="P98" s="55">
        <f t="shared" si="16"/>
        <v>0</v>
      </c>
      <c r="Q98" s="55">
        <f t="shared" si="16"/>
        <v>0</v>
      </c>
      <c r="R98" s="55">
        <f t="shared" si="16"/>
        <v>0</v>
      </c>
      <c r="S98" s="55">
        <f t="shared" si="16"/>
        <v>0</v>
      </c>
      <c r="T98" s="55">
        <f t="shared" si="16"/>
        <v>0</v>
      </c>
      <c r="U98" s="55">
        <f t="shared" si="16"/>
        <v>0</v>
      </c>
      <c r="V98" s="55">
        <f t="shared" si="16"/>
        <v>0</v>
      </c>
      <c r="W98" s="55">
        <f t="shared" si="16"/>
        <v>0</v>
      </c>
      <c r="X98" s="55">
        <f t="shared" si="16"/>
        <v>0</v>
      </c>
      <c r="Y98" s="55">
        <f t="shared" si="16"/>
        <v>0</v>
      </c>
      <c r="Z98" s="55">
        <f t="shared" si="16"/>
        <v>0</v>
      </c>
      <c r="AA98" s="55">
        <f t="shared" si="16"/>
        <v>0</v>
      </c>
      <c r="AB98" s="55">
        <f t="shared" si="16"/>
        <v>0</v>
      </c>
      <c r="AC98" s="55">
        <f t="shared" si="16"/>
        <v>0</v>
      </c>
      <c r="AD98" s="55">
        <f t="shared" si="16"/>
        <v>0</v>
      </c>
      <c r="AE98" s="82">
        <f t="shared" si="12"/>
        <v>0</v>
      </c>
      <c r="AF98" s="65"/>
      <c r="AG98" s="65"/>
    </row>
    <row r="99" spans="1:33" ht="25.5" hidden="1">
      <c r="A99" s="86" t="s">
        <v>240</v>
      </c>
      <c r="B99" s="51"/>
      <c r="C99" s="677"/>
      <c r="D99" s="845">
        <v>0</v>
      </c>
      <c r="E99" s="678"/>
      <c r="F99" s="681"/>
      <c r="G99" s="681"/>
      <c r="H99" s="681"/>
      <c r="I99" s="856"/>
      <c r="J99" s="856"/>
      <c r="K99" s="681"/>
      <c r="L99" s="681"/>
      <c r="M99" s="681"/>
      <c r="N99" s="681"/>
      <c r="O99" s="681"/>
      <c r="P99" s="681"/>
      <c r="Q99" s="681"/>
      <c r="R99" s="681"/>
      <c r="S99" s="681"/>
      <c r="T99" s="681"/>
      <c r="U99" s="681"/>
      <c r="V99" s="681"/>
      <c r="W99" s="681"/>
      <c r="X99" s="681"/>
      <c r="Y99" s="681"/>
      <c r="Z99" s="681"/>
      <c r="AA99" s="681"/>
      <c r="AB99" s="681"/>
      <c r="AC99" s="681"/>
      <c r="AD99" s="681"/>
      <c r="AE99" s="82">
        <f t="shared" si="12"/>
        <v>0</v>
      </c>
      <c r="AF99" s="65"/>
      <c r="AG99" s="65"/>
    </row>
    <row r="100" spans="1:33" ht="25.5" hidden="1">
      <c r="A100" s="86" t="s">
        <v>241</v>
      </c>
      <c r="B100" s="51"/>
      <c r="C100" s="677"/>
      <c r="D100" s="845">
        <v>0</v>
      </c>
      <c r="E100" s="678"/>
      <c r="F100" s="681"/>
      <c r="G100" s="681"/>
      <c r="H100" s="681"/>
      <c r="I100" s="856"/>
      <c r="J100" s="856"/>
      <c r="K100" s="681"/>
      <c r="L100" s="681"/>
      <c r="M100" s="681"/>
      <c r="N100" s="681"/>
      <c r="O100" s="681"/>
      <c r="P100" s="681"/>
      <c r="Q100" s="681"/>
      <c r="R100" s="681"/>
      <c r="S100" s="681"/>
      <c r="T100" s="681"/>
      <c r="U100" s="681"/>
      <c r="V100" s="681"/>
      <c r="W100" s="681"/>
      <c r="X100" s="681"/>
      <c r="Y100" s="681"/>
      <c r="Z100" s="681"/>
      <c r="AA100" s="681"/>
      <c r="AB100" s="681"/>
      <c r="AC100" s="681"/>
      <c r="AD100" s="681"/>
      <c r="AE100" s="82">
        <f t="shared" si="12"/>
        <v>0</v>
      </c>
      <c r="AF100" s="65"/>
      <c r="AG100" s="65"/>
    </row>
    <row r="101" spans="1:33" ht="25.5" hidden="1">
      <c r="A101" s="86" t="s">
        <v>242</v>
      </c>
      <c r="B101" s="51"/>
      <c r="C101" s="677"/>
      <c r="D101" s="845">
        <v>0</v>
      </c>
      <c r="E101" s="678"/>
      <c r="F101" s="681"/>
      <c r="G101" s="681"/>
      <c r="H101" s="681"/>
      <c r="I101" s="856"/>
      <c r="J101" s="856"/>
      <c r="K101" s="681"/>
      <c r="L101" s="681"/>
      <c r="M101" s="681"/>
      <c r="N101" s="681"/>
      <c r="O101" s="681"/>
      <c r="P101" s="681"/>
      <c r="Q101" s="681"/>
      <c r="R101" s="681"/>
      <c r="S101" s="681"/>
      <c r="T101" s="681"/>
      <c r="U101" s="681"/>
      <c r="V101" s="681"/>
      <c r="W101" s="681"/>
      <c r="X101" s="681"/>
      <c r="Y101" s="681"/>
      <c r="Z101" s="681"/>
      <c r="AA101" s="681"/>
      <c r="AB101" s="681"/>
      <c r="AC101" s="681"/>
      <c r="AD101" s="681"/>
      <c r="AE101" s="82">
        <f t="shared" si="12"/>
        <v>0</v>
      </c>
      <c r="AF101" s="65"/>
      <c r="AG101" s="65"/>
    </row>
    <row r="102" spans="1:33" ht="25.5" hidden="1">
      <c r="A102" s="86" t="s">
        <v>243</v>
      </c>
      <c r="B102" s="51"/>
      <c r="C102" s="677"/>
      <c r="D102" s="845">
        <v>0</v>
      </c>
      <c r="E102" s="678"/>
      <c r="F102" s="681"/>
      <c r="G102" s="681"/>
      <c r="H102" s="681"/>
      <c r="I102" s="856"/>
      <c r="J102" s="856"/>
      <c r="K102" s="681"/>
      <c r="L102" s="681"/>
      <c r="M102" s="681"/>
      <c r="N102" s="681"/>
      <c r="O102" s="681"/>
      <c r="P102" s="681"/>
      <c r="Q102" s="681"/>
      <c r="R102" s="681"/>
      <c r="S102" s="681"/>
      <c r="T102" s="681"/>
      <c r="U102" s="681"/>
      <c r="V102" s="681"/>
      <c r="W102" s="681"/>
      <c r="X102" s="681"/>
      <c r="Y102" s="681"/>
      <c r="Z102" s="681"/>
      <c r="AA102" s="681"/>
      <c r="AB102" s="681"/>
      <c r="AC102" s="681"/>
      <c r="AD102" s="681"/>
      <c r="AE102" s="82">
        <f t="shared" si="12"/>
        <v>0</v>
      </c>
      <c r="AF102" s="65"/>
      <c r="AG102" s="65"/>
    </row>
    <row r="103" spans="1:33" ht="25.5" hidden="1">
      <c r="A103" s="86" t="s">
        <v>244</v>
      </c>
      <c r="B103" s="51"/>
      <c r="C103" s="677"/>
      <c r="D103" s="845">
        <v>0</v>
      </c>
      <c r="E103" s="678"/>
      <c r="F103" s="681"/>
      <c r="G103" s="681"/>
      <c r="H103" s="681"/>
      <c r="I103" s="856"/>
      <c r="J103" s="856"/>
      <c r="K103" s="681"/>
      <c r="L103" s="681"/>
      <c r="M103" s="681"/>
      <c r="N103" s="681"/>
      <c r="O103" s="681"/>
      <c r="P103" s="681"/>
      <c r="Q103" s="681"/>
      <c r="R103" s="681"/>
      <c r="S103" s="681"/>
      <c r="T103" s="681"/>
      <c r="U103" s="681"/>
      <c r="V103" s="681"/>
      <c r="W103" s="681"/>
      <c r="X103" s="681"/>
      <c r="Y103" s="681"/>
      <c r="Z103" s="681"/>
      <c r="AA103" s="681"/>
      <c r="AB103" s="681"/>
      <c r="AC103" s="681"/>
      <c r="AD103" s="681"/>
      <c r="AE103" s="82">
        <f t="shared" si="12"/>
        <v>0</v>
      </c>
      <c r="AF103" s="65"/>
      <c r="AG103" s="65"/>
    </row>
    <row r="104" spans="1:33" ht="25.5" hidden="1">
      <c r="A104" s="85" t="s">
        <v>245</v>
      </c>
      <c r="B104" s="34"/>
      <c r="C104" s="35"/>
      <c r="D104" s="847"/>
      <c r="E104" s="36"/>
      <c r="F104" s="55"/>
      <c r="G104" s="55">
        <f>SUM(G105:G109)</f>
        <v>0</v>
      </c>
      <c r="H104" s="55">
        <f>SUM(H105:H109)</f>
        <v>0</v>
      </c>
      <c r="I104" s="857">
        <f>SUM(I105:I109)</f>
        <v>0</v>
      </c>
      <c r="J104" s="857">
        <f>SUM(J105:J109)</f>
        <v>0</v>
      </c>
      <c r="K104" s="55">
        <f>SUM(K105:K109)</f>
        <v>0</v>
      </c>
      <c r="L104" s="55">
        <f t="shared" ref="L104:AD104" si="17">SUM(L105:L109)</f>
        <v>0</v>
      </c>
      <c r="M104" s="55">
        <f t="shared" si="17"/>
        <v>0</v>
      </c>
      <c r="N104" s="55">
        <f t="shared" si="17"/>
        <v>0</v>
      </c>
      <c r="O104" s="55">
        <f t="shared" si="17"/>
        <v>0</v>
      </c>
      <c r="P104" s="55">
        <f t="shared" si="17"/>
        <v>0</v>
      </c>
      <c r="Q104" s="55">
        <f t="shared" si="17"/>
        <v>0</v>
      </c>
      <c r="R104" s="55">
        <f t="shared" si="17"/>
        <v>0</v>
      </c>
      <c r="S104" s="55">
        <f t="shared" si="17"/>
        <v>0</v>
      </c>
      <c r="T104" s="55">
        <f t="shared" si="17"/>
        <v>0</v>
      </c>
      <c r="U104" s="55">
        <f t="shared" si="17"/>
        <v>0</v>
      </c>
      <c r="V104" s="55">
        <f t="shared" si="17"/>
        <v>0</v>
      </c>
      <c r="W104" s="55">
        <f t="shared" si="17"/>
        <v>0</v>
      </c>
      <c r="X104" s="55">
        <f t="shared" si="17"/>
        <v>0</v>
      </c>
      <c r="Y104" s="55">
        <f t="shared" si="17"/>
        <v>0</v>
      </c>
      <c r="Z104" s="55">
        <f t="shared" si="17"/>
        <v>0</v>
      </c>
      <c r="AA104" s="55">
        <f t="shared" si="17"/>
        <v>0</v>
      </c>
      <c r="AB104" s="55">
        <f t="shared" si="17"/>
        <v>0</v>
      </c>
      <c r="AC104" s="55">
        <f t="shared" si="17"/>
        <v>0</v>
      </c>
      <c r="AD104" s="55">
        <f t="shared" si="17"/>
        <v>0</v>
      </c>
      <c r="AE104" s="82">
        <f t="shared" si="12"/>
        <v>0</v>
      </c>
      <c r="AF104" s="65"/>
      <c r="AG104" s="65"/>
    </row>
    <row r="105" spans="1:33" ht="25.5" hidden="1">
      <c r="A105" s="86" t="s">
        <v>246</v>
      </c>
      <c r="B105" s="51"/>
      <c r="C105" s="677"/>
      <c r="D105" s="845">
        <v>0</v>
      </c>
      <c r="E105" s="678"/>
      <c r="F105" s="681"/>
      <c r="G105" s="681"/>
      <c r="H105" s="681"/>
      <c r="I105" s="856"/>
      <c r="J105" s="856"/>
      <c r="K105" s="681"/>
      <c r="L105" s="681"/>
      <c r="M105" s="681"/>
      <c r="N105" s="681"/>
      <c r="O105" s="681"/>
      <c r="P105" s="681"/>
      <c r="Q105" s="681"/>
      <c r="R105" s="681"/>
      <c r="S105" s="681"/>
      <c r="T105" s="681"/>
      <c r="U105" s="681"/>
      <c r="V105" s="681"/>
      <c r="W105" s="681"/>
      <c r="X105" s="681"/>
      <c r="Y105" s="681"/>
      <c r="Z105" s="681"/>
      <c r="AA105" s="681"/>
      <c r="AB105" s="681"/>
      <c r="AC105" s="681"/>
      <c r="AD105" s="681"/>
      <c r="AE105" s="82">
        <f t="shared" si="12"/>
        <v>0</v>
      </c>
      <c r="AF105" s="65"/>
      <c r="AG105" s="65"/>
    </row>
    <row r="106" spans="1:33" ht="25.5" hidden="1">
      <c r="A106" s="86" t="s">
        <v>247</v>
      </c>
      <c r="B106" s="51"/>
      <c r="C106" s="677"/>
      <c r="D106" s="845">
        <v>0</v>
      </c>
      <c r="E106" s="678"/>
      <c r="F106" s="681"/>
      <c r="G106" s="681"/>
      <c r="H106" s="681"/>
      <c r="I106" s="856"/>
      <c r="J106" s="856"/>
      <c r="K106" s="681"/>
      <c r="L106" s="681"/>
      <c r="M106" s="681"/>
      <c r="N106" s="681"/>
      <c r="O106" s="681"/>
      <c r="P106" s="681"/>
      <c r="Q106" s="681"/>
      <c r="R106" s="681"/>
      <c r="S106" s="681"/>
      <c r="T106" s="681"/>
      <c r="U106" s="681"/>
      <c r="V106" s="681"/>
      <c r="W106" s="681"/>
      <c r="X106" s="681"/>
      <c r="Y106" s="681"/>
      <c r="Z106" s="681"/>
      <c r="AA106" s="681"/>
      <c r="AB106" s="681"/>
      <c r="AC106" s="681"/>
      <c r="AD106" s="681"/>
      <c r="AE106" s="82">
        <f t="shared" si="12"/>
        <v>0</v>
      </c>
      <c r="AF106" s="65"/>
      <c r="AG106" s="65"/>
    </row>
    <row r="107" spans="1:33" ht="25.5" hidden="1">
      <c r="A107" s="86" t="s">
        <v>248</v>
      </c>
      <c r="B107" s="51"/>
      <c r="C107" s="677"/>
      <c r="D107" s="845">
        <v>0</v>
      </c>
      <c r="E107" s="678"/>
      <c r="F107" s="681"/>
      <c r="G107" s="681"/>
      <c r="H107" s="681"/>
      <c r="I107" s="856"/>
      <c r="J107" s="856"/>
      <c r="K107" s="681"/>
      <c r="L107" s="681"/>
      <c r="M107" s="681"/>
      <c r="N107" s="681"/>
      <c r="O107" s="681"/>
      <c r="P107" s="681"/>
      <c r="Q107" s="681"/>
      <c r="R107" s="681"/>
      <c r="S107" s="681"/>
      <c r="T107" s="681"/>
      <c r="U107" s="681"/>
      <c r="V107" s="681"/>
      <c r="W107" s="681"/>
      <c r="X107" s="681"/>
      <c r="Y107" s="681"/>
      <c r="Z107" s="681"/>
      <c r="AA107" s="681"/>
      <c r="AB107" s="681"/>
      <c r="AC107" s="681"/>
      <c r="AD107" s="681"/>
      <c r="AE107" s="82">
        <f t="shared" si="12"/>
        <v>0</v>
      </c>
      <c r="AF107" s="65"/>
      <c r="AG107" s="65"/>
    </row>
    <row r="108" spans="1:33" ht="25.5" hidden="1">
      <c r="A108" s="86" t="s">
        <v>249</v>
      </c>
      <c r="B108" s="51"/>
      <c r="C108" s="677"/>
      <c r="D108" s="845">
        <v>0</v>
      </c>
      <c r="E108" s="678"/>
      <c r="F108" s="681"/>
      <c r="G108" s="681"/>
      <c r="H108" s="681"/>
      <c r="I108" s="856"/>
      <c r="J108" s="856"/>
      <c r="K108" s="681"/>
      <c r="L108" s="681"/>
      <c r="M108" s="681"/>
      <c r="N108" s="681"/>
      <c r="O108" s="681"/>
      <c r="P108" s="681"/>
      <c r="Q108" s="681"/>
      <c r="R108" s="681"/>
      <c r="S108" s="681"/>
      <c r="T108" s="681"/>
      <c r="U108" s="681"/>
      <c r="V108" s="681"/>
      <c r="W108" s="681"/>
      <c r="X108" s="681"/>
      <c r="Y108" s="681"/>
      <c r="Z108" s="681"/>
      <c r="AA108" s="681"/>
      <c r="AB108" s="681"/>
      <c r="AC108" s="681"/>
      <c r="AD108" s="681"/>
      <c r="AE108" s="82">
        <f t="shared" si="12"/>
        <v>0</v>
      </c>
      <c r="AF108" s="65"/>
      <c r="AG108" s="65"/>
    </row>
    <row r="109" spans="1:33" ht="25.5" hidden="1">
      <c r="A109" s="86" t="s">
        <v>250</v>
      </c>
      <c r="B109" s="51"/>
      <c r="C109" s="677"/>
      <c r="D109" s="845">
        <v>0</v>
      </c>
      <c r="E109" s="678"/>
      <c r="F109" s="681"/>
      <c r="G109" s="681"/>
      <c r="H109" s="681"/>
      <c r="I109" s="856"/>
      <c r="J109" s="856"/>
      <c r="K109" s="681"/>
      <c r="L109" s="681"/>
      <c r="M109" s="681"/>
      <c r="N109" s="681"/>
      <c r="O109" s="681"/>
      <c r="P109" s="681"/>
      <c r="Q109" s="681"/>
      <c r="R109" s="681"/>
      <c r="S109" s="681"/>
      <c r="T109" s="681"/>
      <c r="U109" s="681"/>
      <c r="V109" s="681"/>
      <c r="W109" s="681"/>
      <c r="X109" s="681"/>
      <c r="Y109" s="681"/>
      <c r="Z109" s="681"/>
      <c r="AA109" s="681"/>
      <c r="AB109" s="681"/>
      <c r="AC109" s="681"/>
      <c r="AD109" s="681"/>
      <c r="AE109" s="82">
        <f t="shared" si="12"/>
        <v>0</v>
      </c>
      <c r="AF109" s="65"/>
      <c r="AG109" s="65"/>
    </row>
    <row r="110" spans="1:33" hidden="1">
      <c r="A110" s="84" t="s">
        <v>251</v>
      </c>
      <c r="B110" s="37"/>
      <c r="C110" s="38"/>
      <c r="D110" s="846"/>
      <c r="E110" s="39"/>
      <c r="F110" s="54"/>
      <c r="G110" s="54">
        <f>G111+G117+G123+G129+G135</f>
        <v>0</v>
      </c>
      <c r="H110" s="54">
        <f t="shared" ref="H110:R110" si="18">H111+H117+H123+H129+H135</f>
        <v>0</v>
      </c>
      <c r="I110" s="461">
        <f t="shared" si="18"/>
        <v>0</v>
      </c>
      <c r="J110" s="461">
        <f t="shared" si="18"/>
        <v>0</v>
      </c>
      <c r="K110" s="54">
        <f t="shared" si="18"/>
        <v>0</v>
      </c>
      <c r="L110" s="54">
        <f t="shared" si="18"/>
        <v>0</v>
      </c>
      <c r="M110" s="54">
        <f t="shared" si="18"/>
        <v>0</v>
      </c>
      <c r="N110" s="54">
        <f t="shared" si="18"/>
        <v>0</v>
      </c>
      <c r="O110" s="54">
        <f t="shared" si="18"/>
        <v>0</v>
      </c>
      <c r="P110" s="54">
        <f t="shared" si="18"/>
        <v>0</v>
      </c>
      <c r="Q110" s="54">
        <f t="shared" si="18"/>
        <v>0</v>
      </c>
      <c r="R110" s="54">
        <f t="shared" si="18"/>
        <v>0</v>
      </c>
      <c r="S110" s="54">
        <f t="shared" ref="S110:AD110" si="19">S111+S117+S123</f>
        <v>0</v>
      </c>
      <c r="T110" s="54">
        <f t="shared" si="19"/>
        <v>0</v>
      </c>
      <c r="U110" s="54">
        <f t="shared" si="19"/>
        <v>0</v>
      </c>
      <c r="V110" s="54">
        <f t="shared" si="19"/>
        <v>0</v>
      </c>
      <c r="W110" s="54">
        <f t="shared" si="19"/>
        <v>0</v>
      </c>
      <c r="X110" s="54">
        <f t="shared" si="19"/>
        <v>0</v>
      </c>
      <c r="Y110" s="54">
        <f t="shared" si="19"/>
        <v>0</v>
      </c>
      <c r="Z110" s="54">
        <f t="shared" si="19"/>
        <v>0</v>
      </c>
      <c r="AA110" s="54">
        <f t="shared" si="19"/>
        <v>0</v>
      </c>
      <c r="AB110" s="54">
        <f t="shared" si="19"/>
        <v>0</v>
      </c>
      <c r="AC110" s="54">
        <f t="shared" si="19"/>
        <v>0</v>
      </c>
      <c r="AD110" s="54">
        <f t="shared" si="19"/>
        <v>0</v>
      </c>
      <c r="AE110" s="82">
        <f t="shared" si="12"/>
        <v>0</v>
      </c>
      <c r="AF110" s="65"/>
      <c r="AG110" s="65"/>
    </row>
    <row r="111" spans="1:33" ht="25.5" hidden="1">
      <c r="A111" s="85" t="s">
        <v>252</v>
      </c>
      <c r="B111" s="34"/>
      <c r="C111" s="35"/>
      <c r="D111" s="847"/>
      <c r="E111" s="36"/>
      <c r="F111" s="55"/>
      <c r="G111" s="55">
        <f>SUM(G112:G116)</f>
        <v>0</v>
      </c>
      <c r="H111" s="55">
        <f>SUM(H112:H116)</f>
        <v>0</v>
      </c>
      <c r="I111" s="857">
        <f t="shared" ref="I111" si="20">SUM(I112:I116)</f>
        <v>0</v>
      </c>
      <c r="J111" s="857">
        <f>SUM(J112:J116)</f>
        <v>0</v>
      </c>
      <c r="K111" s="55">
        <f>SUM(K112:K116)</f>
        <v>0</v>
      </c>
      <c r="L111" s="55">
        <f t="shared" ref="L111:AD111" si="21">SUM(L112:L116)</f>
        <v>0</v>
      </c>
      <c r="M111" s="55">
        <f t="shared" si="21"/>
        <v>0</v>
      </c>
      <c r="N111" s="55">
        <f t="shared" si="21"/>
        <v>0</v>
      </c>
      <c r="O111" s="55">
        <f t="shared" si="21"/>
        <v>0</v>
      </c>
      <c r="P111" s="55">
        <f t="shared" si="21"/>
        <v>0</v>
      </c>
      <c r="Q111" s="55">
        <f t="shared" si="21"/>
        <v>0</v>
      </c>
      <c r="R111" s="55">
        <f t="shared" si="21"/>
        <v>0</v>
      </c>
      <c r="S111" s="55">
        <f t="shared" si="21"/>
        <v>0</v>
      </c>
      <c r="T111" s="55">
        <f t="shared" si="21"/>
        <v>0</v>
      </c>
      <c r="U111" s="55">
        <f t="shared" si="21"/>
        <v>0</v>
      </c>
      <c r="V111" s="55">
        <f t="shared" si="21"/>
        <v>0</v>
      </c>
      <c r="W111" s="55">
        <f t="shared" si="21"/>
        <v>0</v>
      </c>
      <c r="X111" s="55">
        <f t="shared" si="21"/>
        <v>0</v>
      </c>
      <c r="Y111" s="55">
        <f t="shared" si="21"/>
        <v>0</v>
      </c>
      <c r="Z111" s="55">
        <f t="shared" si="21"/>
        <v>0</v>
      </c>
      <c r="AA111" s="55">
        <f t="shared" si="21"/>
        <v>0</v>
      </c>
      <c r="AB111" s="55">
        <f t="shared" si="21"/>
        <v>0</v>
      </c>
      <c r="AC111" s="55">
        <f t="shared" si="21"/>
        <v>0</v>
      </c>
      <c r="AD111" s="55">
        <f t="shared" si="21"/>
        <v>0</v>
      </c>
      <c r="AE111" s="82">
        <f t="shared" si="12"/>
        <v>0</v>
      </c>
      <c r="AF111" s="65"/>
      <c r="AG111" s="65"/>
    </row>
    <row r="112" spans="1:33" ht="25.5" hidden="1">
      <c r="A112" s="86" t="s">
        <v>253</v>
      </c>
      <c r="B112" s="51"/>
      <c r="C112" s="677"/>
      <c r="D112" s="845">
        <v>0</v>
      </c>
      <c r="E112" s="678"/>
      <c r="F112" s="681"/>
      <c r="G112" s="681"/>
      <c r="H112" s="681"/>
      <c r="I112" s="856"/>
      <c r="J112" s="856"/>
      <c r="K112" s="681"/>
      <c r="L112" s="681"/>
      <c r="M112" s="681"/>
      <c r="N112" s="681"/>
      <c r="O112" s="681"/>
      <c r="P112" s="681"/>
      <c r="Q112" s="681"/>
      <c r="R112" s="681"/>
      <c r="S112" s="681"/>
      <c r="T112" s="681"/>
      <c r="U112" s="681"/>
      <c r="V112" s="681"/>
      <c r="W112" s="681"/>
      <c r="X112" s="681"/>
      <c r="Y112" s="681"/>
      <c r="Z112" s="681"/>
      <c r="AA112" s="681"/>
      <c r="AB112" s="681"/>
      <c r="AC112" s="681"/>
      <c r="AD112" s="681"/>
      <c r="AE112" s="82">
        <f t="shared" si="12"/>
        <v>0</v>
      </c>
      <c r="AF112" s="65"/>
      <c r="AG112" s="65"/>
    </row>
    <row r="113" spans="1:33" ht="25.5" hidden="1">
      <c r="A113" s="86" t="s">
        <v>254</v>
      </c>
      <c r="B113" s="51"/>
      <c r="C113" s="677"/>
      <c r="D113" s="845">
        <v>0</v>
      </c>
      <c r="E113" s="678"/>
      <c r="F113" s="681"/>
      <c r="G113" s="681"/>
      <c r="H113" s="681"/>
      <c r="I113" s="856"/>
      <c r="J113" s="856"/>
      <c r="K113" s="681"/>
      <c r="L113" s="681"/>
      <c r="M113" s="681"/>
      <c r="N113" s="681"/>
      <c r="O113" s="681"/>
      <c r="P113" s="681"/>
      <c r="Q113" s="681"/>
      <c r="R113" s="681"/>
      <c r="S113" s="681"/>
      <c r="T113" s="681"/>
      <c r="U113" s="681"/>
      <c r="V113" s="681"/>
      <c r="W113" s="681"/>
      <c r="X113" s="681"/>
      <c r="Y113" s="681"/>
      <c r="Z113" s="681"/>
      <c r="AA113" s="681"/>
      <c r="AB113" s="681"/>
      <c r="AC113" s="681"/>
      <c r="AD113" s="681"/>
      <c r="AE113" s="82">
        <f t="shared" si="12"/>
        <v>0</v>
      </c>
      <c r="AF113" s="65"/>
      <c r="AG113" s="65"/>
    </row>
    <row r="114" spans="1:33" ht="25.5" hidden="1">
      <c r="A114" s="86" t="s">
        <v>255</v>
      </c>
      <c r="B114" s="51"/>
      <c r="C114" s="677"/>
      <c r="D114" s="845">
        <v>0</v>
      </c>
      <c r="E114" s="678"/>
      <c r="F114" s="681"/>
      <c r="G114" s="681"/>
      <c r="H114" s="681"/>
      <c r="I114" s="856"/>
      <c r="J114" s="856"/>
      <c r="K114" s="681"/>
      <c r="L114" s="681"/>
      <c r="M114" s="681"/>
      <c r="N114" s="681"/>
      <c r="O114" s="681"/>
      <c r="P114" s="681"/>
      <c r="Q114" s="681"/>
      <c r="R114" s="681"/>
      <c r="S114" s="681"/>
      <c r="T114" s="681"/>
      <c r="U114" s="681"/>
      <c r="V114" s="681"/>
      <c r="W114" s="681"/>
      <c r="X114" s="681"/>
      <c r="Y114" s="681"/>
      <c r="Z114" s="681"/>
      <c r="AA114" s="681"/>
      <c r="AB114" s="681"/>
      <c r="AC114" s="681"/>
      <c r="AD114" s="681"/>
      <c r="AE114" s="82">
        <f t="shared" si="12"/>
        <v>0</v>
      </c>
      <c r="AF114" s="65"/>
      <c r="AG114" s="65"/>
    </row>
    <row r="115" spans="1:33" ht="25.5" hidden="1">
      <c r="A115" s="86" t="s">
        <v>256</v>
      </c>
      <c r="B115" s="51"/>
      <c r="C115" s="677"/>
      <c r="D115" s="845">
        <v>0</v>
      </c>
      <c r="E115" s="678"/>
      <c r="F115" s="681"/>
      <c r="G115" s="681"/>
      <c r="H115" s="681"/>
      <c r="I115" s="856"/>
      <c r="J115" s="856"/>
      <c r="K115" s="681"/>
      <c r="L115" s="681"/>
      <c r="M115" s="681"/>
      <c r="N115" s="681"/>
      <c r="O115" s="681"/>
      <c r="P115" s="681"/>
      <c r="Q115" s="681"/>
      <c r="R115" s="681"/>
      <c r="S115" s="681"/>
      <c r="T115" s="681"/>
      <c r="U115" s="681"/>
      <c r="V115" s="681"/>
      <c r="W115" s="681"/>
      <c r="X115" s="681"/>
      <c r="Y115" s="681"/>
      <c r="Z115" s="681"/>
      <c r="AA115" s="681"/>
      <c r="AB115" s="681"/>
      <c r="AC115" s="681"/>
      <c r="AD115" s="681"/>
      <c r="AE115" s="82">
        <f t="shared" si="12"/>
        <v>0</v>
      </c>
      <c r="AF115" s="65"/>
      <c r="AG115" s="65"/>
    </row>
    <row r="116" spans="1:33" ht="25.5" hidden="1">
      <c r="A116" s="86" t="s">
        <v>257</v>
      </c>
      <c r="B116" s="51"/>
      <c r="C116" s="677"/>
      <c r="D116" s="845">
        <v>0</v>
      </c>
      <c r="E116" s="678"/>
      <c r="F116" s="681"/>
      <c r="G116" s="681"/>
      <c r="H116" s="681"/>
      <c r="I116" s="856"/>
      <c r="J116" s="856"/>
      <c r="K116" s="681"/>
      <c r="L116" s="681"/>
      <c r="M116" s="681"/>
      <c r="N116" s="681"/>
      <c r="O116" s="681"/>
      <c r="P116" s="681"/>
      <c r="Q116" s="681"/>
      <c r="R116" s="681"/>
      <c r="S116" s="681"/>
      <c r="T116" s="681"/>
      <c r="U116" s="681"/>
      <c r="V116" s="681"/>
      <c r="W116" s="681"/>
      <c r="X116" s="681"/>
      <c r="Y116" s="681"/>
      <c r="Z116" s="681"/>
      <c r="AA116" s="681"/>
      <c r="AB116" s="681"/>
      <c r="AC116" s="681"/>
      <c r="AD116" s="681"/>
      <c r="AE116" s="82">
        <f t="shared" si="12"/>
        <v>0</v>
      </c>
      <c r="AF116" s="65"/>
      <c r="AG116" s="65"/>
    </row>
    <row r="117" spans="1:33" ht="25.5" hidden="1">
      <c r="A117" s="85" t="s">
        <v>258</v>
      </c>
      <c r="B117" s="34"/>
      <c r="C117" s="35"/>
      <c r="D117" s="847"/>
      <c r="E117" s="36"/>
      <c r="F117" s="55"/>
      <c r="G117" s="55">
        <f>SUM(G118:G122)</f>
        <v>0</v>
      </c>
      <c r="H117" s="55">
        <f>SUM(H118:H122)</f>
        <v>0</v>
      </c>
      <c r="I117" s="857">
        <f t="shared" ref="I117:AD117" si="22">SUM(I118:I122)</f>
        <v>0</v>
      </c>
      <c r="J117" s="857">
        <f t="shared" si="22"/>
        <v>0</v>
      </c>
      <c r="K117" s="55">
        <f t="shared" si="22"/>
        <v>0</v>
      </c>
      <c r="L117" s="55">
        <f t="shared" si="22"/>
        <v>0</v>
      </c>
      <c r="M117" s="55">
        <f t="shared" si="22"/>
        <v>0</v>
      </c>
      <c r="N117" s="55">
        <f t="shared" si="22"/>
        <v>0</v>
      </c>
      <c r="O117" s="55">
        <f t="shared" si="22"/>
        <v>0</v>
      </c>
      <c r="P117" s="55">
        <f t="shared" si="22"/>
        <v>0</v>
      </c>
      <c r="Q117" s="55">
        <f t="shared" si="22"/>
        <v>0</v>
      </c>
      <c r="R117" s="55">
        <f t="shared" si="22"/>
        <v>0</v>
      </c>
      <c r="S117" s="55">
        <f t="shared" si="22"/>
        <v>0</v>
      </c>
      <c r="T117" s="55">
        <f t="shared" si="22"/>
        <v>0</v>
      </c>
      <c r="U117" s="55">
        <f t="shared" si="22"/>
        <v>0</v>
      </c>
      <c r="V117" s="55">
        <f t="shared" si="22"/>
        <v>0</v>
      </c>
      <c r="W117" s="55">
        <f t="shared" si="22"/>
        <v>0</v>
      </c>
      <c r="X117" s="55">
        <f t="shared" si="22"/>
        <v>0</v>
      </c>
      <c r="Y117" s="55">
        <f t="shared" si="22"/>
        <v>0</v>
      </c>
      <c r="Z117" s="55">
        <f t="shared" si="22"/>
        <v>0</v>
      </c>
      <c r="AA117" s="55">
        <f t="shared" si="22"/>
        <v>0</v>
      </c>
      <c r="AB117" s="55">
        <f t="shared" si="22"/>
        <v>0</v>
      </c>
      <c r="AC117" s="55">
        <f t="shared" si="22"/>
        <v>0</v>
      </c>
      <c r="AD117" s="55">
        <f t="shared" si="22"/>
        <v>0</v>
      </c>
      <c r="AE117" s="82">
        <f t="shared" si="12"/>
        <v>0</v>
      </c>
      <c r="AF117" s="65"/>
      <c r="AG117" s="65"/>
    </row>
    <row r="118" spans="1:33" ht="25.5" hidden="1">
      <c r="A118" s="86" t="s">
        <v>259</v>
      </c>
      <c r="B118" s="51"/>
      <c r="C118" s="677"/>
      <c r="D118" s="845">
        <v>0</v>
      </c>
      <c r="E118" s="678"/>
      <c r="F118" s="681"/>
      <c r="G118" s="681"/>
      <c r="H118" s="681"/>
      <c r="I118" s="856"/>
      <c r="J118" s="856"/>
      <c r="K118" s="681"/>
      <c r="L118" s="681"/>
      <c r="M118" s="681"/>
      <c r="N118" s="681"/>
      <c r="O118" s="681"/>
      <c r="P118" s="681"/>
      <c r="Q118" s="681"/>
      <c r="R118" s="681"/>
      <c r="S118" s="681"/>
      <c r="T118" s="681"/>
      <c r="U118" s="681"/>
      <c r="V118" s="681"/>
      <c r="W118" s="681"/>
      <c r="X118" s="681"/>
      <c r="Y118" s="681"/>
      <c r="Z118" s="681"/>
      <c r="AA118" s="681"/>
      <c r="AB118" s="681"/>
      <c r="AC118" s="681"/>
      <c r="AD118" s="681"/>
      <c r="AE118" s="82">
        <f t="shared" si="12"/>
        <v>0</v>
      </c>
      <c r="AF118" s="65"/>
      <c r="AG118" s="65"/>
    </row>
    <row r="119" spans="1:33" ht="25.5" hidden="1">
      <c r="A119" s="86" t="s">
        <v>260</v>
      </c>
      <c r="B119" s="51"/>
      <c r="C119" s="677"/>
      <c r="D119" s="845">
        <v>0</v>
      </c>
      <c r="E119" s="678"/>
      <c r="F119" s="681"/>
      <c r="G119" s="681"/>
      <c r="H119" s="681"/>
      <c r="I119" s="856"/>
      <c r="J119" s="856"/>
      <c r="K119" s="681"/>
      <c r="L119" s="681"/>
      <c r="M119" s="681"/>
      <c r="N119" s="681"/>
      <c r="O119" s="681"/>
      <c r="P119" s="681"/>
      <c r="Q119" s="681"/>
      <c r="R119" s="681"/>
      <c r="S119" s="681"/>
      <c r="T119" s="681"/>
      <c r="U119" s="681"/>
      <c r="V119" s="681"/>
      <c r="W119" s="681"/>
      <c r="X119" s="681"/>
      <c r="Y119" s="681"/>
      <c r="Z119" s="681"/>
      <c r="AA119" s="681"/>
      <c r="AB119" s="681"/>
      <c r="AC119" s="681"/>
      <c r="AD119" s="681"/>
      <c r="AE119" s="82">
        <f t="shared" si="12"/>
        <v>0</v>
      </c>
      <c r="AF119" s="65"/>
      <c r="AG119" s="65"/>
    </row>
    <row r="120" spans="1:33" ht="25.5" hidden="1">
      <c r="A120" s="86" t="s">
        <v>261</v>
      </c>
      <c r="B120" s="51"/>
      <c r="C120" s="677"/>
      <c r="D120" s="845">
        <v>0</v>
      </c>
      <c r="E120" s="678"/>
      <c r="F120" s="681"/>
      <c r="G120" s="681"/>
      <c r="H120" s="681"/>
      <c r="I120" s="856"/>
      <c r="J120" s="856"/>
      <c r="K120" s="681"/>
      <c r="L120" s="681"/>
      <c r="M120" s="681"/>
      <c r="N120" s="681"/>
      <c r="O120" s="681"/>
      <c r="P120" s="681"/>
      <c r="Q120" s="681"/>
      <c r="R120" s="681"/>
      <c r="S120" s="681"/>
      <c r="T120" s="681"/>
      <c r="U120" s="681"/>
      <c r="V120" s="681"/>
      <c r="W120" s="681"/>
      <c r="X120" s="681"/>
      <c r="Y120" s="681"/>
      <c r="Z120" s="681"/>
      <c r="AA120" s="681"/>
      <c r="AB120" s="681"/>
      <c r="AC120" s="681"/>
      <c r="AD120" s="681"/>
      <c r="AE120" s="82">
        <f t="shared" si="12"/>
        <v>0</v>
      </c>
      <c r="AF120" s="65"/>
      <c r="AG120" s="65"/>
    </row>
    <row r="121" spans="1:33" ht="25.5" hidden="1">
      <c r="A121" s="86" t="s">
        <v>262</v>
      </c>
      <c r="B121" s="51"/>
      <c r="C121" s="677"/>
      <c r="D121" s="845">
        <v>0</v>
      </c>
      <c r="E121" s="678"/>
      <c r="F121" s="681"/>
      <c r="G121" s="681"/>
      <c r="H121" s="681"/>
      <c r="I121" s="856"/>
      <c r="J121" s="856"/>
      <c r="K121" s="681"/>
      <c r="L121" s="681"/>
      <c r="M121" s="681"/>
      <c r="N121" s="681"/>
      <c r="O121" s="681"/>
      <c r="P121" s="681"/>
      <c r="Q121" s="681"/>
      <c r="R121" s="681"/>
      <c r="S121" s="681"/>
      <c r="T121" s="681"/>
      <c r="U121" s="681"/>
      <c r="V121" s="681"/>
      <c r="W121" s="681"/>
      <c r="X121" s="681"/>
      <c r="Y121" s="681"/>
      <c r="Z121" s="681"/>
      <c r="AA121" s="681"/>
      <c r="AB121" s="681"/>
      <c r="AC121" s="681"/>
      <c r="AD121" s="681"/>
      <c r="AE121" s="82">
        <f t="shared" si="12"/>
        <v>0</v>
      </c>
      <c r="AF121" s="65"/>
      <c r="AG121" s="65"/>
    </row>
    <row r="122" spans="1:33" ht="25.5" hidden="1">
      <c r="A122" s="86" t="s">
        <v>263</v>
      </c>
      <c r="B122" s="51"/>
      <c r="C122" s="677"/>
      <c r="D122" s="845">
        <v>0</v>
      </c>
      <c r="E122" s="678"/>
      <c r="F122" s="681"/>
      <c r="G122" s="681"/>
      <c r="H122" s="681"/>
      <c r="I122" s="856"/>
      <c r="J122" s="856"/>
      <c r="K122" s="681"/>
      <c r="L122" s="681"/>
      <c r="M122" s="681"/>
      <c r="N122" s="681"/>
      <c r="O122" s="681"/>
      <c r="P122" s="681"/>
      <c r="Q122" s="681"/>
      <c r="R122" s="681"/>
      <c r="S122" s="681"/>
      <c r="T122" s="681"/>
      <c r="U122" s="681"/>
      <c r="V122" s="681"/>
      <c r="W122" s="681"/>
      <c r="X122" s="681"/>
      <c r="Y122" s="681"/>
      <c r="Z122" s="681"/>
      <c r="AA122" s="681"/>
      <c r="AB122" s="681"/>
      <c r="AC122" s="681"/>
      <c r="AD122" s="681"/>
      <c r="AE122" s="82">
        <f t="shared" si="12"/>
        <v>0</v>
      </c>
      <c r="AF122" s="65"/>
      <c r="AG122" s="65"/>
    </row>
    <row r="123" spans="1:33" ht="25.5" hidden="1">
      <c r="A123" s="85" t="s">
        <v>264</v>
      </c>
      <c r="B123" s="34"/>
      <c r="C123" s="35"/>
      <c r="D123" s="847"/>
      <c r="E123" s="36"/>
      <c r="F123" s="55"/>
      <c r="G123" s="55">
        <f>SUM(G124:G128)</f>
        <v>0</v>
      </c>
      <c r="H123" s="55">
        <f t="shared" ref="H123" si="23">SUM(H124:H128)</f>
        <v>0</v>
      </c>
      <c r="I123" s="857">
        <f>SUM(I124:I128)</f>
        <v>0</v>
      </c>
      <c r="J123" s="857">
        <f t="shared" ref="J123:AD123" si="24">SUM(J124:J128)</f>
        <v>0</v>
      </c>
      <c r="K123" s="55">
        <f t="shared" si="24"/>
        <v>0</v>
      </c>
      <c r="L123" s="55">
        <f t="shared" si="24"/>
        <v>0</v>
      </c>
      <c r="M123" s="55">
        <f t="shared" si="24"/>
        <v>0</v>
      </c>
      <c r="N123" s="55">
        <f t="shared" si="24"/>
        <v>0</v>
      </c>
      <c r="O123" s="55">
        <f t="shared" si="24"/>
        <v>0</v>
      </c>
      <c r="P123" s="55">
        <f t="shared" si="24"/>
        <v>0</v>
      </c>
      <c r="Q123" s="55">
        <f t="shared" si="24"/>
        <v>0</v>
      </c>
      <c r="R123" s="55">
        <f t="shared" si="24"/>
        <v>0</v>
      </c>
      <c r="S123" s="55">
        <f t="shared" si="24"/>
        <v>0</v>
      </c>
      <c r="T123" s="55">
        <f t="shared" si="24"/>
        <v>0</v>
      </c>
      <c r="U123" s="55">
        <f t="shared" si="24"/>
        <v>0</v>
      </c>
      <c r="V123" s="55">
        <f t="shared" si="24"/>
        <v>0</v>
      </c>
      <c r="W123" s="55">
        <f t="shared" si="24"/>
        <v>0</v>
      </c>
      <c r="X123" s="55">
        <f t="shared" si="24"/>
        <v>0</v>
      </c>
      <c r="Y123" s="55">
        <f t="shared" si="24"/>
        <v>0</v>
      </c>
      <c r="Z123" s="55">
        <f t="shared" si="24"/>
        <v>0</v>
      </c>
      <c r="AA123" s="55">
        <f t="shared" si="24"/>
        <v>0</v>
      </c>
      <c r="AB123" s="55">
        <f t="shared" si="24"/>
        <v>0</v>
      </c>
      <c r="AC123" s="55">
        <f t="shared" si="24"/>
        <v>0</v>
      </c>
      <c r="AD123" s="55">
        <f t="shared" si="24"/>
        <v>0</v>
      </c>
      <c r="AE123" s="82">
        <f t="shared" si="12"/>
        <v>0</v>
      </c>
      <c r="AF123" s="65"/>
      <c r="AG123" s="65"/>
    </row>
    <row r="124" spans="1:33" ht="25.5" hidden="1">
      <c r="A124" s="86" t="s">
        <v>265</v>
      </c>
      <c r="B124" s="51"/>
      <c r="C124" s="677"/>
      <c r="D124" s="845">
        <v>0</v>
      </c>
      <c r="E124" s="678"/>
      <c r="F124" s="681"/>
      <c r="G124" s="681"/>
      <c r="H124" s="681"/>
      <c r="I124" s="856"/>
      <c r="J124" s="856"/>
      <c r="K124" s="681"/>
      <c r="L124" s="681"/>
      <c r="M124" s="681"/>
      <c r="N124" s="681"/>
      <c r="O124" s="681"/>
      <c r="P124" s="681"/>
      <c r="Q124" s="681"/>
      <c r="R124" s="681"/>
      <c r="S124" s="681"/>
      <c r="T124" s="681"/>
      <c r="U124" s="681"/>
      <c r="V124" s="681"/>
      <c r="W124" s="681"/>
      <c r="X124" s="681"/>
      <c r="Y124" s="681"/>
      <c r="Z124" s="681"/>
      <c r="AA124" s="681"/>
      <c r="AB124" s="681"/>
      <c r="AC124" s="681"/>
      <c r="AD124" s="681"/>
      <c r="AE124" s="82">
        <f t="shared" si="12"/>
        <v>0</v>
      </c>
      <c r="AF124" s="65"/>
      <c r="AG124" s="65"/>
    </row>
    <row r="125" spans="1:33" ht="25.5" hidden="1">
      <c r="A125" s="86" t="s">
        <v>266</v>
      </c>
      <c r="B125" s="51"/>
      <c r="C125" s="677"/>
      <c r="D125" s="845">
        <v>0</v>
      </c>
      <c r="E125" s="678"/>
      <c r="F125" s="681"/>
      <c r="G125" s="681"/>
      <c r="H125" s="681"/>
      <c r="I125" s="856"/>
      <c r="J125" s="856"/>
      <c r="K125" s="681"/>
      <c r="L125" s="681"/>
      <c r="M125" s="681"/>
      <c r="N125" s="681"/>
      <c r="O125" s="681"/>
      <c r="P125" s="681"/>
      <c r="Q125" s="681"/>
      <c r="R125" s="681"/>
      <c r="S125" s="681"/>
      <c r="T125" s="681"/>
      <c r="U125" s="681"/>
      <c r="V125" s="681"/>
      <c r="W125" s="681"/>
      <c r="X125" s="681"/>
      <c r="Y125" s="681"/>
      <c r="Z125" s="681"/>
      <c r="AA125" s="681"/>
      <c r="AB125" s="681"/>
      <c r="AC125" s="681"/>
      <c r="AD125" s="681"/>
      <c r="AE125" s="82">
        <f t="shared" si="12"/>
        <v>0</v>
      </c>
      <c r="AF125" s="65"/>
      <c r="AG125" s="65"/>
    </row>
    <row r="126" spans="1:33" ht="25.5" hidden="1">
      <c r="A126" s="86" t="s">
        <v>267</v>
      </c>
      <c r="B126" s="51"/>
      <c r="C126" s="677"/>
      <c r="D126" s="845">
        <v>0</v>
      </c>
      <c r="E126" s="678"/>
      <c r="F126" s="681"/>
      <c r="G126" s="681"/>
      <c r="H126" s="681"/>
      <c r="I126" s="856"/>
      <c r="J126" s="856"/>
      <c r="K126" s="681"/>
      <c r="L126" s="681"/>
      <c r="M126" s="681"/>
      <c r="N126" s="681"/>
      <c r="O126" s="681"/>
      <c r="P126" s="681"/>
      <c r="Q126" s="681"/>
      <c r="R126" s="681"/>
      <c r="S126" s="681"/>
      <c r="T126" s="681"/>
      <c r="U126" s="681"/>
      <c r="V126" s="681"/>
      <c r="W126" s="681"/>
      <c r="X126" s="681"/>
      <c r="Y126" s="681"/>
      <c r="Z126" s="681"/>
      <c r="AA126" s="681"/>
      <c r="AB126" s="681"/>
      <c r="AC126" s="681"/>
      <c r="AD126" s="681"/>
      <c r="AE126" s="82">
        <f t="shared" si="12"/>
        <v>0</v>
      </c>
      <c r="AF126" s="65"/>
      <c r="AG126" s="65"/>
    </row>
    <row r="127" spans="1:33" ht="25.5" hidden="1">
      <c r="A127" s="86" t="s">
        <v>268</v>
      </c>
      <c r="B127" s="51"/>
      <c r="C127" s="677"/>
      <c r="D127" s="845">
        <v>0</v>
      </c>
      <c r="E127" s="678"/>
      <c r="F127" s="681"/>
      <c r="G127" s="681"/>
      <c r="H127" s="681"/>
      <c r="I127" s="856"/>
      <c r="J127" s="856"/>
      <c r="K127" s="681"/>
      <c r="L127" s="681"/>
      <c r="M127" s="681"/>
      <c r="N127" s="681"/>
      <c r="O127" s="681"/>
      <c r="P127" s="681"/>
      <c r="Q127" s="681"/>
      <c r="R127" s="681"/>
      <c r="S127" s="681"/>
      <c r="T127" s="681"/>
      <c r="U127" s="681"/>
      <c r="V127" s="681"/>
      <c r="W127" s="681"/>
      <c r="X127" s="681"/>
      <c r="Y127" s="681"/>
      <c r="Z127" s="681"/>
      <c r="AA127" s="681"/>
      <c r="AB127" s="681"/>
      <c r="AC127" s="681"/>
      <c r="AD127" s="681"/>
      <c r="AE127" s="82">
        <f t="shared" si="12"/>
        <v>0</v>
      </c>
      <c r="AF127" s="65"/>
      <c r="AG127" s="65"/>
    </row>
    <row r="128" spans="1:33" ht="25.5" hidden="1">
      <c r="A128" s="86" t="s">
        <v>269</v>
      </c>
      <c r="B128" s="51"/>
      <c r="C128" s="677"/>
      <c r="D128" s="845">
        <v>0</v>
      </c>
      <c r="E128" s="678"/>
      <c r="F128" s="681"/>
      <c r="G128" s="681"/>
      <c r="H128" s="681"/>
      <c r="I128" s="856"/>
      <c r="J128" s="856"/>
      <c r="K128" s="681"/>
      <c r="L128" s="681"/>
      <c r="M128" s="681"/>
      <c r="N128" s="681"/>
      <c r="O128" s="681"/>
      <c r="P128" s="681"/>
      <c r="Q128" s="681"/>
      <c r="R128" s="681"/>
      <c r="S128" s="681"/>
      <c r="T128" s="681"/>
      <c r="U128" s="681"/>
      <c r="V128" s="681"/>
      <c r="W128" s="681"/>
      <c r="X128" s="681"/>
      <c r="Y128" s="681"/>
      <c r="Z128" s="681"/>
      <c r="AA128" s="681"/>
      <c r="AB128" s="681"/>
      <c r="AC128" s="681"/>
      <c r="AD128" s="681"/>
      <c r="AE128" s="82">
        <f t="shared" si="12"/>
        <v>0</v>
      </c>
      <c r="AF128" s="65"/>
      <c r="AG128" s="65"/>
    </row>
    <row r="129" spans="1:33" ht="25.5" hidden="1">
      <c r="A129" s="85" t="s">
        <v>270</v>
      </c>
      <c r="B129" s="34"/>
      <c r="C129" s="35"/>
      <c r="D129" s="847"/>
      <c r="E129" s="36"/>
      <c r="F129" s="55"/>
      <c r="G129" s="55">
        <f>SUM(G130:G134)</f>
        <v>0</v>
      </c>
      <c r="H129" s="55">
        <f t="shared" ref="H129" si="25">SUM(H130:H134)</f>
        <v>0</v>
      </c>
      <c r="I129" s="857">
        <f>SUM(I130:I134)</f>
        <v>0</v>
      </c>
      <c r="J129" s="857">
        <f>SUM(J130:J134)</f>
        <v>0</v>
      </c>
      <c r="K129" s="55">
        <f t="shared" ref="K129:AD129" si="26">SUM(K130:K134)</f>
        <v>0</v>
      </c>
      <c r="L129" s="55">
        <f t="shared" si="26"/>
        <v>0</v>
      </c>
      <c r="M129" s="55">
        <f t="shared" si="26"/>
        <v>0</v>
      </c>
      <c r="N129" s="55">
        <f t="shared" si="26"/>
        <v>0</v>
      </c>
      <c r="O129" s="55">
        <f t="shared" si="26"/>
        <v>0</v>
      </c>
      <c r="P129" s="55">
        <f t="shared" si="26"/>
        <v>0</v>
      </c>
      <c r="Q129" s="55">
        <f t="shared" si="26"/>
        <v>0</v>
      </c>
      <c r="R129" s="55">
        <f t="shared" si="26"/>
        <v>0</v>
      </c>
      <c r="S129" s="55">
        <f t="shared" si="26"/>
        <v>0</v>
      </c>
      <c r="T129" s="55">
        <f t="shared" si="26"/>
        <v>0</v>
      </c>
      <c r="U129" s="55">
        <f t="shared" si="26"/>
        <v>0</v>
      </c>
      <c r="V129" s="55">
        <f t="shared" si="26"/>
        <v>0</v>
      </c>
      <c r="W129" s="55">
        <f t="shared" si="26"/>
        <v>0</v>
      </c>
      <c r="X129" s="55">
        <f t="shared" si="26"/>
        <v>0</v>
      </c>
      <c r="Y129" s="55">
        <f t="shared" si="26"/>
        <v>0</v>
      </c>
      <c r="Z129" s="55">
        <f t="shared" si="26"/>
        <v>0</v>
      </c>
      <c r="AA129" s="55">
        <f t="shared" si="26"/>
        <v>0</v>
      </c>
      <c r="AB129" s="55">
        <f t="shared" si="26"/>
        <v>0</v>
      </c>
      <c r="AC129" s="55">
        <f t="shared" si="26"/>
        <v>0</v>
      </c>
      <c r="AD129" s="55">
        <f t="shared" si="26"/>
        <v>0</v>
      </c>
      <c r="AE129" s="82">
        <f t="shared" si="12"/>
        <v>0</v>
      </c>
      <c r="AF129" s="65"/>
      <c r="AG129" s="65"/>
    </row>
    <row r="130" spans="1:33" ht="25.5" hidden="1">
      <c r="A130" s="86" t="s">
        <v>271</v>
      </c>
      <c r="B130" s="51"/>
      <c r="C130" s="677"/>
      <c r="D130" s="845">
        <v>0</v>
      </c>
      <c r="E130" s="678"/>
      <c r="F130" s="681"/>
      <c r="G130" s="681"/>
      <c r="H130" s="681"/>
      <c r="I130" s="856"/>
      <c r="J130" s="856"/>
      <c r="K130" s="681"/>
      <c r="L130" s="681"/>
      <c r="M130" s="681"/>
      <c r="N130" s="681"/>
      <c r="O130" s="681"/>
      <c r="P130" s="681"/>
      <c r="Q130" s="681"/>
      <c r="R130" s="681"/>
      <c r="S130" s="681"/>
      <c r="T130" s="681"/>
      <c r="U130" s="681"/>
      <c r="V130" s="681"/>
      <c r="W130" s="681"/>
      <c r="X130" s="681"/>
      <c r="Y130" s="681"/>
      <c r="Z130" s="681"/>
      <c r="AA130" s="681"/>
      <c r="AB130" s="681"/>
      <c r="AC130" s="681"/>
      <c r="AD130" s="681"/>
      <c r="AE130" s="82">
        <f t="shared" si="12"/>
        <v>0</v>
      </c>
      <c r="AF130" s="65"/>
      <c r="AG130" s="65"/>
    </row>
    <row r="131" spans="1:33" ht="25.5" hidden="1">
      <c r="A131" s="86" t="s">
        <v>272</v>
      </c>
      <c r="B131" s="51"/>
      <c r="C131" s="677"/>
      <c r="D131" s="845">
        <v>0</v>
      </c>
      <c r="E131" s="678"/>
      <c r="F131" s="681"/>
      <c r="G131" s="681"/>
      <c r="H131" s="681"/>
      <c r="I131" s="856"/>
      <c r="J131" s="856"/>
      <c r="K131" s="681"/>
      <c r="L131" s="681"/>
      <c r="M131" s="681"/>
      <c r="N131" s="681"/>
      <c r="O131" s="681"/>
      <c r="P131" s="681"/>
      <c r="Q131" s="681"/>
      <c r="R131" s="681"/>
      <c r="S131" s="681"/>
      <c r="T131" s="681"/>
      <c r="U131" s="681"/>
      <c r="V131" s="681"/>
      <c r="W131" s="681"/>
      <c r="X131" s="681"/>
      <c r="Y131" s="681"/>
      <c r="Z131" s="681"/>
      <c r="AA131" s="681"/>
      <c r="AB131" s="681"/>
      <c r="AC131" s="681"/>
      <c r="AD131" s="681"/>
      <c r="AE131" s="82">
        <f t="shared" si="12"/>
        <v>0</v>
      </c>
      <c r="AF131" s="65"/>
      <c r="AG131" s="65"/>
    </row>
    <row r="132" spans="1:33" ht="25.5" hidden="1">
      <c r="A132" s="86" t="s">
        <v>273</v>
      </c>
      <c r="B132" s="51"/>
      <c r="C132" s="677"/>
      <c r="D132" s="845">
        <v>0</v>
      </c>
      <c r="E132" s="678"/>
      <c r="F132" s="681"/>
      <c r="G132" s="681"/>
      <c r="H132" s="681"/>
      <c r="I132" s="856"/>
      <c r="J132" s="856"/>
      <c r="K132" s="681"/>
      <c r="L132" s="681"/>
      <c r="M132" s="681"/>
      <c r="N132" s="681"/>
      <c r="O132" s="681"/>
      <c r="P132" s="681"/>
      <c r="Q132" s="681"/>
      <c r="R132" s="681"/>
      <c r="S132" s="681"/>
      <c r="T132" s="681"/>
      <c r="U132" s="681"/>
      <c r="V132" s="681"/>
      <c r="W132" s="681"/>
      <c r="X132" s="681"/>
      <c r="Y132" s="681"/>
      <c r="Z132" s="681"/>
      <c r="AA132" s="681"/>
      <c r="AB132" s="681"/>
      <c r="AC132" s="681"/>
      <c r="AD132" s="681"/>
      <c r="AE132" s="82">
        <f t="shared" si="12"/>
        <v>0</v>
      </c>
      <c r="AF132" s="65"/>
      <c r="AG132" s="65"/>
    </row>
    <row r="133" spans="1:33" ht="25.5" hidden="1">
      <c r="A133" s="86" t="s">
        <v>274</v>
      </c>
      <c r="B133" s="51"/>
      <c r="C133" s="677"/>
      <c r="D133" s="845">
        <v>0</v>
      </c>
      <c r="E133" s="678"/>
      <c r="F133" s="681"/>
      <c r="G133" s="681"/>
      <c r="H133" s="681"/>
      <c r="I133" s="856"/>
      <c r="J133" s="856"/>
      <c r="K133" s="681"/>
      <c r="L133" s="681"/>
      <c r="M133" s="681"/>
      <c r="N133" s="681"/>
      <c r="O133" s="681"/>
      <c r="P133" s="681"/>
      <c r="Q133" s="681"/>
      <c r="R133" s="681"/>
      <c r="S133" s="681"/>
      <c r="T133" s="681"/>
      <c r="U133" s="681"/>
      <c r="V133" s="681"/>
      <c r="W133" s="681"/>
      <c r="X133" s="681"/>
      <c r="Y133" s="681"/>
      <c r="Z133" s="681"/>
      <c r="AA133" s="681"/>
      <c r="AB133" s="681"/>
      <c r="AC133" s="681"/>
      <c r="AD133" s="681"/>
      <c r="AE133" s="82">
        <f t="shared" si="12"/>
        <v>0</v>
      </c>
      <c r="AF133" s="65"/>
      <c r="AG133" s="65"/>
    </row>
    <row r="134" spans="1:33" ht="25.5" hidden="1">
      <c r="A134" s="86" t="s">
        <v>275</v>
      </c>
      <c r="B134" s="51"/>
      <c r="C134" s="677"/>
      <c r="D134" s="845">
        <v>0</v>
      </c>
      <c r="E134" s="678"/>
      <c r="F134" s="681"/>
      <c r="G134" s="681"/>
      <c r="H134" s="681"/>
      <c r="I134" s="856"/>
      <c r="J134" s="856"/>
      <c r="K134" s="681"/>
      <c r="L134" s="681"/>
      <c r="M134" s="681"/>
      <c r="N134" s="681"/>
      <c r="O134" s="681"/>
      <c r="P134" s="681"/>
      <c r="Q134" s="681"/>
      <c r="R134" s="681"/>
      <c r="S134" s="681"/>
      <c r="T134" s="681"/>
      <c r="U134" s="681"/>
      <c r="V134" s="681"/>
      <c r="W134" s="681"/>
      <c r="X134" s="681"/>
      <c r="Y134" s="681"/>
      <c r="Z134" s="681"/>
      <c r="AA134" s="681"/>
      <c r="AB134" s="681"/>
      <c r="AC134" s="681"/>
      <c r="AD134" s="681"/>
      <c r="AE134" s="82">
        <f t="shared" si="12"/>
        <v>0</v>
      </c>
      <c r="AF134" s="65"/>
      <c r="AG134" s="65"/>
    </row>
    <row r="135" spans="1:33" ht="25.5" hidden="1">
      <c r="A135" s="85" t="s">
        <v>276</v>
      </c>
      <c r="B135" s="34"/>
      <c r="C135" s="35"/>
      <c r="D135" s="847"/>
      <c r="E135" s="36"/>
      <c r="F135" s="55"/>
      <c r="G135" s="55">
        <f>SUM(G136:G140)</f>
        <v>0</v>
      </c>
      <c r="H135" s="55">
        <f t="shared" ref="H135" si="27">SUM(H136:H140)</f>
        <v>0</v>
      </c>
      <c r="I135" s="857">
        <f>SUM(I136:I140)</f>
        <v>0</v>
      </c>
      <c r="J135" s="857">
        <f>SUM(J136:J140)</f>
        <v>0</v>
      </c>
      <c r="K135" s="55">
        <f>SUM(K136:K140)</f>
        <v>0</v>
      </c>
      <c r="L135" s="55">
        <f t="shared" ref="L135:AD135" si="28">SUM(L136:L140)</f>
        <v>0</v>
      </c>
      <c r="M135" s="55">
        <f t="shared" si="28"/>
        <v>0</v>
      </c>
      <c r="N135" s="55">
        <f t="shared" si="28"/>
        <v>0</v>
      </c>
      <c r="O135" s="55">
        <f t="shared" si="28"/>
        <v>0</v>
      </c>
      <c r="P135" s="55">
        <f t="shared" si="28"/>
        <v>0</v>
      </c>
      <c r="Q135" s="55">
        <f t="shared" si="28"/>
        <v>0</v>
      </c>
      <c r="R135" s="55">
        <f t="shared" si="28"/>
        <v>0</v>
      </c>
      <c r="S135" s="55">
        <f t="shared" si="28"/>
        <v>0</v>
      </c>
      <c r="T135" s="55">
        <f t="shared" si="28"/>
        <v>0</v>
      </c>
      <c r="U135" s="55">
        <f t="shared" si="28"/>
        <v>0</v>
      </c>
      <c r="V135" s="55">
        <f t="shared" si="28"/>
        <v>0</v>
      </c>
      <c r="W135" s="55">
        <f t="shared" si="28"/>
        <v>0</v>
      </c>
      <c r="X135" s="55">
        <f t="shared" si="28"/>
        <v>0</v>
      </c>
      <c r="Y135" s="55">
        <f t="shared" si="28"/>
        <v>0</v>
      </c>
      <c r="Z135" s="55">
        <f t="shared" si="28"/>
        <v>0</v>
      </c>
      <c r="AA135" s="55">
        <f t="shared" si="28"/>
        <v>0</v>
      </c>
      <c r="AB135" s="55">
        <f t="shared" si="28"/>
        <v>0</v>
      </c>
      <c r="AC135" s="55">
        <f t="shared" si="28"/>
        <v>0</v>
      </c>
      <c r="AD135" s="55">
        <f t="shared" si="28"/>
        <v>0</v>
      </c>
      <c r="AE135" s="82">
        <f t="shared" si="12"/>
        <v>0</v>
      </c>
      <c r="AF135" s="65"/>
      <c r="AG135" s="65"/>
    </row>
    <row r="136" spans="1:33" ht="25.5" hidden="1">
      <c r="A136" s="86" t="s">
        <v>277</v>
      </c>
      <c r="B136" s="51"/>
      <c r="C136" s="677"/>
      <c r="D136" s="845">
        <v>0</v>
      </c>
      <c r="E136" s="678"/>
      <c r="F136" s="681"/>
      <c r="G136" s="681"/>
      <c r="H136" s="681"/>
      <c r="I136" s="856"/>
      <c r="J136" s="856"/>
      <c r="K136" s="681"/>
      <c r="L136" s="681"/>
      <c r="M136" s="681"/>
      <c r="N136" s="681"/>
      <c r="O136" s="681"/>
      <c r="P136" s="681"/>
      <c r="Q136" s="681"/>
      <c r="R136" s="681"/>
      <c r="S136" s="681"/>
      <c r="T136" s="681"/>
      <c r="U136" s="681"/>
      <c r="V136" s="681"/>
      <c r="W136" s="681"/>
      <c r="X136" s="681"/>
      <c r="Y136" s="681"/>
      <c r="Z136" s="681"/>
      <c r="AA136" s="681"/>
      <c r="AB136" s="681"/>
      <c r="AC136" s="681"/>
      <c r="AD136" s="681"/>
      <c r="AE136" s="82">
        <f t="shared" si="12"/>
        <v>0</v>
      </c>
      <c r="AF136" s="65"/>
      <c r="AG136" s="65"/>
    </row>
    <row r="137" spans="1:33" ht="25.5" hidden="1">
      <c r="A137" s="86" t="s">
        <v>278</v>
      </c>
      <c r="B137" s="51"/>
      <c r="C137" s="677"/>
      <c r="D137" s="845">
        <v>0</v>
      </c>
      <c r="E137" s="678"/>
      <c r="F137" s="681"/>
      <c r="G137" s="681"/>
      <c r="H137" s="681"/>
      <c r="I137" s="856"/>
      <c r="J137" s="856"/>
      <c r="K137" s="681"/>
      <c r="L137" s="681"/>
      <c r="M137" s="681"/>
      <c r="N137" s="681"/>
      <c r="O137" s="681"/>
      <c r="P137" s="681"/>
      <c r="Q137" s="681"/>
      <c r="R137" s="681"/>
      <c r="S137" s="681"/>
      <c r="T137" s="681"/>
      <c r="U137" s="681"/>
      <c r="V137" s="681"/>
      <c r="W137" s="681"/>
      <c r="X137" s="681"/>
      <c r="Y137" s="681"/>
      <c r="Z137" s="681"/>
      <c r="AA137" s="681"/>
      <c r="AB137" s="681"/>
      <c r="AC137" s="681"/>
      <c r="AD137" s="681"/>
      <c r="AE137" s="82">
        <f t="shared" si="12"/>
        <v>0</v>
      </c>
      <c r="AF137" s="65"/>
      <c r="AG137" s="65"/>
    </row>
    <row r="138" spans="1:33" ht="25.5" hidden="1">
      <c r="A138" s="86" t="s">
        <v>279</v>
      </c>
      <c r="B138" s="51"/>
      <c r="C138" s="677"/>
      <c r="D138" s="845">
        <v>0</v>
      </c>
      <c r="E138" s="678"/>
      <c r="F138" s="681"/>
      <c r="G138" s="681"/>
      <c r="H138" s="681"/>
      <c r="I138" s="856"/>
      <c r="J138" s="856"/>
      <c r="K138" s="681"/>
      <c r="L138" s="681"/>
      <c r="M138" s="681"/>
      <c r="N138" s="681"/>
      <c r="O138" s="681"/>
      <c r="P138" s="681"/>
      <c r="Q138" s="681"/>
      <c r="R138" s="681"/>
      <c r="S138" s="681"/>
      <c r="T138" s="681"/>
      <c r="U138" s="681"/>
      <c r="V138" s="681"/>
      <c r="W138" s="681"/>
      <c r="X138" s="681"/>
      <c r="Y138" s="681"/>
      <c r="Z138" s="681"/>
      <c r="AA138" s="681"/>
      <c r="AB138" s="681"/>
      <c r="AC138" s="681"/>
      <c r="AD138" s="681"/>
      <c r="AE138" s="82">
        <f t="shared" si="12"/>
        <v>0</v>
      </c>
      <c r="AF138" s="65"/>
      <c r="AG138" s="65"/>
    </row>
    <row r="139" spans="1:33" ht="25.5" hidden="1">
      <c r="A139" s="86" t="s">
        <v>280</v>
      </c>
      <c r="B139" s="51"/>
      <c r="C139" s="677"/>
      <c r="D139" s="845">
        <v>0</v>
      </c>
      <c r="E139" s="678"/>
      <c r="F139" s="681"/>
      <c r="G139" s="681"/>
      <c r="H139" s="681"/>
      <c r="I139" s="856"/>
      <c r="J139" s="856"/>
      <c r="K139" s="681"/>
      <c r="L139" s="681"/>
      <c r="M139" s="681"/>
      <c r="N139" s="681"/>
      <c r="O139" s="681"/>
      <c r="P139" s="681"/>
      <c r="Q139" s="681"/>
      <c r="R139" s="681"/>
      <c r="S139" s="681"/>
      <c r="T139" s="681"/>
      <c r="U139" s="681"/>
      <c r="V139" s="681"/>
      <c r="W139" s="681"/>
      <c r="X139" s="681"/>
      <c r="Y139" s="681"/>
      <c r="Z139" s="681"/>
      <c r="AA139" s="681"/>
      <c r="AB139" s="681"/>
      <c r="AC139" s="681"/>
      <c r="AD139" s="681"/>
      <c r="AE139" s="82">
        <f t="shared" si="12"/>
        <v>0</v>
      </c>
      <c r="AF139" s="65"/>
      <c r="AG139" s="65"/>
    </row>
    <row r="140" spans="1:33" ht="25.5" hidden="1">
      <c r="A140" s="86" t="s">
        <v>281</v>
      </c>
      <c r="B140" s="51"/>
      <c r="C140" s="677"/>
      <c r="D140" s="845">
        <v>0</v>
      </c>
      <c r="E140" s="678"/>
      <c r="F140" s="681"/>
      <c r="G140" s="681"/>
      <c r="H140" s="681"/>
      <c r="I140" s="856"/>
      <c r="J140" s="856"/>
      <c r="K140" s="681"/>
      <c r="L140" s="681"/>
      <c r="M140" s="681"/>
      <c r="N140" s="681"/>
      <c r="O140" s="681"/>
      <c r="P140" s="681"/>
      <c r="Q140" s="681"/>
      <c r="R140" s="681"/>
      <c r="S140" s="681"/>
      <c r="T140" s="681"/>
      <c r="U140" s="681"/>
      <c r="V140" s="681"/>
      <c r="W140" s="681"/>
      <c r="X140" s="681"/>
      <c r="Y140" s="681"/>
      <c r="Z140" s="681"/>
      <c r="AA140" s="681"/>
      <c r="AB140" s="681"/>
      <c r="AC140" s="681"/>
      <c r="AD140" s="681"/>
      <c r="AE140" s="82">
        <f t="shared" si="12"/>
        <v>0</v>
      </c>
      <c r="AF140" s="65"/>
      <c r="AG140" s="65"/>
    </row>
    <row r="141" spans="1:33" hidden="1">
      <c r="A141" s="84" t="s">
        <v>282</v>
      </c>
      <c r="B141" s="37"/>
      <c r="C141" s="38"/>
      <c r="D141" s="846"/>
      <c r="E141" s="39"/>
      <c r="F141" s="54"/>
      <c r="G141" s="54">
        <f>G142+G148+G154+G160+G166</f>
        <v>0</v>
      </c>
      <c r="H141" s="54">
        <f t="shared" ref="H141:R141" si="29">H142+H148+H154+H160+H166</f>
        <v>0</v>
      </c>
      <c r="I141" s="461">
        <f t="shared" si="29"/>
        <v>0</v>
      </c>
      <c r="J141" s="461">
        <f t="shared" si="29"/>
        <v>0</v>
      </c>
      <c r="K141" s="54">
        <f t="shared" si="29"/>
        <v>0</v>
      </c>
      <c r="L141" s="54">
        <f t="shared" si="29"/>
        <v>0</v>
      </c>
      <c r="M141" s="54">
        <f t="shared" si="29"/>
        <v>0</v>
      </c>
      <c r="N141" s="54">
        <f t="shared" si="29"/>
        <v>0</v>
      </c>
      <c r="O141" s="54">
        <f t="shared" si="29"/>
        <v>0</v>
      </c>
      <c r="P141" s="54">
        <f t="shared" si="29"/>
        <v>0</v>
      </c>
      <c r="Q141" s="54">
        <f>Q142+Q148+Q154+Q160+Q166</f>
        <v>0</v>
      </c>
      <c r="R141" s="54">
        <f t="shared" si="29"/>
        <v>0</v>
      </c>
      <c r="S141" s="54">
        <f t="shared" ref="S141:AD141" si="30">S142+S148+S154</f>
        <v>0</v>
      </c>
      <c r="T141" s="54">
        <f t="shared" si="30"/>
        <v>0</v>
      </c>
      <c r="U141" s="54">
        <f t="shared" si="30"/>
        <v>0</v>
      </c>
      <c r="V141" s="54">
        <f t="shared" si="30"/>
        <v>0</v>
      </c>
      <c r="W141" s="54">
        <f t="shared" si="30"/>
        <v>0</v>
      </c>
      <c r="X141" s="54">
        <f t="shared" si="30"/>
        <v>0</v>
      </c>
      <c r="Y141" s="54">
        <f t="shared" si="30"/>
        <v>0</v>
      </c>
      <c r="Z141" s="54">
        <f t="shared" si="30"/>
        <v>0</v>
      </c>
      <c r="AA141" s="54">
        <f t="shared" si="30"/>
        <v>0</v>
      </c>
      <c r="AB141" s="54">
        <f t="shared" si="30"/>
        <v>0</v>
      </c>
      <c r="AC141" s="54">
        <f t="shared" si="30"/>
        <v>0</v>
      </c>
      <c r="AD141" s="54">
        <f t="shared" si="30"/>
        <v>0</v>
      </c>
      <c r="AE141" s="82">
        <f t="shared" si="12"/>
        <v>0</v>
      </c>
      <c r="AF141" s="65"/>
      <c r="AG141" s="65"/>
    </row>
    <row r="142" spans="1:33" ht="25.5" hidden="1">
      <c r="A142" s="85" t="s">
        <v>283</v>
      </c>
      <c r="B142" s="34"/>
      <c r="C142" s="35"/>
      <c r="D142" s="847"/>
      <c r="E142" s="36"/>
      <c r="F142" s="55"/>
      <c r="G142" s="55">
        <f>SUM(G143:G147)</f>
        <v>0</v>
      </c>
      <c r="H142" s="55">
        <f t="shared" ref="H142" si="31">SUM(H143:H147)</f>
        <v>0</v>
      </c>
      <c r="I142" s="857">
        <f>SUM(I143:I147)</f>
        <v>0</v>
      </c>
      <c r="J142" s="857">
        <f t="shared" ref="J142:AD142" si="32">SUM(J143:J147)</f>
        <v>0</v>
      </c>
      <c r="K142" s="55">
        <f t="shared" si="32"/>
        <v>0</v>
      </c>
      <c r="L142" s="55">
        <f t="shared" si="32"/>
        <v>0</v>
      </c>
      <c r="M142" s="55">
        <f t="shared" si="32"/>
        <v>0</v>
      </c>
      <c r="N142" s="55">
        <f t="shared" si="32"/>
        <v>0</v>
      </c>
      <c r="O142" s="55">
        <f t="shared" si="32"/>
        <v>0</v>
      </c>
      <c r="P142" s="55">
        <f t="shared" si="32"/>
        <v>0</v>
      </c>
      <c r="Q142" s="55">
        <f t="shared" si="32"/>
        <v>0</v>
      </c>
      <c r="R142" s="55">
        <f t="shared" si="32"/>
        <v>0</v>
      </c>
      <c r="S142" s="55">
        <f t="shared" si="32"/>
        <v>0</v>
      </c>
      <c r="T142" s="55">
        <f t="shared" si="32"/>
        <v>0</v>
      </c>
      <c r="U142" s="55">
        <f t="shared" si="32"/>
        <v>0</v>
      </c>
      <c r="V142" s="55">
        <f t="shared" si="32"/>
        <v>0</v>
      </c>
      <c r="W142" s="55">
        <f t="shared" si="32"/>
        <v>0</v>
      </c>
      <c r="X142" s="55">
        <f t="shared" si="32"/>
        <v>0</v>
      </c>
      <c r="Y142" s="55">
        <f t="shared" si="32"/>
        <v>0</v>
      </c>
      <c r="Z142" s="55">
        <f t="shared" si="32"/>
        <v>0</v>
      </c>
      <c r="AA142" s="55">
        <f t="shared" si="32"/>
        <v>0</v>
      </c>
      <c r="AB142" s="55">
        <f t="shared" si="32"/>
        <v>0</v>
      </c>
      <c r="AC142" s="55">
        <f t="shared" si="32"/>
        <v>0</v>
      </c>
      <c r="AD142" s="55">
        <f t="shared" si="32"/>
        <v>0</v>
      </c>
      <c r="AE142" s="82">
        <f t="shared" si="12"/>
        <v>0</v>
      </c>
      <c r="AF142" s="65"/>
      <c r="AG142" s="65"/>
    </row>
    <row r="143" spans="1:33" ht="25.5" hidden="1">
      <c r="A143" s="86" t="s">
        <v>284</v>
      </c>
      <c r="B143" s="51"/>
      <c r="C143" s="677"/>
      <c r="D143" s="845">
        <v>0</v>
      </c>
      <c r="E143" s="678"/>
      <c r="F143" s="681"/>
      <c r="G143" s="681"/>
      <c r="H143" s="681"/>
      <c r="I143" s="856"/>
      <c r="J143" s="856"/>
      <c r="K143" s="681"/>
      <c r="L143" s="681"/>
      <c r="M143" s="681"/>
      <c r="N143" s="681"/>
      <c r="O143" s="681"/>
      <c r="P143" s="681"/>
      <c r="Q143" s="681"/>
      <c r="R143" s="681"/>
      <c r="S143" s="681"/>
      <c r="T143" s="681"/>
      <c r="U143" s="681"/>
      <c r="V143" s="681"/>
      <c r="W143" s="681"/>
      <c r="X143" s="681"/>
      <c r="Y143" s="681"/>
      <c r="Z143" s="681"/>
      <c r="AA143" s="681"/>
      <c r="AB143" s="681"/>
      <c r="AC143" s="681"/>
      <c r="AD143" s="681"/>
      <c r="AE143" s="82">
        <f t="shared" si="12"/>
        <v>0</v>
      </c>
      <c r="AF143" s="65"/>
      <c r="AG143" s="65"/>
    </row>
    <row r="144" spans="1:33" ht="25.5" hidden="1">
      <c r="A144" s="86" t="s">
        <v>285</v>
      </c>
      <c r="B144" s="51"/>
      <c r="C144" s="677"/>
      <c r="D144" s="845">
        <v>0</v>
      </c>
      <c r="E144" s="678"/>
      <c r="F144" s="681"/>
      <c r="G144" s="681"/>
      <c r="H144" s="681"/>
      <c r="I144" s="856"/>
      <c r="J144" s="856"/>
      <c r="K144" s="681"/>
      <c r="L144" s="681"/>
      <c r="M144" s="681"/>
      <c r="N144" s="681"/>
      <c r="O144" s="681"/>
      <c r="P144" s="681"/>
      <c r="Q144" s="681"/>
      <c r="R144" s="681"/>
      <c r="S144" s="681"/>
      <c r="T144" s="681"/>
      <c r="U144" s="681"/>
      <c r="V144" s="681"/>
      <c r="W144" s="681"/>
      <c r="X144" s="681"/>
      <c r="Y144" s="681"/>
      <c r="Z144" s="681"/>
      <c r="AA144" s="681"/>
      <c r="AB144" s="681"/>
      <c r="AC144" s="681"/>
      <c r="AD144" s="681"/>
      <c r="AE144" s="82">
        <f t="shared" si="12"/>
        <v>0</v>
      </c>
      <c r="AF144" s="65"/>
      <c r="AG144" s="65"/>
    </row>
    <row r="145" spans="1:33" ht="25.5" hidden="1">
      <c r="A145" s="86" t="s">
        <v>286</v>
      </c>
      <c r="B145" s="51"/>
      <c r="C145" s="677"/>
      <c r="D145" s="845">
        <v>0</v>
      </c>
      <c r="E145" s="678"/>
      <c r="F145" s="681"/>
      <c r="G145" s="681"/>
      <c r="H145" s="681"/>
      <c r="I145" s="856"/>
      <c r="J145" s="856"/>
      <c r="K145" s="681"/>
      <c r="L145" s="681"/>
      <c r="M145" s="681"/>
      <c r="N145" s="681"/>
      <c r="O145" s="681"/>
      <c r="P145" s="681"/>
      <c r="Q145" s="681"/>
      <c r="R145" s="681"/>
      <c r="S145" s="681"/>
      <c r="T145" s="681"/>
      <c r="U145" s="681"/>
      <c r="V145" s="681"/>
      <c r="W145" s="681"/>
      <c r="X145" s="681"/>
      <c r="Y145" s="681"/>
      <c r="Z145" s="681"/>
      <c r="AA145" s="681"/>
      <c r="AB145" s="681"/>
      <c r="AC145" s="681"/>
      <c r="AD145" s="681"/>
      <c r="AE145" s="82">
        <f t="shared" ref="AE145:AE171" si="33">F145-SUM(G145:AD145)</f>
        <v>0</v>
      </c>
      <c r="AF145" s="65"/>
      <c r="AG145" s="65"/>
    </row>
    <row r="146" spans="1:33" ht="25.5" hidden="1">
      <c r="A146" s="86" t="s">
        <v>287</v>
      </c>
      <c r="B146" s="51"/>
      <c r="C146" s="677"/>
      <c r="D146" s="845">
        <v>0</v>
      </c>
      <c r="E146" s="678"/>
      <c r="F146" s="681"/>
      <c r="G146" s="681"/>
      <c r="H146" s="681"/>
      <c r="I146" s="856"/>
      <c r="J146" s="856"/>
      <c r="K146" s="681"/>
      <c r="L146" s="681"/>
      <c r="M146" s="681"/>
      <c r="N146" s="681"/>
      <c r="O146" s="681"/>
      <c r="P146" s="681"/>
      <c r="Q146" s="681"/>
      <c r="R146" s="681"/>
      <c r="S146" s="681"/>
      <c r="T146" s="681"/>
      <c r="U146" s="681"/>
      <c r="V146" s="681"/>
      <c r="W146" s="681"/>
      <c r="X146" s="681"/>
      <c r="Y146" s="681"/>
      <c r="Z146" s="681"/>
      <c r="AA146" s="681"/>
      <c r="AB146" s="681"/>
      <c r="AC146" s="681"/>
      <c r="AD146" s="681"/>
      <c r="AE146" s="82">
        <f t="shared" si="33"/>
        <v>0</v>
      </c>
      <c r="AF146" s="65"/>
      <c r="AG146" s="65"/>
    </row>
    <row r="147" spans="1:33" ht="25.5" hidden="1">
      <c r="A147" s="86" t="s">
        <v>288</v>
      </c>
      <c r="B147" s="51"/>
      <c r="C147" s="677"/>
      <c r="D147" s="845">
        <v>0</v>
      </c>
      <c r="E147" s="678"/>
      <c r="F147" s="681"/>
      <c r="G147" s="681"/>
      <c r="H147" s="681"/>
      <c r="I147" s="856"/>
      <c r="J147" s="856"/>
      <c r="K147" s="681"/>
      <c r="L147" s="681"/>
      <c r="M147" s="681"/>
      <c r="N147" s="681"/>
      <c r="O147" s="681"/>
      <c r="P147" s="681"/>
      <c r="Q147" s="681"/>
      <c r="R147" s="681"/>
      <c r="S147" s="681"/>
      <c r="T147" s="681"/>
      <c r="U147" s="681"/>
      <c r="V147" s="681"/>
      <c r="W147" s="681"/>
      <c r="X147" s="681"/>
      <c r="Y147" s="681"/>
      <c r="Z147" s="681"/>
      <c r="AA147" s="681"/>
      <c r="AB147" s="681"/>
      <c r="AC147" s="681"/>
      <c r="AD147" s="681"/>
      <c r="AE147" s="82">
        <f t="shared" si="33"/>
        <v>0</v>
      </c>
      <c r="AF147" s="65"/>
      <c r="AG147" s="65"/>
    </row>
    <row r="148" spans="1:33" ht="25.5" hidden="1">
      <c r="A148" s="85" t="s">
        <v>289</v>
      </c>
      <c r="B148" s="34"/>
      <c r="C148" s="35"/>
      <c r="D148" s="847"/>
      <c r="E148" s="36"/>
      <c r="F148" s="55"/>
      <c r="G148" s="55">
        <f>SUM(G149:G153)</f>
        <v>0</v>
      </c>
      <c r="H148" s="55">
        <f t="shared" ref="H148:I148" si="34">SUM(H149:H153)</f>
        <v>0</v>
      </c>
      <c r="I148" s="857">
        <f t="shared" si="34"/>
        <v>0</v>
      </c>
      <c r="J148" s="857">
        <f>SUM(J149:J153)</f>
        <v>0</v>
      </c>
      <c r="K148" s="55">
        <f t="shared" ref="K148:AD148" si="35">SUM(K149:K153)</f>
        <v>0</v>
      </c>
      <c r="L148" s="55">
        <f t="shared" si="35"/>
        <v>0</v>
      </c>
      <c r="M148" s="55">
        <f t="shared" si="35"/>
        <v>0</v>
      </c>
      <c r="N148" s="55">
        <f t="shared" si="35"/>
        <v>0</v>
      </c>
      <c r="O148" s="55">
        <f t="shared" si="35"/>
        <v>0</v>
      </c>
      <c r="P148" s="55">
        <f t="shared" si="35"/>
        <v>0</v>
      </c>
      <c r="Q148" s="55">
        <f t="shared" si="35"/>
        <v>0</v>
      </c>
      <c r="R148" s="55">
        <f t="shared" si="35"/>
        <v>0</v>
      </c>
      <c r="S148" s="55">
        <f t="shared" si="35"/>
        <v>0</v>
      </c>
      <c r="T148" s="55">
        <f t="shared" si="35"/>
        <v>0</v>
      </c>
      <c r="U148" s="55">
        <f t="shared" si="35"/>
        <v>0</v>
      </c>
      <c r="V148" s="55">
        <f t="shared" si="35"/>
        <v>0</v>
      </c>
      <c r="W148" s="55">
        <f t="shared" si="35"/>
        <v>0</v>
      </c>
      <c r="X148" s="55">
        <f t="shared" si="35"/>
        <v>0</v>
      </c>
      <c r="Y148" s="55">
        <f t="shared" si="35"/>
        <v>0</v>
      </c>
      <c r="Z148" s="55">
        <f t="shared" si="35"/>
        <v>0</v>
      </c>
      <c r="AA148" s="55">
        <f t="shared" si="35"/>
        <v>0</v>
      </c>
      <c r="AB148" s="55">
        <f t="shared" si="35"/>
        <v>0</v>
      </c>
      <c r="AC148" s="55">
        <f t="shared" si="35"/>
        <v>0</v>
      </c>
      <c r="AD148" s="55">
        <f t="shared" si="35"/>
        <v>0</v>
      </c>
      <c r="AE148" s="82">
        <f t="shared" si="33"/>
        <v>0</v>
      </c>
      <c r="AF148" s="65"/>
      <c r="AG148" s="65"/>
    </row>
    <row r="149" spans="1:33" ht="25.5" hidden="1">
      <c r="A149" s="86" t="s">
        <v>290</v>
      </c>
      <c r="B149" s="51"/>
      <c r="C149" s="677"/>
      <c r="D149" s="845">
        <v>0</v>
      </c>
      <c r="E149" s="678"/>
      <c r="F149" s="681"/>
      <c r="G149" s="681"/>
      <c r="H149" s="681"/>
      <c r="I149" s="856"/>
      <c r="J149" s="856"/>
      <c r="K149" s="681"/>
      <c r="L149" s="681"/>
      <c r="M149" s="681"/>
      <c r="N149" s="681"/>
      <c r="O149" s="681"/>
      <c r="P149" s="681"/>
      <c r="Q149" s="681"/>
      <c r="R149" s="681"/>
      <c r="S149" s="681"/>
      <c r="T149" s="681"/>
      <c r="U149" s="681"/>
      <c r="V149" s="681"/>
      <c r="W149" s="681"/>
      <c r="X149" s="681"/>
      <c r="Y149" s="681"/>
      <c r="Z149" s="681"/>
      <c r="AA149" s="681"/>
      <c r="AB149" s="681"/>
      <c r="AC149" s="681"/>
      <c r="AD149" s="681"/>
      <c r="AE149" s="82">
        <f t="shared" si="33"/>
        <v>0</v>
      </c>
      <c r="AF149" s="65"/>
      <c r="AG149" s="65"/>
    </row>
    <row r="150" spans="1:33" ht="25.5" hidden="1">
      <c r="A150" s="86" t="s">
        <v>291</v>
      </c>
      <c r="B150" s="51"/>
      <c r="C150" s="677"/>
      <c r="D150" s="845">
        <v>0</v>
      </c>
      <c r="E150" s="678"/>
      <c r="F150" s="681"/>
      <c r="G150" s="681"/>
      <c r="H150" s="681"/>
      <c r="I150" s="856"/>
      <c r="J150" s="856"/>
      <c r="K150" s="681"/>
      <c r="L150" s="681"/>
      <c r="M150" s="681"/>
      <c r="N150" s="681"/>
      <c r="O150" s="681"/>
      <c r="P150" s="681"/>
      <c r="Q150" s="681"/>
      <c r="R150" s="681"/>
      <c r="S150" s="681"/>
      <c r="T150" s="681"/>
      <c r="U150" s="681"/>
      <c r="V150" s="681"/>
      <c r="W150" s="681"/>
      <c r="X150" s="681"/>
      <c r="Y150" s="681"/>
      <c r="Z150" s="681"/>
      <c r="AA150" s="681"/>
      <c r="AB150" s="681"/>
      <c r="AC150" s="681"/>
      <c r="AD150" s="681"/>
      <c r="AE150" s="82">
        <f t="shared" si="33"/>
        <v>0</v>
      </c>
      <c r="AF150" s="65"/>
      <c r="AG150" s="65"/>
    </row>
    <row r="151" spans="1:33" ht="25.5" hidden="1">
      <c r="A151" s="86" t="s">
        <v>292</v>
      </c>
      <c r="B151" s="51"/>
      <c r="C151" s="677"/>
      <c r="D151" s="845">
        <v>0</v>
      </c>
      <c r="E151" s="678"/>
      <c r="F151" s="681"/>
      <c r="G151" s="681"/>
      <c r="H151" s="681"/>
      <c r="I151" s="856"/>
      <c r="J151" s="856"/>
      <c r="K151" s="681"/>
      <c r="L151" s="681"/>
      <c r="M151" s="681"/>
      <c r="N151" s="681"/>
      <c r="O151" s="681"/>
      <c r="P151" s="681"/>
      <c r="Q151" s="681"/>
      <c r="R151" s="681"/>
      <c r="S151" s="681"/>
      <c r="T151" s="681"/>
      <c r="U151" s="681"/>
      <c r="V151" s="681"/>
      <c r="W151" s="681"/>
      <c r="X151" s="681"/>
      <c r="Y151" s="681"/>
      <c r="Z151" s="681"/>
      <c r="AA151" s="681"/>
      <c r="AB151" s="681"/>
      <c r="AC151" s="681"/>
      <c r="AD151" s="681"/>
      <c r="AE151" s="82">
        <f t="shared" si="33"/>
        <v>0</v>
      </c>
      <c r="AF151" s="65"/>
      <c r="AG151" s="65"/>
    </row>
    <row r="152" spans="1:33" ht="25.5" hidden="1">
      <c r="A152" s="86" t="s">
        <v>293</v>
      </c>
      <c r="B152" s="51"/>
      <c r="C152" s="677"/>
      <c r="D152" s="845">
        <v>0</v>
      </c>
      <c r="E152" s="678"/>
      <c r="F152" s="681"/>
      <c r="G152" s="681"/>
      <c r="H152" s="681"/>
      <c r="I152" s="856"/>
      <c r="J152" s="856"/>
      <c r="K152" s="681"/>
      <c r="L152" s="681"/>
      <c r="M152" s="681"/>
      <c r="N152" s="681"/>
      <c r="O152" s="681"/>
      <c r="P152" s="681"/>
      <c r="Q152" s="681"/>
      <c r="R152" s="681"/>
      <c r="S152" s="681"/>
      <c r="T152" s="681"/>
      <c r="U152" s="681"/>
      <c r="V152" s="681"/>
      <c r="W152" s="681"/>
      <c r="X152" s="681"/>
      <c r="Y152" s="681"/>
      <c r="Z152" s="681"/>
      <c r="AA152" s="681"/>
      <c r="AB152" s="681"/>
      <c r="AC152" s="681"/>
      <c r="AD152" s="681"/>
      <c r="AE152" s="82">
        <f t="shared" si="33"/>
        <v>0</v>
      </c>
      <c r="AF152" s="65"/>
      <c r="AG152" s="65"/>
    </row>
    <row r="153" spans="1:33" ht="25.5" hidden="1">
      <c r="A153" s="86" t="s">
        <v>294</v>
      </c>
      <c r="B153" s="51"/>
      <c r="C153" s="677"/>
      <c r="D153" s="845">
        <v>0</v>
      </c>
      <c r="E153" s="678"/>
      <c r="F153" s="681"/>
      <c r="G153" s="681"/>
      <c r="H153" s="681"/>
      <c r="I153" s="856"/>
      <c r="J153" s="856"/>
      <c r="K153" s="681"/>
      <c r="L153" s="681"/>
      <c r="M153" s="681"/>
      <c r="N153" s="681"/>
      <c r="O153" s="681"/>
      <c r="P153" s="681"/>
      <c r="Q153" s="681"/>
      <c r="R153" s="681"/>
      <c r="S153" s="681"/>
      <c r="T153" s="681"/>
      <c r="U153" s="681"/>
      <c r="V153" s="681"/>
      <c r="W153" s="681"/>
      <c r="X153" s="681"/>
      <c r="Y153" s="681"/>
      <c r="Z153" s="681"/>
      <c r="AA153" s="681"/>
      <c r="AB153" s="681"/>
      <c r="AC153" s="681"/>
      <c r="AD153" s="681"/>
      <c r="AE153" s="82">
        <f t="shared" si="33"/>
        <v>0</v>
      </c>
      <c r="AF153" s="65"/>
      <c r="AG153" s="65"/>
    </row>
    <row r="154" spans="1:33" ht="25.5" hidden="1">
      <c r="A154" s="85" t="s">
        <v>295</v>
      </c>
      <c r="B154" s="34"/>
      <c r="C154" s="35"/>
      <c r="D154" s="847"/>
      <c r="E154" s="36"/>
      <c r="F154" s="55"/>
      <c r="G154" s="55">
        <f>SUM(G155:G159)</f>
        <v>0</v>
      </c>
      <c r="H154" s="55">
        <f t="shared" ref="H154:I154" si="36">SUM(H155:H159)</f>
        <v>0</v>
      </c>
      <c r="I154" s="857">
        <f t="shared" si="36"/>
        <v>0</v>
      </c>
      <c r="J154" s="857">
        <f>SUM(J155:J159)</f>
        <v>0</v>
      </c>
      <c r="K154" s="55">
        <f t="shared" ref="K154:AD154" si="37">SUM(K155:K159)</f>
        <v>0</v>
      </c>
      <c r="L154" s="55">
        <f t="shared" si="37"/>
        <v>0</v>
      </c>
      <c r="M154" s="55">
        <f t="shared" si="37"/>
        <v>0</v>
      </c>
      <c r="N154" s="55">
        <f t="shared" si="37"/>
        <v>0</v>
      </c>
      <c r="O154" s="55">
        <f t="shared" si="37"/>
        <v>0</v>
      </c>
      <c r="P154" s="55">
        <f t="shared" si="37"/>
        <v>0</v>
      </c>
      <c r="Q154" s="55">
        <f t="shared" si="37"/>
        <v>0</v>
      </c>
      <c r="R154" s="55">
        <f t="shared" si="37"/>
        <v>0</v>
      </c>
      <c r="S154" s="55">
        <f t="shared" si="37"/>
        <v>0</v>
      </c>
      <c r="T154" s="55">
        <f t="shared" si="37"/>
        <v>0</v>
      </c>
      <c r="U154" s="55">
        <f t="shared" si="37"/>
        <v>0</v>
      </c>
      <c r="V154" s="55">
        <f t="shared" si="37"/>
        <v>0</v>
      </c>
      <c r="W154" s="55">
        <f t="shared" si="37"/>
        <v>0</v>
      </c>
      <c r="X154" s="55">
        <f t="shared" si="37"/>
        <v>0</v>
      </c>
      <c r="Y154" s="55">
        <f t="shared" si="37"/>
        <v>0</v>
      </c>
      <c r="Z154" s="55">
        <f t="shared" si="37"/>
        <v>0</v>
      </c>
      <c r="AA154" s="55">
        <f t="shared" si="37"/>
        <v>0</v>
      </c>
      <c r="AB154" s="55">
        <f t="shared" si="37"/>
        <v>0</v>
      </c>
      <c r="AC154" s="55">
        <f t="shared" si="37"/>
        <v>0</v>
      </c>
      <c r="AD154" s="55">
        <f t="shared" si="37"/>
        <v>0</v>
      </c>
      <c r="AE154" s="82">
        <f t="shared" si="33"/>
        <v>0</v>
      </c>
      <c r="AF154" s="65"/>
      <c r="AG154" s="65"/>
    </row>
    <row r="155" spans="1:33" ht="25.5" hidden="1">
      <c r="A155" s="86" t="s">
        <v>296</v>
      </c>
      <c r="B155" s="51"/>
      <c r="C155" s="677"/>
      <c r="D155" s="845">
        <v>0</v>
      </c>
      <c r="E155" s="678"/>
      <c r="F155" s="681"/>
      <c r="G155" s="681"/>
      <c r="H155" s="681"/>
      <c r="I155" s="856"/>
      <c r="J155" s="856"/>
      <c r="K155" s="681"/>
      <c r="L155" s="681"/>
      <c r="M155" s="681"/>
      <c r="N155" s="681"/>
      <c r="O155" s="681"/>
      <c r="P155" s="681"/>
      <c r="Q155" s="681"/>
      <c r="R155" s="681"/>
      <c r="S155" s="681"/>
      <c r="T155" s="681"/>
      <c r="U155" s="681"/>
      <c r="V155" s="681"/>
      <c r="W155" s="681"/>
      <c r="X155" s="681"/>
      <c r="Y155" s="681"/>
      <c r="Z155" s="681"/>
      <c r="AA155" s="681"/>
      <c r="AB155" s="681"/>
      <c r="AC155" s="681"/>
      <c r="AD155" s="681"/>
      <c r="AE155" s="82">
        <f t="shared" si="33"/>
        <v>0</v>
      </c>
      <c r="AF155" s="65"/>
      <c r="AG155" s="65"/>
    </row>
    <row r="156" spans="1:33" ht="25.5" hidden="1">
      <c r="A156" s="86" t="s">
        <v>297</v>
      </c>
      <c r="B156" s="51"/>
      <c r="C156" s="677"/>
      <c r="D156" s="845">
        <v>0</v>
      </c>
      <c r="E156" s="678"/>
      <c r="F156" s="681"/>
      <c r="G156" s="681"/>
      <c r="H156" s="681"/>
      <c r="I156" s="856"/>
      <c r="J156" s="856"/>
      <c r="K156" s="681"/>
      <c r="L156" s="681"/>
      <c r="M156" s="681"/>
      <c r="N156" s="681"/>
      <c r="O156" s="681"/>
      <c r="P156" s="681"/>
      <c r="Q156" s="681"/>
      <c r="R156" s="681"/>
      <c r="S156" s="681"/>
      <c r="T156" s="681"/>
      <c r="U156" s="681"/>
      <c r="V156" s="681"/>
      <c r="W156" s="681"/>
      <c r="X156" s="681"/>
      <c r="Y156" s="681"/>
      <c r="Z156" s="681"/>
      <c r="AA156" s="681"/>
      <c r="AB156" s="681"/>
      <c r="AC156" s="681"/>
      <c r="AD156" s="681"/>
      <c r="AE156" s="82">
        <f t="shared" si="33"/>
        <v>0</v>
      </c>
      <c r="AF156" s="65"/>
      <c r="AG156" s="65"/>
    </row>
    <row r="157" spans="1:33" ht="25.5" hidden="1">
      <c r="A157" s="86" t="s">
        <v>298</v>
      </c>
      <c r="B157" s="51"/>
      <c r="C157" s="677"/>
      <c r="D157" s="845">
        <v>0</v>
      </c>
      <c r="E157" s="678"/>
      <c r="F157" s="681"/>
      <c r="G157" s="681"/>
      <c r="H157" s="681"/>
      <c r="I157" s="856"/>
      <c r="J157" s="856"/>
      <c r="K157" s="681"/>
      <c r="L157" s="681"/>
      <c r="M157" s="681"/>
      <c r="N157" s="681"/>
      <c r="O157" s="681"/>
      <c r="P157" s="681"/>
      <c r="Q157" s="681"/>
      <c r="R157" s="681"/>
      <c r="S157" s="681"/>
      <c r="T157" s="681"/>
      <c r="U157" s="681"/>
      <c r="V157" s="681"/>
      <c r="W157" s="681"/>
      <c r="X157" s="681"/>
      <c r="Y157" s="681"/>
      <c r="Z157" s="681"/>
      <c r="AA157" s="681"/>
      <c r="AB157" s="681"/>
      <c r="AC157" s="681"/>
      <c r="AD157" s="681"/>
      <c r="AE157" s="82">
        <f t="shared" si="33"/>
        <v>0</v>
      </c>
      <c r="AF157" s="65"/>
      <c r="AG157" s="65"/>
    </row>
    <row r="158" spans="1:33" ht="25.5" hidden="1">
      <c r="A158" s="86" t="s">
        <v>299</v>
      </c>
      <c r="B158" s="51"/>
      <c r="C158" s="677"/>
      <c r="D158" s="845">
        <v>0</v>
      </c>
      <c r="E158" s="678"/>
      <c r="F158" s="681"/>
      <c r="G158" s="681"/>
      <c r="H158" s="681"/>
      <c r="I158" s="856"/>
      <c r="J158" s="856"/>
      <c r="K158" s="681"/>
      <c r="L158" s="681"/>
      <c r="M158" s="681"/>
      <c r="N158" s="681"/>
      <c r="O158" s="681"/>
      <c r="P158" s="681"/>
      <c r="Q158" s="681"/>
      <c r="R158" s="681"/>
      <c r="S158" s="681"/>
      <c r="T158" s="681"/>
      <c r="U158" s="681"/>
      <c r="V158" s="681"/>
      <c r="W158" s="681"/>
      <c r="X158" s="681"/>
      <c r="Y158" s="681"/>
      <c r="Z158" s="681"/>
      <c r="AA158" s="681"/>
      <c r="AB158" s="681"/>
      <c r="AC158" s="681"/>
      <c r="AD158" s="681"/>
      <c r="AE158" s="82">
        <f t="shared" si="33"/>
        <v>0</v>
      </c>
      <c r="AF158" s="65"/>
      <c r="AG158" s="65"/>
    </row>
    <row r="159" spans="1:33" ht="25.5" hidden="1">
      <c r="A159" s="86" t="s">
        <v>300</v>
      </c>
      <c r="B159" s="51"/>
      <c r="C159" s="677"/>
      <c r="D159" s="845">
        <v>0</v>
      </c>
      <c r="E159" s="678"/>
      <c r="F159" s="681"/>
      <c r="G159" s="681"/>
      <c r="H159" s="681"/>
      <c r="I159" s="856"/>
      <c r="J159" s="856"/>
      <c r="K159" s="681"/>
      <c r="L159" s="681"/>
      <c r="M159" s="681"/>
      <c r="N159" s="681"/>
      <c r="O159" s="681"/>
      <c r="P159" s="681"/>
      <c r="Q159" s="681"/>
      <c r="R159" s="681"/>
      <c r="S159" s="681"/>
      <c r="T159" s="681"/>
      <c r="U159" s="681"/>
      <c r="V159" s="681"/>
      <c r="W159" s="681"/>
      <c r="X159" s="681"/>
      <c r="Y159" s="681"/>
      <c r="Z159" s="681"/>
      <c r="AA159" s="681"/>
      <c r="AB159" s="681"/>
      <c r="AC159" s="681"/>
      <c r="AD159" s="681"/>
      <c r="AE159" s="82">
        <f t="shared" si="33"/>
        <v>0</v>
      </c>
      <c r="AF159" s="65"/>
      <c r="AG159" s="65"/>
    </row>
    <row r="160" spans="1:33" ht="25.5" hidden="1">
      <c r="A160" s="85" t="s">
        <v>301</v>
      </c>
      <c r="B160" s="34"/>
      <c r="C160" s="35"/>
      <c r="D160" s="847"/>
      <c r="E160" s="36"/>
      <c r="F160" s="55"/>
      <c r="G160" s="55">
        <f>SUM(G161:G165)</f>
        <v>0</v>
      </c>
      <c r="H160" s="55">
        <f>SUM(H161:H165)</f>
        <v>0</v>
      </c>
      <c r="I160" s="857">
        <f t="shared" ref="I160" si="38">SUM(I161:I165)</f>
        <v>0</v>
      </c>
      <c r="J160" s="857">
        <f>SUM(J161:J165)</f>
        <v>0</v>
      </c>
      <c r="K160" s="55">
        <f t="shared" ref="K160:AD160" si="39">SUM(K161:K165)</f>
        <v>0</v>
      </c>
      <c r="L160" s="55">
        <f t="shared" si="39"/>
        <v>0</v>
      </c>
      <c r="M160" s="55">
        <f t="shared" si="39"/>
        <v>0</v>
      </c>
      <c r="N160" s="55">
        <f t="shared" si="39"/>
        <v>0</v>
      </c>
      <c r="O160" s="55">
        <f t="shared" si="39"/>
        <v>0</v>
      </c>
      <c r="P160" s="55">
        <f t="shared" si="39"/>
        <v>0</v>
      </c>
      <c r="Q160" s="55">
        <f t="shared" si="39"/>
        <v>0</v>
      </c>
      <c r="R160" s="55">
        <f t="shared" si="39"/>
        <v>0</v>
      </c>
      <c r="S160" s="55">
        <f t="shared" si="39"/>
        <v>0</v>
      </c>
      <c r="T160" s="55">
        <f t="shared" si="39"/>
        <v>0</v>
      </c>
      <c r="U160" s="55">
        <f t="shared" si="39"/>
        <v>0</v>
      </c>
      <c r="V160" s="55">
        <f t="shared" si="39"/>
        <v>0</v>
      </c>
      <c r="W160" s="55">
        <f t="shared" si="39"/>
        <v>0</v>
      </c>
      <c r="X160" s="55">
        <f t="shared" si="39"/>
        <v>0</v>
      </c>
      <c r="Y160" s="55">
        <f t="shared" si="39"/>
        <v>0</v>
      </c>
      <c r="Z160" s="55">
        <f t="shared" si="39"/>
        <v>0</v>
      </c>
      <c r="AA160" s="55">
        <f t="shared" si="39"/>
        <v>0</v>
      </c>
      <c r="AB160" s="55">
        <f t="shared" si="39"/>
        <v>0</v>
      </c>
      <c r="AC160" s="55">
        <f t="shared" si="39"/>
        <v>0</v>
      </c>
      <c r="AD160" s="55">
        <f t="shared" si="39"/>
        <v>0</v>
      </c>
      <c r="AE160" s="82">
        <f t="shared" si="33"/>
        <v>0</v>
      </c>
      <c r="AF160" s="65"/>
      <c r="AG160" s="65"/>
    </row>
    <row r="161" spans="1:33" ht="25.5" hidden="1">
      <c r="A161" s="86" t="s">
        <v>302</v>
      </c>
      <c r="B161" s="51"/>
      <c r="C161" s="677"/>
      <c r="D161" s="845">
        <v>0</v>
      </c>
      <c r="E161" s="678"/>
      <c r="F161" s="681"/>
      <c r="G161" s="681"/>
      <c r="H161" s="681"/>
      <c r="I161" s="856"/>
      <c r="J161" s="856"/>
      <c r="K161" s="681"/>
      <c r="L161" s="681"/>
      <c r="M161" s="681"/>
      <c r="N161" s="681"/>
      <c r="O161" s="681"/>
      <c r="P161" s="681"/>
      <c r="Q161" s="681"/>
      <c r="R161" s="681"/>
      <c r="S161" s="681"/>
      <c r="T161" s="681"/>
      <c r="U161" s="681"/>
      <c r="V161" s="681"/>
      <c r="W161" s="681"/>
      <c r="X161" s="681"/>
      <c r="Y161" s="681"/>
      <c r="Z161" s="681"/>
      <c r="AA161" s="681"/>
      <c r="AB161" s="681"/>
      <c r="AC161" s="681"/>
      <c r="AD161" s="681"/>
      <c r="AE161" s="82">
        <f t="shared" si="33"/>
        <v>0</v>
      </c>
      <c r="AF161" s="65"/>
      <c r="AG161" s="65"/>
    </row>
    <row r="162" spans="1:33" ht="25.5" hidden="1">
      <c r="A162" s="86" t="s">
        <v>303</v>
      </c>
      <c r="B162" s="51"/>
      <c r="C162" s="677"/>
      <c r="D162" s="845">
        <v>0</v>
      </c>
      <c r="E162" s="678"/>
      <c r="F162" s="681"/>
      <c r="G162" s="681"/>
      <c r="H162" s="681"/>
      <c r="I162" s="856"/>
      <c r="J162" s="856"/>
      <c r="K162" s="681"/>
      <c r="L162" s="681"/>
      <c r="M162" s="681"/>
      <c r="N162" s="681"/>
      <c r="O162" s="681"/>
      <c r="P162" s="681"/>
      <c r="Q162" s="681"/>
      <c r="R162" s="681"/>
      <c r="S162" s="681"/>
      <c r="T162" s="681"/>
      <c r="U162" s="681"/>
      <c r="V162" s="681"/>
      <c r="W162" s="681"/>
      <c r="X162" s="681"/>
      <c r="Y162" s="681"/>
      <c r="Z162" s="681"/>
      <c r="AA162" s="681"/>
      <c r="AB162" s="681"/>
      <c r="AC162" s="681"/>
      <c r="AD162" s="681"/>
      <c r="AE162" s="82">
        <f t="shared" si="33"/>
        <v>0</v>
      </c>
      <c r="AF162" s="65"/>
      <c r="AG162" s="65"/>
    </row>
    <row r="163" spans="1:33" ht="25.5" hidden="1">
      <c r="A163" s="86" t="s">
        <v>304</v>
      </c>
      <c r="B163" s="51"/>
      <c r="C163" s="677"/>
      <c r="D163" s="845">
        <v>0</v>
      </c>
      <c r="E163" s="678"/>
      <c r="F163" s="681"/>
      <c r="G163" s="681"/>
      <c r="H163" s="681"/>
      <c r="I163" s="856"/>
      <c r="J163" s="856"/>
      <c r="K163" s="681"/>
      <c r="L163" s="681"/>
      <c r="M163" s="681"/>
      <c r="N163" s="681"/>
      <c r="O163" s="681"/>
      <c r="P163" s="681"/>
      <c r="Q163" s="681"/>
      <c r="R163" s="681"/>
      <c r="S163" s="681"/>
      <c r="T163" s="681"/>
      <c r="U163" s="681"/>
      <c r="V163" s="681"/>
      <c r="W163" s="681"/>
      <c r="X163" s="681"/>
      <c r="Y163" s="681"/>
      <c r="Z163" s="681"/>
      <c r="AA163" s="681"/>
      <c r="AB163" s="681"/>
      <c r="AC163" s="681"/>
      <c r="AD163" s="681"/>
      <c r="AE163" s="82">
        <f t="shared" si="33"/>
        <v>0</v>
      </c>
      <c r="AF163" s="65"/>
      <c r="AG163" s="65"/>
    </row>
    <row r="164" spans="1:33" ht="25.5" hidden="1">
      <c r="A164" s="86" t="s">
        <v>305</v>
      </c>
      <c r="B164" s="51"/>
      <c r="C164" s="677"/>
      <c r="D164" s="845">
        <v>0</v>
      </c>
      <c r="E164" s="678"/>
      <c r="F164" s="681"/>
      <c r="G164" s="681"/>
      <c r="H164" s="681"/>
      <c r="I164" s="856"/>
      <c r="J164" s="856"/>
      <c r="K164" s="681"/>
      <c r="L164" s="681"/>
      <c r="M164" s="681"/>
      <c r="N164" s="681"/>
      <c r="O164" s="681"/>
      <c r="P164" s="681"/>
      <c r="Q164" s="681"/>
      <c r="R164" s="681"/>
      <c r="S164" s="681"/>
      <c r="T164" s="681"/>
      <c r="U164" s="681"/>
      <c r="V164" s="681"/>
      <c r="W164" s="681"/>
      <c r="X164" s="681"/>
      <c r="Y164" s="681"/>
      <c r="Z164" s="681"/>
      <c r="AA164" s="681"/>
      <c r="AB164" s="681"/>
      <c r="AC164" s="681"/>
      <c r="AD164" s="681"/>
      <c r="AE164" s="82">
        <f t="shared" si="33"/>
        <v>0</v>
      </c>
      <c r="AF164" s="65"/>
      <c r="AG164" s="65"/>
    </row>
    <row r="165" spans="1:33" ht="25.5" hidden="1">
      <c r="A165" s="86" t="s">
        <v>306</v>
      </c>
      <c r="B165" s="51"/>
      <c r="C165" s="677"/>
      <c r="D165" s="845">
        <v>0</v>
      </c>
      <c r="E165" s="678"/>
      <c r="F165" s="681"/>
      <c r="G165" s="681"/>
      <c r="H165" s="681"/>
      <c r="I165" s="856"/>
      <c r="J165" s="856"/>
      <c r="K165" s="681"/>
      <c r="L165" s="681"/>
      <c r="M165" s="681"/>
      <c r="N165" s="681"/>
      <c r="O165" s="681"/>
      <c r="P165" s="681"/>
      <c r="Q165" s="681"/>
      <c r="R165" s="681"/>
      <c r="S165" s="681"/>
      <c r="T165" s="681"/>
      <c r="U165" s="681"/>
      <c r="V165" s="681"/>
      <c r="W165" s="681"/>
      <c r="X165" s="681"/>
      <c r="Y165" s="681"/>
      <c r="Z165" s="681"/>
      <c r="AA165" s="681"/>
      <c r="AB165" s="681"/>
      <c r="AC165" s="681"/>
      <c r="AD165" s="681"/>
      <c r="AE165" s="82">
        <f t="shared" si="33"/>
        <v>0</v>
      </c>
      <c r="AF165" s="65"/>
      <c r="AG165" s="65"/>
    </row>
    <row r="166" spans="1:33" ht="25.5" hidden="1">
      <c r="A166" s="85" t="s">
        <v>307</v>
      </c>
      <c r="B166" s="34"/>
      <c r="C166" s="35"/>
      <c r="D166" s="847"/>
      <c r="E166" s="36"/>
      <c r="F166" s="55"/>
      <c r="G166" s="55">
        <f>SUM(G167:G171)</f>
        <v>0</v>
      </c>
      <c r="H166" s="55">
        <f>SUM(H167:H171)</f>
        <v>0</v>
      </c>
      <c r="I166" s="857">
        <f t="shared" ref="I166" si="40">SUM(I167:I171)</f>
        <v>0</v>
      </c>
      <c r="J166" s="857">
        <f>SUM(J167:J171)</f>
        <v>0</v>
      </c>
      <c r="K166" s="55">
        <f t="shared" ref="K166:AD166" si="41">SUM(K167:K171)</f>
        <v>0</v>
      </c>
      <c r="L166" s="55">
        <f t="shared" si="41"/>
        <v>0</v>
      </c>
      <c r="M166" s="55">
        <f t="shared" si="41"/>
        <v>0</v>
      </c>
      <c r="N166" s="55">
        <f t="shared" si="41"/>
        <v>0</v>
      </c>
      <c r="O166" s="55">
        <f t="shared" si="41"/>
        <v>0</v>
      </c>
      <c r="P166" s="55">
        <f t="shared" si="41"/>
        <v>0</v>
      </c>
      <c r="Q166" s="55">
        <f t="shared" si="41"/>
        <v>0</v>
      </c>
      <c r="R166" s="55">
        <f t="shared" si="41"/>
        <v>0</v>
      </c>
      <c r="S166" s="55">
        <f t="shared" si="41"/>
        <v>0</v>
      </c>
      <c r="T166" s="55">
        <f t="shared" si="41"/>
        <v>0</v>
      </c>
      <c r="U166" s="55">
        <f t="shared" si="41"/>
        <v>0</v>
      </c>
      <c r="V166" s="55">
        <f t="shared" si="41"/>
        <v>0</v>
      </c>
      <c r="W166" s="55">
        <f t="shared" si="41"/>
        <v>0</v>
      </c>
      <c r="X166" s="55">
        <f t="shared" si="41"/>
        <v>0</v>
      </c>
      <c r="Y166" s="55">
        <f t="shared" si="41"/>
        <v>0</v>
      </c>
      <c r="Z166" s="55">
        <f t="shared" si="41"/>
        <v>0</v>
      </c>
      <c r="AA166" s="55">
        <f t="shared" si="41"/>
        <v>0</v>
      </c>
      <c r="AB166" s="55">
        <f t="shared" si="41"/>
        <v>0</v>
      </c>
      <c r="AC166" s="55">
        <f t="shared" si="41"/>
        <v>0</v>
      </c>
      <c r="AD166" s="55">
        <f t="shared" si="41"/>
        <v>0</v>
      </c>
      <c r="AE166" s="82">
        <f t="shared" si="33"/>
        <v>0</v>
      </c>
      <c r="AF166" s="65"/>
      <c r="AG166" s="65"/>
    </row>
    <row r="167" spans="1:33" ht="25.5" hidden="1">
      <c r="A167" s="86" t="s">
        <v>308</v>
      </c>
      <c r="B167" s="51"/>
      <c r="C167" s="677"/>
      <c r="D167" s="845">
        <v>0</v>
      </c>
      <c r="E167" s="678"/>
      <c r="F167" s="681"/>
      <c r="G167" s="681"/>
      <c r="H167" s="681"/>
      <c r="I167" s="856"/>
      <c r="J167" s="856"/>
      <c r="K167" s="681"/>
      <c r="L167" s="681"/>
      <c r="M167" s="681"/>
      <c r="N167" s="681"/>
      <c r="O167" s="681"/>
      <c r="P167" s="681"/>
      <c r="Q167" s="681"/>
      <c r="R167" s="681"/>
      <c r="S167" s="681"/>
      <c r="T167" s="681"/>
      <c r="U167" s="681"/>
      <c r="V167" s="681"/>
      <c r="W167" s="681"/>
      <c r="X167" s="681"/>
      <c r="Y167" s="681"/>
      <c r="Z167" s="681"/>
      <c r="AA167" s="681"/>
      <c r="AB167" s="681"/>
      <c r="AC167" s="681"/>
      <c r="AD167" s="681"/>
      <c r="AE167" s="82">
        <f t="shared" si="33"/>
        <v>0</v>
      </c>
      <c r="AF167" s="65"/>
      <c r="AG167" s="65"/>
    </row>
    <row r="168" spans="1:33" ht="25.5" hidden="1">
      <c r="A168" s="86" t="s">
        <v>309</v>
      </c>
      <c r="B168" s="51"/>
      <c r="C168" s="677"/>
      <c r="D168" s="845">
        <v>0</v>
      </c>
      <c r="E168" s="678"/>
      <c r="F168" s="681"/>
      <c r="G168" s="681"/>
      <c r="H168" s="681"/>
      <c r="I168" s="856"/>
      <c r="J168" s="856"/>
      <c r="K168" s="681"/>
      <c r="L168" s="681"/>
      <c r="M168" s="681"/>
      <c r="N168" s="681"/>
      <c r="O168" s="681"/>
      <c r="P168" s="681"/>
      <c r="Q168" s="681"/>
      <c r="R168" s="681"/>
      <c r="S168" s="681"/>
      <c r="T168" s="681"/>
      <c r="U168" s="681"/>
      <c r="V168" s="681"/>
      <c r="W168" s="681"/>
      <c r="X168" s="681"/>
      <c r="Y168" s="681"/>
      <c r="Z168" s="681"/>
      <c r="AA168" s="681"/>
      <c r="AB168" s="681"/>
      <c r="AC168" s="681"/>
      <c r="AD168" s="681"/>
      <c r="AE168" s="82">
        <f t="shared" si="33"/>
        <v>0</v>
      </c>
      <c r="AF168" s="65"/>
      <c r="AG168" s="65"/>
    </row>
    <row r="169" spans="1:33" ht="25.5" hidden="1">
      <c r="A169" s="86" t="s">
        <v>310</v>
      </c>
      <c r="B169" s="51"/>
      <c r="C169" s="677"/>
      <c r="D169" s="845">
        <v>0</v>
      </c>
      <c r="E169" s="678"/>
      <c r="F169" s="681"/>
      <c r="G169" s="681"/>
      <c r="H169" s="681"/>
      <c r="I169" s="856"/>
      <c r="J169" s="856"/>
      <c r="K169" s="681"/>
      <c r="L169" s="681"/>
      <c r="M169" s="681"/>
      <c r="N169" s="681"/>
      <c r="O169" s="681"/>
      <c r="P169" s="681"/>
      <c r="Q169" s="681"/>
      <c r="R169" s="681"/>
      <c r="S169" s="681"/>
      <c r="T169" s="681"/>
      <c r="U169" s="681"/>
      <c r="V169" s="681"/>
      <c r="W169" s="681"/>
      <c r="X169" s="681"/>
      <c r="Y169" s="681"/>
      <c r="Z169" s="681"/>
      <c r="AA169" s="681"/>
      <c r="AB169" s="681"/>
      <c r="AC169" s="681"/>
      <c r="AD169" s="681"/>
      <c r="AE169" s="82">
        <f t="shared" si="33"/>
        <v>0</v>
      </c>
      <c r="AF169" s="65"/>
      <c r="AG169" s="65"/>
    </row>
    <row r="170" spans="1:33" ht="25.5" hidden="1">
      <c r="A170" s="86" t="s">
        <v>311</v>
      </c>
      <c r="B170" s="51"/>
      <c r="C170" s="677"/>
      <c r="D170" s="845">
        <v>0</v>
      </c>
      <c r="E170" s="678"/>
      <c r="F170" s="681"/>
      <c r="G170" s="681"/>
      <c r="H170" s="681"/>
      <c r="I170" s="856"/>
      <c r="J170" s="856"/>
      <c r="K170" s="681"/>
      <c r="L170" s="681"/>
      <c r="M170" s="681"/>
      <c r="N170" s="681"/>
      <c r="O170" s="681"/>
      <c r="P170" s="681"/>
      <c r="Q170" s="681"/>
      <c r="R170" s="681"/>
      <c r="S170" s="681"/>
      <c r="T170" s="681"/>
      <c r="U170" s="681"/>
      <c r="V170" s="681"/>
      <c r="W170" s="681"/>
      <c r="X170" s="681"/>
      <c r="Y170" s="681"/>
      <c r="Z170" s="681"/>
      <c r="AA170" s="681"/>
      <c r="AB170" s="681"/>
      <c r="AC170" s="681"/>
      <c r="AD170" s="681"/>
      <c r="AE170" s="82">
        <f t="shared" si="33"/>
        <v>0</v>
      </c>
      <c r="AF170" s="65"/>
      <c r="AG170" s="65"/>
    </row>
    <row r="171" spans="1:33" ht="25.5" hidden="1">
      <c r="A171" s="86" t="s">
        <v>312</v>
      </c>
      <c r="B171" s="51"/>
      <c r="C171" s="677"/>
      <c r="D171" s="845">
        <v>0</v>
      </c>
      <c r="E171" s="678"/>
      <c r="F171" s="681"/>
      <c r="G171" s="681"/>
      <c r="H171" s="681"/>
      <c r="I171" s="856"/>
      <c r="J171" s="856"/>
      <c r="K171" s="681"/>
      <c r="L171" s="681"/>
      <c r="M171" s="681"/>
      <c r="N171" s="681"/>
      <c r="O171" s="681"/>
      <c r="P171" s="681"/>
      <c r="Q171" s="681"/>
      <c r="R171" s="681"/>
      <c r="S171" s="681"/>
      <c r="T171" s="681"/>
      <c r="U171" s="681"/>
      <c r="V171" s="681"/>
      <c r="W171" s="681"/>
      <c r="X171" s="681"/>
      <c r="Y171" s="681"/>
      <c r="Z171" s="681"/>
      <c r="AA171" s="681"/>
      <c r="AB171" s="681"/>
      <c r="AC171" s="681"/>
      <c r="AD171" s="681"/>
      <c r="AE171" s="82">
        <f t="shared" si="33"/>
        <v>0</v>
      </c>
      <c r="AF171" s="65"/>
      <c r="AG171" s="65"/>
    </row>
    <row r="172" spans="1:33" hidden="1">
      <c r="A172" s="84" t="s">
        <v>313</v>
      </c>
      <c r="B172" s="37"/>
      <c r="C172" s="38"/>
      <c r="D172" s="846"/>
      <c r="E172" s="39"/>
      <c r="F172" s="54"/>
      <c r="G172" s="54">
        <f>G173+G179+G185+G191+G197</f>
        <v>0</v>
      </c>
      <c r="H172" s="54">
        <f t="shared" ref="H172:R172" si="42">H173+H179+H185+H191+H197</f>
        <v>0</v>
      </c>
      <c r="I172" s="461">
        <f t="shared" si="42"/>
        <v>0</v>
      </c>
      <c r="J172" s="461">
        <f t="shared" si="42"/>
        <v>0</v>
      </c>
      <c r="K172" s="54">
        <f t="shared" si="42"/>
        <v>0</v>
      </c>
      <c r="L172" s="54">
        <f t="shared" si="42"/>
        <v>0</v>
      </c>
      <c r="M172" s="54">
        <f t="shared" si="42"/>
        <v>0</v>
      </c>
      <c r="N172" s="54">
        <f>N173+N179+N185+N191+N197</f>
        <v>0</v>
      </c>
      <c r="O172" s="54">
        <f t="shared" si="42"/>
        <v>0</v>
      </c>
      <c r="P172" s="54">
        <f t="shared" si="42"/>
        <v>0</v>
      </c>
      <c r="Q172" s="54">
        <f t="shared" si="42"/>
        <v>0</v>
      </c>
      <c r="R172" s="54">
        <f t="shared" si="42"/>
        <v>0</v>
      </c>
      <c r="S172" s="54">
        <f t="shared" ref="S172:AD172" si="43">S173+S179+S185</f>
        <v>0</v>
      </c>
      <c r="T172" s="54">
        <f t="shared" si="43"/>
        <v>0</v>
      </c>
      <c r="U172" s="54">
        <f t="shared" si="43"/>
        <v>0</v>
      </c>
      <c r="V172" s="54">
        <f t="shared" si="43"/>
        <v>0</v>
      </c>
      <c r="W172" s="54">
        <f t="shared" si="43"/>
        <v>0</v>
      </c>
      <c r="X172" s="54">
        <f t="shared" si="43"/>
        <v>0</v>
      </c>
      <c r="Y172" s="54">
        <f t="shared" si="43"/>
        <v>0</v>
      </c>
      <c r="Z172" s="54">
        <f t="shared" si="43"/>
        <v>0</v>
      </c>
      <c r="AA172" s="54">
        <f t="shared" si="43"/>
        <v>0</v>
      </c>
      <c r="AB172" s="54">
        <f t="shared" si="43"/>
        <v>0</v>
      </c>
      <c r="AC172" s="54">
        <f t="shared" si="43"/>
        <v>0</v>
      </c>
      <c r="AD172" s="54">
        <f t="shared" si="43"/>
        <v>0</v>
      </c>
      <c r="AE172" s="82">
        <f t="shared" ref="AE172:AE175" si="44">F172-SUM(G172:AD172)</f>
        <v>0</v>
      </c>
      <c r="AF172" s="65"/>
      <c r="AG172" s="65"/>
    </row>
    <row r="173" spans="1:33" ht="25.5" hidden="1">
      <c r="A173" s="85" t="s">
        <v>314</v>
      </c>
      <c r="B173" s="34"/>
      <c r="C173" s="35"/>
      <c r="D173" s="847"/>
      <c r="E173" s="36"/>
      <c r="F173" s="55"/>
      <c r="G173" s="55">
        <f>SUM(G174:G178)</f>
        <v>0</v>
      </c>
      <c r="H173" s="55">
        <f t="shared" ref="H173" si="45">SUM(H174:H178)</f>
        <v>0</v>
      </c>
      <c r="I173" s="857">
        <f>SUM(I174:I178)</f>
        <v>0</v>
      </c>
      <c r="J173" s="857">
        <f t="shared" ref="J173:AD173" si="46">SUM(J174:J178)</f>
        <v>0</v>
      </c>
      <c r="K173" s="55">
        <f t="shared" si="46"/>
        <v>0</v>
      </c>
      <c r="L173" s="55">
        <f t="shared" si="46"/>
        <v>0</v>
      </c>
      <c r="M173" s="55">
        <f t="shared" si="46"/>
        <v>0</v>
      </c>
      <c r="N173" s="55">
        <f t="shared" si="46"/>
        <v>0</v>
      </c>
      <c r="O173" s="55">
        <f t="shared" si="46"/>
        <v>0</v>
      </c>
      <c r="P173" s="55">
        <f t="shared" si="46"/>
        <v>0</v>
      </c>
      <c r="Q173" s="55">
        <f t="shared" si="46"/>
        <v>0</v>
      </c>
      <c r="R173" s="55">
        <f t="shared" si="46"/>
        <v>0</v>
      </c>
      <c r="S173" s="55">
        <f t="shared" si="46"/>
        <v>0</v>
      </c>
      <c r="T173" s="55">
        <f t="shared" si="46"/>
        <v>0</v>
      </c>
      <c r="U173" s="55">
        <f t="shared" si="46"/>
        <v>0</v>
      </c>
      <c r="V173" s="55">
        <f t="shared" si="46"/>
        <v>0</v>
      </c>
      <c r="W173" s="55">
        <f t="shared" si="46"/>
        <v>0</v>
      </c>
      <c r="X173" s="55">
        <f t="shared" si="46"/>
        <v>0</v>
      </c>
      <c r="Y173" s="55">
        <f t="shared" si="46"/>
        <v>0</v>
      </c>
      <c r="Z173" s="55">
        <f t="shared" si="46"/>
        <v>0</v>
      </c>
      <c r="AA173" s="55">
        <f t="shared" si="46"/>
        <v>0</v>
      </c>
      <c r="AB173" s="55">
        <f t="shared" si="46"/>
        <v>0</v>
      </c>
      <c r="AC173" s="55">
        <f t="shared" si="46"/>
        <v>0</v>
      </c>
      <c r="AD173" s="55">
        <f t="shared" si="46"/>
        <v>0</v>
      </c>
      <c r="AE173" s="82">
        <f t="shared" si="44"/>
        <v>0</v>
      </c>
      <c r="AF173" s="65"/>
      <c r="AG173" s="65"/>
    </row>
    <row r="174" spans="1:33" ht="25.5" hidden="1">
      <c r="A174" s="86" t="s">
        <v>315</v>
      </c>
      <c r="B174" s="51"/>
      <c r="C174" s="677"/>
      <c r="D174" s="845">
        <v>0</v>
      </c>
      <c r="E174" s="678"/>
      <c r="F174" s="681"/>
      <c r="G174" s="681"/>
      <c r="H174" s="681"/>
      <c r="I174" s="856"/>
      <c r="J174" s="856"/>
      <c r="K174" s="681"/>
      <c r="L174" s="681"/>
      <c r="M174" s="681"/>
      <c r="N174" s="681"/>
      <c r="O174" s="681"/>
      <c r="P174" s="681"/>
      <c r="Q174" s="681"/>
      <c r="R174" s="681"/>
      <c r="S174" s="681"/>
      <c r="T174" s="681"/>
      <c r="U174" s="681"/>
      <c r="V174" s="681"/>
      <c r="W174" s="681"/>
      <c r="X174" s="681"/>
      <c r="Y174" s="681"/>
      <c r="Z174" s="681"/>
      <c r="AA174" s="681"/>
      <c r="AB174" s="681"/>
      <c r="AC174" s="681"/>
      <c r="AD174" s="681"/>
      <c r="AE174" s="82">
        <f t="shared" si="44"/>
        <v>0</v>
      </c>
      <c r="AF174" s="65"/>
      <c r="AG174" s="65"/>
    </row>
    <row r="175" spans="1:33" ht="25.5" hidden="1">
      <c r="A175" s="86" t="s">
        <v>316</v>
      </c>
      <c r="B175" s="51"/>
      <c r="C175" s="677"/>
      <c r="D175" s="845">
        <v>0</v>
      </c>
      <c r="E175" s="678"/>
      <c r="F175" s="681"/>
      <c r="G175" s="681"/>
      <c r="H175" s="681"/>
      <c r="I175" s="856"/>
      <c r="J175" s="856"/>
      <c r="K175" s="681"/>
      <c r="L175" s="681"/>
      <c r="M175" s="681"/>
      <c r="N175" s="681"/>
      <c r="O175" s="681"/>
      <c r="P175" s="681"/>
      <c r="Q175" s="681"/>
      <c r="R175" s="681"/>
      <c r="S175" s="681"/>
      <c r="T175" s="681"/>
      <c r="U175" s="681"/>
      <c r="V175" s="681"/>
      <c r="W175" s="681"/>
      <c r="X175" s="681"/>
      <c r="Y175" s="681"/>
      <c r="Z175" s="681"/>
      <c r="AA175" s="681"/>
      <c r="AB175" s="681"/>
      <c r="AC175" s="681"/>
      <c r="AD175" s="681"/>
      <c r="AE175" s="82">
        <f t="shared" si="44"/>
        <v>0</v>
      </c>
      <c r="AF175" s="65"/>
      <c r="AG175" s="65"/>
    </row>
    <row r="176" spans="1:33" ht="25.5" hidden="1">
      <c r="A176" s="86" t="s">
        <v>317</v>
      </c>
      <c r="B176" s="51"/>
      <c r="C176" s="677"/>
      <c r="D176" s="845">
        <v>0</v>
      </c>
      <c r="E176" s="678"/>
      <c r="F176" s="681"/>
      <c r="G176" s="681"/>
      <c r="H176" s="681"/>
      <c r="I176" s="856"/>
      <c r="J176" s="856"/>
      <c r="K176" s="681"/>
      <c r="L176" s="681"/>
      <c r="M176" s="681"/>
      <c r="N176" s="681"/>
      <c r="O176" s="681"/>
      <c r="P176" s="681"/>
      <c r="Q176" s="681"/>
      <c r="R176" s="681"/>
      <c r="S176" s="681"/>
      <c r="T176" s="681"/>
      <c r="U176" s="681"/>
      <c r="V176" s="681"/>
      <c r="W176" s="681"/>
      <c r="X176" s="681"/>
      <c r="Y176" s="681"/>
      <c r="Z176" s="681"/>
      <c r="AA176" s="681"/>
      <c r="AB176" s="681"/>
      <c r="AC176" s="681"/>
      <c r="AD176" s="681"/>
      <c r="AE176" s="82">
        <f t="shared" ref="AE176:AE202" si="47">F176-SUM(G176:AD176)</f>
        <v>0</v>
      </c>
      <c r="AF176" s="65"/>
      <c r="AG176" s="65"/>
    </row>
    <row r="177" spans="1:33" ht="25.5" hidden="1">
      <c r="A177" s="86" t="s">
        <v>318</v>
      </c>
      <c r="B177" s="51"/>
      <c r="C177" s="677"/>
      <c r="D177" s="845">
        <v>0</v>
      </c>
      <c r="E177" s="678"/>
      <c r="F177" s="681"/>
      <c r="G177" s="681"/>
      <c r="H177" s="681"/>
      <c r="I177" s="856"/>
      <c r="J177" s="856"/>
      <c r="K177" s="681"/>
      <c r="L177" s="681"/>
      <c r="M177" s="681"/>
      <c r="N177" s="681"/>
      <c r="O177" s="681"/>
      <c r="P177" s="681"/>
      <c r="Q177" s="681"/>
      <c r="R177" s="681"/>
      <c r="S177" s="681"/>
      <c r="T177" s="681"/>
      <c r="U177" s="681"/>
      <c r="V177" s="681"/>
      <c r="W177" s="681"/>
      <c r="X177" s="681"/>
      <c r="Y177" s="681"/>
      <c r="Z177" s="681"/>
      <c r="AA177" s="681"/>
      <c r="AB177" s="681"/>
      <c r="AC177" s="681"/>
      <c r="AD177" s="681"/>
      <c r="AE177" s="82">
        <f t="shared" si="47"/>
        <v>0</v>
      </c>
      <c r="AF177" s="65"/>
      <c r="AG177" s="65"/>
    </row>
    <row r="178" spans="1:33" ht="25.5" hidden="1">
      <c r="A178" s="86" t="s">
        <v>319</v>
      </c>
      <c r="B178" s="51"/>
      <c r="C178" s="677"/>
      <c r="D178" s="845">
        <v>0</v>
      </c>
      <c r="E178" s="678"/>
      <c r="F178" s="681"/>
      <c r="G178" s="681"/>
      <c r="H178" s="681"/>
      <c r="I178" s="856"/>
      <c r="J178" s="856"/>
      <c r="K178" s="681"/>
      <c r="L178" s="681"/>
      <c r="M178" s="681"/>
      <c r="N178" s="681"/>
      <c r="O178" s="681"/>
      <c r="P178" s="681"/>
      <c r="Q178" s="681"/>
      <c r="R178" s="681"/>
      <c r="S178" s="681"/>
      <c r="T178" s="681"/>
      <c r="U178" s="681"/>
      <c r="V178" s="681"/>
      <c r="W178" s="681"/>
      <c r="X178" s="681"/>
      <c r="Y178" s="681"/>
      <c r="Z178" s="681"/>
      <c r="AA178" s="681"/>
      <c r="AB178" s="681"/>
      <c r="AC178" s="681"/>
      <c r="AD178" s="681"/>
      <c r="AE178" s="82">
        <f t="shared" si="47"/>
        <v>0</v>
      </c>
      <c r="AF178" s="65"/>
      <c r="AG178" s="65"/>
    </row>
    <row r="179" spans="1:33" ht="25.5" hidden="1">
      <c r="A179" s="85" t="s">
        <v>320</v>
      </c>
      <c r="B179" s="34"/>
      <c r="C179" s="35"/>
      <c r="D179" s="847"/>
      <c r="E179" s="36"/>
      <c r="F179" s="55"/>
      <c r="G179" s="55">
        <f>SUM(G180:G184)</f>
        <v>0</v>
      </c>
      <c r="H179" s="55">
        <f t="shared" ref="H179:I179" si="48">SUM(H180:H184)</f>
        <v>0</v>
      </c>
      <c r="I179" s="857">
        <f t="shared" si="48"/>
        <v>0</v>
      </c>
      <c r="J179" s="857">
        <f>SUM(J180:J184)</f>
        <v>0</v>
      </c>
      <c r="K179" s="55">
        <f t="shared" ref="K179:AD179" si="49">SUM(K180:K184)</f>
        <v>0</v>
      </c>
      <c r="L179" s="55">
        <f t="shared" si="49"/>
        <v>0</v>
      </c>
      <c r="M179" s="55">
        <f t="shared" si="49"/>
        <v>0</v>
      </c>
      <c r="N179" s="55">
        <f t="shared" si="49"/>
        <v>0</v>
      </c>
      <c r="O179" s="55">
        <f t="shared" si="49"/>
        <v>0</v>
      </c>
      <c r="P179" s="55">
        <f t="shared" si="49"/>
        <v>0</v>
      </c>
      <c r="Q179" s="55">
        <f t="shared" si="49"/>
        <v>0</v>
      </c>
      <c r="R179" s="55">
        <f t="shared" si="49"/>
        <v>0</v>
      </c>
      <c r="S179" s="55">
        <f t="shared" si="49"/>
        <v>0</v>
      </c>
      <c r="T179" s="55">
        <f t="shared" si="49"/>
        <v>0</v>
      </c>
      <c r="U179" s="55">
        <f t="shared" si="49"/>
        <v>0</v>
      </c>
      <c r="V179" s="55">
        <f t="shared" si="49"/>
        <v>0</v>
      </c>
      <c r="W179" s="55">
        <f t="shared" si="49"/>
        <v>0</v>
      </c>
      <c r="X179" s="55">
        <f t="shared" si="49"/>
        <v>0</v>
      </c>
      <c r="Y179" s="55">
        <f t="shared" si="49"/>
        <v>0</v>
      </c>
      <c r="Z179" s="55">
        <f t="shared" si="49"/>
        <v>0</v>
      </c>
      <c r="AA179" s="55">
        <f t="shared" si="49"/>
        <v>0</v>
      </c>
      <c r="AB179" s="55">
        <f t="shared" si="49"/>
        <v>0</v>
      </c>
      <c r="AC179" s="55">
        <f t="shared" si="49"/>
        <v>0</v>
      </c>
      <c r="AD179" s="55">
        <f t="shared" si="49"/>
        <v>0</v>
      </c>
      <c r="AE179" s="82">
        <f t="shared" si="47"/>
        <v>0</v>
      </c>
      <c r="AF179" s="65"/>
      <c r="AG179" s="65"/>
    </row>
    <row r="180" spans="1:33" ht="25.5" hidden="1">
      <c r="A180" s="86" t="s">
        <v>321</v>
      </c>
      <c r="B180" s="51"/>
      <c r="C180" s="677"/>
      <c r="D180" s="845">
        <v>0</v>
      </c>
      <c r="E180" s="678"/>
      <c r="F180" s="681"/>
      <c r="G180" s="681"/>
      <c r="H180" s="681"/>
      <c r="I180" s="856"/>
      <c r="J180" s="856"/>
      <c r="K180" s="681"/>
      <c r="L180" s="681"/>
      <c r="M180" s="681"/>
      <c r="N180" s="681"/>
      <c r="O180" s="681"/>
      <c r="P180" s="681"/>
      <c r="Q180" s="681"/>
      <c r="R180" s="681"/>
      <c r="S180" s="681"/>
      <c r="T180" s="681"/>
      <c r="U180" s="681"/>
      <c r="V180" s="681"/>
      <c r="W180" s="681"/>
      <c r="X180" s="681"/>
      <c r="Y180" s="681"/>
      <c r="Z180" s="681"/>
      <c r="AA180" s="681"/>
      <c r="AB180" s="681"/>
      <c r="AC180" s="681"/>
      <c r="AD180" s="681"/>
      <c r="AE180" s="82">
        <f t="shared" si="47"/>
        <v>0</v>
      </c>
      <c r="AF180" s="65"/>
      <c r="AG180" s="65"/>
    </row>
    <row r="181" spans="1:33" ht="25.5" hidden="1">
      <c r="A181" s="86" t="s">
        <v>322</v>
      </c>
      <c r="B181" s="51"/>
      <c r="C181" s="677"/>
      <c r="D181" s="845">
        <v>0</v>
      </c>
      <c r="E181" s="678"/>
      <c r="F181" s="681"/>
      <c r="G181" s="681"/>
      <c r="H181" s="681"/>
      <c r="I181" s="856"/>
      <c r="J181" s="856"/>
      <c r="K181" s="681"/>
      <c r="L181" s="681"/>
      <c r="M181" s="681"/>
      <c r="N181" s="681"/>
      <c r="O181" s="681"/>
      <c r="P181" s="681"/>
      <c r="Q181" s="681"/>
      <c r="R181" s="681"/>
      <c r="S181" s="681"/>
      <c r="T181" s="681"/>
      <c r="U181" s="681"/>
      <c r="V181" s="681"/>
      <c r="W181" s="681"/>
      <c r="X181" s="681"/>
      <c r="Y181" s="681"/>
      <c r="Z181" s="681"/>
      <c r="AA181" s="681"/>
      <c r="AB181" s="681"/>
      <c r="AC181" s="681"/>
      <c r="AD181" s="681"/>
      <c r="AE181" s="82">
        <f t="shared" si="47"/>
        <v>0</v>
      </c>
      <c r="AF181" s="65"/>
      <c r="AG181" s="65"/>
    </row>
    <row r="182" spans="1:33" ht="25.5" hidden="1">
      <c r="A182" s="86" t="s">
        <v>323</v>
      </c>
      <c r="B182" s="51"/>
      <c r="C182" s="677"/>
      <c r="D182" s="845">
        <v>0</v>
      </c>
      <c r="E182" s="678"/>
      <c r="F182" s="681"/>
      <c r="G182" s="681"/>
      <c r="H182" s="681"/>
      <c r="I182" s="856"/>
      <c r="J182" s="856"/>
      <c r="K182" s="681"/>
      <c r="L182" s="681"/>
      <c r="M182" s="681"/>
      <c r="N182" s="681"/>
      <c r="O182" s="681"/>
      <c r="P182" s="681"/>
      <c r="Q182" s="681"/>
      <c r="R182" s="681"/>
      <c r="S182" s="681"/>
      <c r="T182" s="681"/>
      <c r="U182" s="681"/>
      <c r="V182" s="681"/>
      <c r="W182" s="681"/>
      <c r="X182" s="681"/>
      <c r="Y182" s="681"/>
      <c r="Z182" s="681"/>
      <c r="AA182" s="681"/>
      <c r="AB182" s="681"/>
      <c r="AC182" s="681"/>
      <c r="AD182" s="681"/>
      <c r="AE182" s="82">
        <f t="shared" si="47"/>
        <v>0</v>
      </c>
      <c r="AF182" s="65"/>
      <c r="AG182" s="65"/>
    </row>
    <row r="183" spans="1:33" ht="25.5" hidden="1">
      <c r="A183" s="86" t="s">
        <v>324</v>
      </c>
      <c r="B183" s="51"/>
      <c r="C183" s="677"/>
      <c r="D183" s="845">
        <v>0</v>
      </c>
      <c r="E183" s="678"/>
      <c r="F183" s="681"/>
      <c r="G183" s="681"/>
      <c r="H183" s="681"/>
      <c r="I183" s="856"/>
      <c r="J183" s="856"/>
      <c r="K183" s="681"/>
      <c r="L183" s="681"/>
      <c r="M183" s="681"/>
      <c r="N183" s="681"/>
      <c r="O183" s="681"/>
      <c r="P183" s="681"/>
      <c r="Q183" s="681"/>
      <c r="R183" s="681"/>
      <c r="S183" s="681"/>
      <c r="T183" s="681"/>
      <c r="U183" s="681"/>
      <c r="V183" s="681"/>
      <c r="W183" s="681"/>
      <c r="X183" s="681"/>
      <c r="Y183" s="681"/>
      <c r="Z183" s="681"/>
      <c r="AA183" s="681"/>
      <c r="AB183" s="681"/>
      <c r="AC183" s="681"/>
      <c r="AD183" s="681"/>
      <c r="AE183" s="82">
        <f t="shared" si="47"/>
        <v>0</v>
      </c>
      <c r="AF183" s="65"/>
      <c r="AG183" s="65"/>
    </row>
    <row r="184" spans="1:33" ht="25.5" hidden="1">
      <c r="A184" s="86" t="s">
        <v>325</v>
      </c>
      <c r="B184" s="51"/>
      <c r="C184" s="677"/>
      <c r="D184" s="845">
        <v>0</v>
      </c>
      <c r="E184" s="678"/>
      <c r="F184" s="681"/>
      <c r="G184" s="681"/>
      <c r="H184" s="681"/>
      <c r="I184" s="856"/>
      <c r="J184" s="856"/>
      <c r="K184" s="681"/>
      <c r="L184" s="681"/>
      <c r="M184" s="681"/>
      <c r="N184" s="681"/>
      <c r="O184" s="681"/>
      <c r="P184" s="681"/>
      <c r="Q184" s="681"/>
      <c r="R184" s="681"/>
      <c r="S184" s="681"/>
      <c r="T184" s="681"/>
      <c r="U184" s="681"/>
      <c r="V184" s="681"/>
      <c r="W184" s="681"/>
      <c r="X184" s="681"/>
      <c r="Y184" s="681"/>
      <c r="Z184" s="681"/>
      <c r="AA184" s="681"/>
      <c r="AB184" s="681"/>
      <c r="AC184" s="681"/>
      <c r="AD184" s="681"/>
      <c r="AE184" s="82">
        <f t="shared" si="47"/>
        <v>0</v>
      </c>
      <c r="AF184" s="65"/>
      <c r="AG184" s="65"/>
    </row>
    <row r="185" spans="1:33" ht="25.5" hidden="1">
      <c r="A185" s="85" t="s">
        <v>326</v>
      </c>
      <c r="B185" s="34"/>
      <c r="C185" s="35"/>
      <c r="D185" s="847"/>
      <c r="E185" s="36"/>
      <c r="F185" s="55"/>
      <c r="G185" s="55">
        <f>SUM(G186:G190)</f>
        <v>0</v>
      </c>
      <c r="H185" s="55">
        <f t="shared" ref="H185:I185" si="50">SUM(H186:H190)</f>
        <v>0</v>
      </c>
      <c r="I185" s="857">
        <f t="shared" si="50"/>
        <v>0</v>
      </c>
      <c r="J185" s="857">
        <f>SUM(J186:J190)</f>
        <v>0</v>
      </c>
      <c r="K185" s="55">
        <f t="shared" ref="K185:AD185" si="51">SUM(K186:K190)</f>
        <v>0</v>
      </c>
      <c r="L185" s="55">
        <f t="shared" si="51"/>
        <v>0</v>
      </c>
      <c r="M185" s="55">
        <f t="shared" si="51"/>
        <v>0</v>
      </c>
      <c r="N185" s="55">
        <f t="shared" si="51"/>
        <v>0</v>
      </c>
      <c r="O185" s="55">
        <f t="shared" si="51"/>
        <v>0</v>
      </c>
      <c r="P185" s="55">
        <f t="shared" si="51"/>
        <v>0</v>
      </c>
      <c r="Q185" s="55">
        <f t="shared" si="51"/>
        <v>0</v>
      </c>
      <c r="R185" s="55">
        <f t="shared" si="51"/>
        <v>0</v>
      </c>
      <c r="S185" s="55">
        <f t="shared" si="51"/>
        <v>0</v>
      </c>
      <c r="T185" s="55">
        <f t="shared" si="51"/>
        <v>0</v>
      </c>
      <c r="U185" s="55">
        <f t="shared" si="51"/>
        <v>0</v>
      </c>
      <c r="V185" s="55">
        <f t="shared" si="51"/>
        <v>0</v>
      </c>
      <c r="W185" s="55">
        <f t="shared" si="51"/>
        <v>0</v>
      </c>
      <c r="X185" s="55">
        <f t="shared" si="51"/>
        <v>0</v>
      </c>
      <c r="Y185" s="55">
        <f t="shared" si="51"/>
        <v>0</v>
      </c>
      <c r="Z185" s="55">
        <f t="shared" si="51"/>
        <v>0</v>
      </c>
      <c r="AA185" s="55">
        <f t="shared" si="51"/>
        <v>0</v>
      </c>
      <c r="AB185" s="55">
        <f t="shared" si="51"/>
        <v>0</v>
      </c>
      <c r="AC185" s="55">
        <f t="shared" si="51"/>
        <v>0</v>
      </c>
      <c r="AD185" s="55">
        <f t="shared" si="51"/>
        <v>0</v>
      </c>
      <c r="AE185" s="82">
        <f t="shared" si="47"/>
        <v>0</v>
      </c>
      <c r="AF185" s="65"/>
      <c r="AG185" s="65"/>
    </row>
    <row r="186" spans="1:33" ht="25.5" hidden="1">
      <c r="A186" s="86" t="s">
        <v>327</v>
      </c>
      <c r="B186" s="51"/>
      <c r="C186" s="677"/>
      <c r="D186" s="845">
        <v>0</v>
      </c>
      <c r="E186" s="678"/>
      <c r="F186" s="681"/>
      <c r="G186" s="681"/>
      <c r="H186" s="681"/>
      <c r="I186" s="856"/>
      <c r="J186" s="856"/>
      <c r="K186" s="681"/>
      <c r="L186" s="681"/>
      <c r="M186" s="681"/>
      <c r="N186" s="681"/>
      <c r="O186" s="681"/>
      <c r="P186" s="681"/>
      <c r="Q186" s="681"/>
      <c r="R186" s="681"/>
      <c r="S186" s="681"/>
      <c r="T186" s="681"/>
      <c r="U186" s="681"/>
      <c r="V186" s="681"/>
      <c r="W186" s="681"/>
      <c r="X186" s="681"/>
      <c r="Y186" s="681"/>
      <c r="Z186" s="681"/>
      <c r="AA186" s="681"/>
      <c r="AB186" s="681"/>
      <c r="AC186" s="681"/>
      <c r="AD186" s="681"/>
      <c r="AE186" s="82">
        <f t="shared" si="47"/>
        <v>0</v>
      </c>
      <c r="AF186" s="65"/>
      <c r="AG186" s="65"/>
    </row>
    <row r="187" spans="1:33" ht="25.5" hidden="1">
      <c r="A187" s="86" t="s">
        <v>328</v>
      </c>
      <c r="B187" s="51"/>
      <c r="C187" s="677"/>
      <c r="D187" s="845">
        <v>0</v>
      </c>
      <c r="E187" s="678"/>
      <c r="F187" s="681"/>
      <c r="G187" s="681"/>
      <c r="H187" s="681"/>
      <c r="I187" s="856"/>
      <c r="J187" s="856"/>
      <c r="K187" s="681"/>
      <c r="L187" s="681"/>
      <c r="M187" s="681"/>
      <c r="N187" s="681"/>
      <c r="O187" s="681"/>
      <c r="P187" s="681"/>
      <c r="Q187" s="681"/>
      <c r="R187" s="681"/>
      <c r="S187" s="681"/>
      <c r="T187" s="681"/>
      <c r="U187" s="681"/>
      <c r="V187" s="681"/>
      <c r="W187" s="681"/>
      <c r="X187" s="681"/>
      <c r="Y187" s="681"/>
      <c r="Z187" s="681"/>
      <c r="AA187" s="681"/>
      <c r="AB187" s="681"/>
      <c r="AC187" s="681"/>
      <c r="AD187" s="681"/>
      <c r="AE187" s="82">
        <f t="shared" si="47"/>
        <v>0</v>
      </c>
      <c r="AF187" s="65"/>
      <c r="AG187" s="65"/>
    </row>
    <row r="188" spans="1:33" ht="25.5" hidden="1">
      <c r="A188" s="86" t="s">
        <v>329</v>
      </c>
      <c r="B188" s="51"/>
      <c r="C188" s="677"/>
      <c r="D188" s="845">
        <v>0</v>
      </c>
      <c r="E188" s="678"/>
      <c r="F188" s="681"/>
      <c r="G188" s="681"/>
      <c r="H188" s="681"/>
      <c r="I188" s="856"/>
      <c r="J188" s="856"/>
      <c r="K188" s="681"/>
      <c r="L188" s="681"/>
      <c r="M188" s="681"/>
      <c r="N188" s="681"/>
      <c r="O188" s="681"/>
      <c r="P188" s="681"/>
      <c r="Q188" s="681"/>
      <c r="R188" s="681"/>
      <c r="S188" s="681"/>
      <c r="T188" s="681"/>
      <c r="U188" s="681"/>
      <c r="V188" s="681"/>
      <c r="W188" s="681"/>
      <c r="X188" s="681"/>
      <c r="Y188" s="681"/>
      <c r="Z188" s="681"/>
      <c r="AA188" s="681"/>
      <c r="AB188" s="681"/>
      <c r="AC188" s="681"/>
      <c r="AD188" s="681"/>
      <c r="AE188" s="82">
        <f t="shared" si="47"/>
        <v>0</v>
      </c>
      <c r="AF188" s="65"/>
      <c r="AG188" s="65"/>
    </row>
    <row r="189" spans="1:33" ht="25.5" hidden="1">
      <c r="A189" s="86" t="s">
        <v>330</v>
      </c>
      <c r="B189" s="51"/>
      <c r="C189" s="677"/>
      <c r="D189" s="845">
        <v>0</v>
      </c>
      <c r="E189" s="678"/>
      <c r="F189" s="681"/>
      <c r="G189" s="681"/>
      <c r="H189" s="681"/>
      <c r="I189" s="856"/>
      <c r="J189" s="856"/>
      <c r="K189" s="681"/>
      <c r="L189" s="681"/>
      <c r="M189" s="681"/>
      <c r="N189" s="681"/>
      <c r="O189" s="681"/>
      <c r="P189" s="681"/>
      <c r="Q189" s="681"/>
      <c r="R189" s="681"/>
      <c r="S189" s="681"/>
      <c r="T189" s="681"/>
      <c r="U189" s="681"/>
      <c r="V189" s="681"/>
      <c r="W189" s="681"/>
      <c r="X189" s="681"/>
      <c r="Y189" s="681"/>
      <c r="Z189" s="681"/>
      <c r="AA189" s="681"/>
      <c r="AB189" s="681"/>
      <c r="AC189" s="681"/>
      <c r="AD189" s="681"/>
      <c r="AE189" s="82">
        <f t="shared" si="47"/>
        <v>0</v>
      </c>
      <c r="AF189" s="65"/>
      <c r="AG189" s="65"/>
    </row>
    <row r="190" spans="1:33" ht="25.5" hidden="1">
      <c r="A190" s="86" t="s">
        <v>331</v>
      </c>
      <c r="B190" s="51"/>
      <c r="C190" s="677"/>
      <c r="D190" s="845">
        <v>0</v>
      </c>
      <c r="E190" s="678"/>
      <c r="F190" s="681"/>
      <c r="G190" s="681"/>
      <c r="H190" s="681"/>
      <c r="I190" s="856"/>
      <c r="J190" s="856"/>
      <c r="K190" s="681"/>
      <c r="L190" s="681"/>
      <c r="M190" s="681"/>
      <c r="N190" s="681"/>
      <c r="O190" s="681"/>
      <c r="P190" s="681"/>
      <c r="Q190" s="681"/>
      <c r="R190" s="681"/>
      <c r="S190" s="681"/>
      <c r="T190" s="681"/>
      <c r="U190" s="681"/>
      <c r="V190" s="681"/>
      <c r="W190" s="681"/>
      <c r="X190" s="681"/>
      <c r="Y190" s="681"/>
      <c r="Z190" s="681"/>
      <c r="AA190" s="681"/>
      <c r="AB190" s="681"/>
      <c r="AC190" s="681"/>
      <c r="AD190" s="681"/>
      <c r="AE190" s="82">
        <f t="shared" si="47"/>
        <v>0</v>
      </c>
      <c r="AF190" s="65"/>
      <c r="AG190" s="65"/>
    </row>
    <row r="191" spans="1:33" ht="25.5" hidden="1">
      <c r="A191" s="85" t="s">
        <v>332</v>
      </c>
      <c r="B191" s="34"/>
      <c r="C191" s="35"/>
      <c r="D191" s="847"/>
      <c r="E191" s="36"/>
      <c r="F191" s="55"/>
      <c r="G191" s="55">
        <f>SUM(G192:G196)</f>
        <v>0</v>
      </c>
      <c r="H191" s="55">
        <f>SUM(H192:H196)</f>
        <v>0</v>
      </c>
      <c r="I191" s="857">
        <f t="shared" ref="I191" si="52">SUM(I192:I196)</f>
        <v>0</v>
      </c>
      <c r="J191" s="857">
        <f>SUM(J192:J196)</f>
        <v>0</v>
      </c>
      <c r="K191" s="55">
        <f t="shared" ref="K191:AD191" si="53">SUM(K192:K196)</f>
        <v>0</v>
      </c>
      <c r="L191" s="55">
        <f t="shared" si="53"/>
        <v>0</v>
      </c>
      <c r="M191" s="55">
        <f t="shared" si="53"/>
        <v>0</v>
      </c>
      <c r="N191" s="55">
        <f t="shared" si="53"/>
        <v>0</v>
      </c>
      <c r="O191" s="55">
        <f t="shared" si="53"/>
        <v>0</v>
      </c>
      <c r="P191" s="55">
        <f t="shared" si="53"/>
        <v>0</v>
      </c>
      <c r="Q191" s="55">
        <f t="shared" si="53"/>
        <v>0</v>
      </c>
      <c r="R191" s="55">
        <f t="shared" si="53"/>
        <v>0</v>
      </c>
      <c r="S191" s="55">
        <f t="shared" si="53"/>
        <v>0</v>
      </c>
      <c r="T191" s="55">
        <f t="shared" si="53"/>
        <v>0</v>
      </c>
      <c r="U191" s="55">
        <f t="shared" si="53"/>
        <v>0</v>
      </c>
      <c r="V191" s="55">
        <f t="shared" si="53"/>
        <v>0</v>
      </c>
      <c r="W191" s="55">
        <f t="shared" si="53"/>
        <v>0</v>
      </c>
      <c r="X191" s="55">
        <f t="shared" si="53"/>
        <v>0</v>
      </c>
      <c r="Y191" s="55">
        <f t="shared" si="53"/>
        <v>0</v>
      </c>
      <c r="Z191" s="55">
        <f t="shared" si="53"/>
        <v>0</v>
      </c>
      <c r="AA191" s="55">
        <f t="shared" si="53"/>
        <v>0</v>
      </c>
      <c r="AB191" s="55">
        <f t="shared" si="53"/>
        <v>0</v>
      </c>
      <c r="AC191" s="55">
        <f t="shared" si="53"/>
        <v>0</v>
      </c>
      <c r="AD191" s="55">
        <f t="shared" si="53"/>
        <v>0</v>
      </c>
      <c r="AE191" s="82">
        <f t="shared" si="47"/>
        <v>0</v>
      </c>
      <c r="AF191" s="65"/>
      <c r="AG191" s="65"/>
    </row>
    <row r="192" spans="1:33" ht="25.5" hidden="1">
      <c r="A192" s="86" t="s">
        <v>333</v>
      </c>
      <c r="B192" s="51"/>
      <c r="C192" s="677"/>
      <c r="D192" s="845">
        <v>0</v>
      </c>
      <c r="E192" s="678"/>
      <c r="F192" s="681"/>
      <c r="G192" s="681"/>
      <c r="H192" s="681"/>
      <c r="I192" s="856"/>
      <c r="J192" s="856"/>
      <c r="K192" s="681"/>
      <c r="L192" s="681"/>
      <c r="M192" s="681"/>
      <c r="N192" s="681"/>
      <c r="O192" s="681"/>
      <c r="P192" s="681"/>
      <c r="Q192" s="681"/>
      <c r="R192" s="681"/>
      <c r="S192" s="681"/>
      <c r="T192" s="681"/>
      <c r="U192" s="681"/>
      <c r="V192" s="681"/>
      <c r="W192" s="681"/>
      <c r="X192" s="681"/>
      <c r="Y192" s="681"/>
      <c r="Z192" s="681"/>
      <c r="AA192" s="681"/>
      <c r="AB192" s="681"/>
      <c r="AC192" s="681"/>
      <c r="AD192" s="681"/>
      <c r="AE192" s="82">
        <f t="shared" si="47"/>
        <v>0</v>
      </c>
      <c r="AF192" s="65"/>
      <c r="AG192" s="65"/>
    </row>
    <row r="193" spans="1:33" ht="25.5" hidden="1">
      <c r="A193" s="86" t="s">
        <v>334</v>
      </c>
      <c r="B193" s="51"/>
      <c r="C193" s="677"/>
      <c r="D193" s="845">
        <v>0</v>
      </c>
      <c r="E193" s="678"/>
      <c r="F193" s="681"/>
      <c r="G193" s="681"/>
      <c r="H193" s="681"/>
      <c r="I193" s="856"/>
      <c r="J193" s="856"/>
      <c r="K193" s="681"/>
      <c r="L193" s="681"/>
      <c r="M193" s="681"/>
      <c r="N193" s="681"/>
      <c r="O193" s="681"/>
      <c r="P193" s="681"/>
      <c r="Q193" s="681"/>
      <c r="R193" s="681"/>
      <c r="S193" s="681"/>
      <c r="T193" s="681"/>
      <c r="U193" s="681"/>
      <c r="V193" s="681"/>
      <c r="W193" s="681"/>
      <c r="X193" s="681"/>
      <c r="Y193" s="681"/>
      <c r="Z193" s="681"/>
      <c r="AA193" s="681"/>
      <c r="AB193" s="681"/>
      <c r="AC193" s="681"/>
      <c r="AD193" s="681"/>
      <c r="AE193" s="82">
        <f t="shared" si="47"/>
        <v>0</v>
      </c>
      <c r="AF193" s="65"/>
      <c r="AG193" s="65"/>
    </row>
    <row r="194" spans="1:33" ht="25.5" hidden="1">
      <c r="A194" s="86" t="s">
        <v>335</v>
      </c>
      <c r="B194" s="51"/>
      <c r="C194" s="677"/>
      <c r="D194" s="845">
        <v>0</v>
      </c>
      <c r="E194" s="678"/>
      <c r="F194" s="681"/>
      <c r="G194" s="681"/>
      <c r="H194" s="681"/>
      <c r="I194" s="856"/>
      <c r="J194" s="856"/>
      <c r="K194" s="681"/>
      <c r="L194" s="681"/>
      <c r="M194" s="681"/>
      <c r="N194" s="681"/>
      <c r="O194" s="681"/>
      <c r="P194" s="681"/>
      <c r="Q194" s="681"/>
      <c r="R194" s="681"/>
      <c r="S194" s="681"/>
      <c r="T194" s="681"/>
      <c r="U194" s="681"/>
      <c r="V194" s="681"/>
      <c r="W194" s="681"/>
      <c r="X194" s="681"/>
      <c r="Y194" s="681"/>
      <c r="Z194" s="681"/>
      <c r="AA194" s="681"/>
      <c r="AB194" s="681"/>
      <c r="AC194" s="681"/>
      <c r="AD194" s="681"/>
      <c r="AE194" s="82">
        <f t="shared" si="47"/>
        <v>0</v>
      </c>
      <c r="AF194" s="65"/>
      <c r="AG194" s="65"/>
    </row>
    <row r="195" spans="1:33" ht="25.5" hidden="1">
      <c r="A195" s="86" t="s">
        <v>336</v>
      </c>
      <c r="B195" s="51"/>
      <c r="C195" s="677"/>
      <c r="D195" s="845">
        <v>0</v>
      </c>
      <c r="E195" s="678"/>
      <c r="F195" s="681"/>
      <c r="G195" s="681"/>
      <c r="H195" s="681"/>
      <c r="I195" s="856"/>
      <c r="J195" s="856"/>
      <c r="K195" s="681"/>
      <c r="L195" s="681"/>
      <c r="M195" s="681"/>
      <c r="N195" s="681"/>
      <c r="O195" s="681"/>
      <c r="P195" s="681"/>
      <c r="Q195" s="681"/>
      <c r="R195" s="681"/>
      <c r="S195" s="681"/>
      <c r="T195" s="681"/>
      <c r="U195" s="681"/>
      <c r="V195" s="681"/>
      <c r="W195" s="681"/>
      <c r="X195" s="681"/>
      <c r="Y195" s="681"/>
      <c r="Z195" s="681"/>
      <c r="AA195" s="681"/>
      <c r="AB195" s="681"/>
      <c r="AC195" s="681"/>
      <c r="AD195" s="681"/>
      <c r="AE195" s="82">
        <f t="shared" si="47"/>
        <v>0</v>
      </c>
      <c r="AF195" s="65"/>
      <c r="AG195" s="65"/>
    </row>
    <row r="196" spans="1:33" ht="25.5" hidden="1">
      <c r="A196" s="86" t="s">
        <v>337</v>
      </c>
      <c r="B196" s="51"/>
      <c r="C196" s="677"/>
      <c r="D196" s="845">
        <v>0</v>
      </c>
      <c r="E196" s="678"/>
      <c r="F196" s="681"/>
      <c r="G196" s="681"/>
      <c r="H196" s="681"/>
      <c r="I196" s="856"/>
      <c r="J196" s="856"/>
      <c r="K196" s="681"/>
      <c r="L196" s="681"/>
      <c r="M196" s="681"/>
      <c r="N196" s="681"/>
      <c r="O196" s="681"/>
      <c r="P196" s="681"/>
      <c r="Q196" s="681"/>
      <c r="R196" s="681"/>
      <c r="S196" s="681"/>
      <c r="T196" s="681"/>
      <c r="U196" s="681"/>
      <c r="V196" s="681"/>
      <c r="W196" s="681"/>
      <c r="X196" s="681"/>
      <c r="Y196" s="681"/>
      <c r="Z196" s="681"/>
      <c r="AA196" s="681"/>
      <c r="AB196" s="681"/>
      <c r="AC196" s="681"/>
      <c r="AD196" s="681"/>
      <c r="AE196" s="82">
        <f t="shared" si="47"/>
        <v>0</v>
      </c>
      <c r="AF196" s="65"/>
      <c r="AG196" s="65"/>
    </row>
    <row r="197" spans="1:33" ht="25.5" hidden="1">
      <c r="A197" s="85" t="s">
        <v>338</v>
      </c>
      <c r="B197" s="34"/>
      <c r="C197" s="35"/>
      <c r="D197" s="847"/>
      <c r="E197" s="36"/>
      <c r="F197" s="55"/>
      <c r="G197" s="55">
        <f>SUM(G198:G202)</f>
        <v>0</v>
      </c>
      <c r="H197" s="55">
        <f>SUM(H198:H202)</f>
        <v>0</v>
      </c>
      <c r="I197" s="857">
        <f t="shared" ref="I197" si="54">SUM(I198:I202)</f>
        <v>0</v>
      </c>
      <c r="J197" s="857">
        <f>SUM(J198:J202)</f>
        <v>0</v>
      </c>
      <c r="K197" s="55">
        <f t="shared" ref="K197:AD197" si="55">SUM(K198:K202)</f>
        <v>0</v>
      </c>
      <c r="L197" s="55">
        <f t="shared" si="55"/>
        <v>0</v>
      </c>
      <c r="M197" s="55">
        <f t="shared" si="55"/>
        <v>0</v>
      </c>
      <c r="N197" s="55">
        <f t="shared" si="55"/>
        <v>0</v>
      </c>
      <c r="O197" s="55">
        <f t="shared" si="55"/>
        <v>0</v>
      </c>
      <c r="P197" s="55">
        <f t="shared" si="55"/>
        <v>0</v>
      </c>
      <c r="Q197" s="55">
        <f t="shared" si="55"/>
        <v>0</v>
      </c>
      <c r="R197" s="55">
        <f t="shared" si="55"/>
        <v>0</v>
      </c>
      <c r="S197" s="55">
        <f t="shared" si="55"/>
        <v>0</v>
      </c>
      <c r="T197" s="55">
        <f t="shared" si="55"/>
        <v>0</v>
      </c>
      <c r="U197" s="55">
        <f t="shared" si="55"/>
        <v>0</v>
      </c>
      <c r="V197" s="55">
        <f t="shared" si="55"/>
        <v>0</v>
      </c>
      <c r="W197" s="55">
        <f t="shared" si="55"/>
        <v>0</v>
      </c>
      <c r="X197" s="55">
        <f t="shared" si="55"/>
        <v>0</v>
      </c>
      <c r="Y197" s="55">
        <f t="shared" si="55"/>
        <v>0</v>
      </c>
      <c r="Z197" s="55">
        <f t="shared" si="55"/>
        <v>0</v>
      </c>
      <c r="AA197" s="55">
        <f t="shared" si="55"/>
        <v>0</v>
      </c>
      <c r="AB197" s="55">
        <f t="shared" si="55"/>
        <v>0</v>
      </c>
      <c r="AC197" s="55">
        <f t="shared" si="55"/>
        <v>0</v>
      </c>
      <c r="AD197" s="55">
        <f t="shared" si="55"/>
        <v>0</v>
      </c>
      <c r="AE197" s="82">
        <f t="shared" si="47"/>
        <v>0</v>
      </c>
      <c r="AF197" s="65"/>
      <c r="AG197" s="65"/>
    </row>
    <row r="198" spans="1:33" ht="25.5" hidden="1">
      <c r="A198" s="86" t="s">
        <v>339</v>
      </c>
      <c r="B198" s="51"/>
      <c r="C198" s="677"/>
      <c r="D198" s="845">
        <v>0</v>
      </c>
      <c r="E198" s="678"/>
      <c r="F198" s="681"/>
      <c r="G198" s="681"/>
      <c r="H198" s="681"/>
      <c r="I198" s="856"/>
      <c r="J198" s="856"/>
      <c r="K198" s="681"/>
      <c r="L198" s="681"/>
      <c r="M198" s="681"/>
      <c r="N198" s="681"/>
      <c r="O198" s="681"/>
      <c r="P198" s="681"/>
      <c r="Q198" s="681"/>
      <c r="R198" s="681"/>
      <c r="S198" s="681"/>
      <c r="T198" s="681"/>
      <c r="U198" s="681"/>
      <c r="V198" s="681"/>
      <c r="W198" s="681"/>
      <c r="X198" s="681"/>
      <c r="Y198" s="681"/>
      <c r="Z198" s="681"/>
      <c r="AA198" s="681"/>
      <c r="AB198" s="681"/>
      <c r="AC198" s="681"/>
      <c r="AD198" s="681"/>
      <c r="AE198" s="82">
        <f t="shared" si="47"/>
        <v>0</v>
      </c>
      <c r="AF198" s="65"/>
      <c r="AG198" s="65"/>
    </row>
    <row r="199" spans="1:33" ht="25.5" hidden="1">
      <c r="A199" s="86" t="s">
        <v>340</v>
      </c>
      <c r="B199" s="51"/>
      <c r="C199" s="677"/>
      <c r="D199" s="845">
        <v>0</v>
      </c>
      <c r="E199" s="678"/>
      <c r="F199" s="681"/>
      <c r="G199" s="681"/>
      <c r="H199" s="681"/>
      <c r="I199" s="856"/>
      <c r="J199" s="856"/>
      <c r="K199" s="681"/>
      <c r="L199" s="681"/>
      <c r="M199" s="681"/>
      <c r="N199" s="681"/>
      <c r="O199" s="681"/>
      <c r="P199" s="681"/>
      <c r="Q199" s="681"/>
      <c r="R199" s="681"/>
      <c r="S199" s="681"/>
      <c r="T199" s="681"/>
      <c r="U199" s="681"/>
      <c r="V199" s="681"/>
      <c r="W199" s="681"/>
      <c r="X199" s="681"/>
      <c r="Y199" s="681"/>
      <c r="Z199" s="681"/>
      <c r="AA199" s="681"/>
      <c r="AB199" s="681"/>
      <c r="AC199" s="681"/>
      <c r="AD199" s="681"/>
      <c r="AE199" s="82">
        <f t="shared" si="47"/>
        <v>0</v>
      </c>
      <c r="AF199" s="65"/>
      <c r="AG199" s="65"/>
    </row>
    <row r="200" spans="1:33" ht="25.5" hidden="1">
      <c r="A200" s="86" t="s">
        <v>341</v>
      </c>
      <c r="B200" s="51"/>
      <c r="C200" s="677"/>
      <c r="D200" s="845">
        <v>0</v>
      </c>
      <c r="E200" s="678"/>
      <c r="F200" s="681"/>
      <c r="G200" s="681"/>
      <c r="H200" s="681"/>
      <c r="I200" s="856"/>
      <c r="J200" s="856"/>
      <c r="K200" s="681"/>
      <c r="L200" s="681"/>
      <c r="M200" s="681"/>
      <c r="N200" s="681"/>
      <c r="O200" s="681"/>
      <c r="P200" s="681"/>
      <c r="Q200" s="681"/>
      <c r="R200" s="681"/>
      <c r="S200" s="681"/>
      <c r="T200" s="681"/>
      <c r="U200" s="681"/>
      <c r="V200" s="681"/>
      <c r="W200" s="681"/>
      <c r="X200" s="681"/>
      <c r="Y200" s="681"/>
      <c r="Z200" s="681"/>
      <c r="AA200" s="681"/>
      <c r="AB200" s="681"/>
      <c r="AC200" s="681"/>
      <c r="AD200" s="681"/>
      <c r="AE200" s="82">
        <f t="shared" si="47"/>
        <v>0</v>
      </c>
      <c r="AF200" s="65"/>
      <c r="AG200" s="65"/>
    </row>
    <row r="201" spans="1:33" ht="25.5" hidden="1">
      <c r="A201" s="86" t="s">
        <v>342</v>
      </c>
      <c r="B201" s="51"/>
      <c r="C201" s="677"/>
      <c r="D201" s="845">
        <v>0</v>
      </c>
      <c r="E201" s="678"/>
      <c r="F201" s="681"/>
      <c r="G201" s="681"/>
      <c r="H201" s="681"/>
      <c r="I201" s="856"/>
      <c r="J201" s="856"/>
      <c r="K201" s="681"/>
      <c r="L201" s="681"/>
      <c r="M201" s="681"/>
      <c r="N201" s="681"/>
      <c r="O201" s="681"/>
      <c r="P201" s="681"/>
      <c r="Q201" s="681"/>
      <c r="R201" s="681"/>
      <c r="S201" s="681"/>
      <c r="T201" s="681"/>
      <c r="U201" s="681"/>
      <c r="V201" s="681"/>
      <c r="W201" s="681"/>
      <c r="X201" s="681"/>
      <c r="Y201" s="681"/>
      <c r="Z201" s="681"/>
      <c r="AA201" s="681"/>
      <c r="AB201" s="681"/>
      <c r="AC201" s="681"/>
      <c r="AD201" s="681"/>
      <c r="AE201" s="82">
        <f t="shared" si="47"/>
        <v>0</v>
      </c>
      <c r="AF201" s="65"/>
      <c r="AG201" s="65"/>
    </row>
    <row r="202" spans="1:33" ht="25.5" hidden="1">
      <c r="A202" s="86" t="s">
        <v>343</v>
      </c>
      <c r="B202" s="51"/>
      <c r="C202" s="677"/>
      <c r="D202" s="845">
        <v>0</v>
      </c>
      <c r="E202" s="678"/>
      <c r="F202" s="681"/>
      <c r="G202" s="681"/>
      <c r="H202" s="681"/>
      <c r="I202" s="856"/>
      <c r="J202" s="856"/>
      <c r="K202" s="681"/>
      <c r="L202" s="681"/>
      <c r="M202" s="681"/>
      <c r="N202" s="681"/>
      <c r="O202" s="681"/>
      <c r="P202" s="681"/>
      <c r="Q202" s="681"/>
      <c r="R202" s="681"/>
      <c r="S202" s="681"/>
      <c r="T202" s="681"/>
      <c r="U202" s="681"/>
      <c r="V202" s="681"/>
      <c r="W202" s="681"/>
      <c r="X202" s="681"/>
      <c r="Y202" s="681"/>
      <c r="Z202" s="681"/>
      <c r="AA202" s="681"/>
      <c r="AB202" s="681"/>
      <c r="AC202" s="681"/>
      <c r="AD202" s="681"/>
      <c r="AE202" s="82">
        <f t="shared" si="47"/>
        <v>0</v>
      </c>
      <c r="AF202" s="65"/>
      <c r="AG202" s="65"/>
    </row>
    <row r="203" spans="1:33">
      <c r="A203" s="1003" t="s">
        <v>344</v>
      </c>
      <c r="B203" s="1004"/>
      <c r="C203" s="1004"/>
      <c r="D203" s="1004"/>
      <c r="E203" s="1004"/>
      <c r="F203" s="1004"/>
      <c r="G203" s="844">
        <v>0.16675101871317707</v>
      </c>
      <c r="H203" s="844">
        <v>0.16675101871317707</v>
      </c>
      <c r="I203" s="844">
        <v>0.3332489812868229</v>
      </c>
      <c r="J203" s="844">
        <v>0.278723</v>
      </c>
      <c r="K203" s="844">
        <v>5.45E-2</v>
      </c>
      <c r="L203" s="844">
        <v>0</v>
      </c>
      <c r="M203" s="844">
        <v>0</v>
      </c>
      <c r="N203" s="844">
        <v>0</v>
      </c>
      <c r="O203" s="844">
        <v>0</v>
      </c>
      <c r="P203" s="844">
        <v>0</v>
      </c>
      <c r="Q203" s="844">
        <v>0</v>
      </c>
      <c r="R203" s="844">
        <v>0</v>
      </c>
      <c r="S203" s="844">
        <v>0</v>
      </c>
      <c r="T203" s="844">
        <v>0</v>
      </c>
      <c r="U203" s="844">
        <v>0</v>
      </c>
      <c r="V203" s="844">
        <v>0</v>
      </c>
      <c r="W203" s="844">
        <v>0</v>
      </c>
      <c r="X203" s="844">
        <v>0</v>
      </c>
      <c r="Y203" s="844">
        <v>0</v>
      </c>
      <c r="Z203" s="844">
        <v>0</v>
      </c>
      <c r="AA203" s="844">
        <v>0</v>
      </c>
      <c r="AB203" s="844">
        <v>0</v>
      </c>
      <c r="AC203" s="844">
        <v>0</v>
      </c>
      <c r="AD203" s="844">
        <v>0</v>
      </c>
      <c r="AE203" s="65"/>
      <c r="AF203" s="65"/>
      <c r="AG203" s="65"/>
    </row>
    <row r="204" spans="1:33" ht="13.5" thickBot="1">
      <c r="A204" s="1005" t="s">
        <v>345</v>
      </c>
      <c r="B204" s="1006"/>
      <c r="C204" s="1006"/>
      <c r="D204" s="1006"/>
      <c r="E204" s="1006"/>
      <c r="F204" s="1006"/>
      <c r="G204" s="87">
        <f>G203</f>
        <v>0.16675101871317707</v>
      </c>
      <c r="H204" s="87">
        <f>H203+G204</f>
        <v>0.33350203742635415</v>
      </c>
      <c r="I204" s="87">
        <f t="shared" ref="I204" si="56">I203+H204</f>
        <v>0.6667510187131771</v>
      </c>
      <c r="J204" s="87">
        <f>J203+I204</f>
        <v>0.94547401871317716</v>
      </c>
      <c r="K204" s="87">
        <f t="shared" ref="K204:AD204" si="57">K203+J204</f>
        <v>0.99997401871317715</v>
      </c>
      <c r="L204" s="87">
        <f t="shared" si="57"/>
        <v>0.99997401871317715</v>
      </c>
      <c r="M204" s="87">
        <f t="shared" si="57"/>
        <v>0.99997401871317715</v>
      </c>
      <c r="N204" s="87">
        <f t="shared" si="57"/>
        <v>0.99997401871317715</v>
      </c>
      <c r="O204" s="87">
        <f t="shared" si="57"/>
        <v>0.99997401871317715</v>
      </c>
      <c r="P204" s="87">
        <f t="shared" si="57"/>
        <v>0.99997401871317715</v>
      </c>
      <c r="Q204" s="87">
        <f t="shared" si="57"/>
        <v>0.99997401871317715</v>
      </c>
      <c r="R204" s="87">
        <f t="shared" si="57"/>
        <v>0.99997401871317715</v>
      </c>
      <c r="S204" s="87">
        <f t="shared" si="57"/>
        <v>0.99997401871317715</v>
      </c>
      <c r="T204" s="87">
        <f t="shared" si="57"/>
        <v>0.99997401871317715</v>
      </c>
      <c r="U204" s="87">
        <f t="shared" si="57"/>
        <v>0.99997401871317715</v>
      </c>
      <c r="V204" s="87">
        <f t="shared" si="57"/>
        <v>0.99997401871317715</v>
      </c>
      <c r="W204" s="87">
        <f t="shared" si="57"/>
        <v>0.99997401871317715</v>
      </c>
      <c r="X204" s="87">
        <f t="shared" si="57"/>
        <v>0.99997401871317715</v>
      </c>
      <c r="Y204" s="87">
        <f t="shared" si="57"/>
        <v>0.99997401871317715</v>
      </c>
      <c r="Z204" s="87">
        <f t="shared" si="57"/>
        <v>0.99997401871317715</v>
      </c>
      <c r="AA204" s="87">
        <f t="shared" si="57"/>
        <v>0.99997401871317715</v>
      </c>
      <c r="AB204" s="87">
        <f t="shared" si="57"/>
        <v>0.99997401871317715</v>
      </c>
      <c r="AC204" s="87">
        <f t="shared" si="57"/>
        <v>0.99997401871317715</v>
      </c>
      <c r="AD204" s="87">
        <f t="shared" si="57"/>
        <v>0.99997401871317715</v>
      </c>
      <c r="AE204" s="65"/>
      <c r="AF204" s="65"/>
      <c r="AG204" s="65"/>
    </row>
    <row r="205" spans="1:33" ht="13.5" thickBot="1">
      <c r="A205" s="76"/>
      <c r="B205" s="76"/>
      <c r="C205" s="76"/>
      <c r="D205" s="77"/>
      <c r="E205" s="76"/>
      <c r="F205" s="76"/>
      <c r="G205" s="378"/>
      <c r="H205" s="378"/>
      <c r="I205" s="378"/>
      <c r="J205" s="378"/>
      <c r="K205" s="378"/>
      <c r="L205" s="378"/>
      <c r="M205" s="378"/>
      <c r="N205" s="378"/>
      <c r="O205" s="378"/>
      <c r="P205" s="378"/>
      <c r="Q205" s="378"/>
      <c r="R205" s="378"/>
      <c r="S205" s="378"/>
      <c r="T205" s="378"/>
      <c r="U205" s="378"/>
      <c r="V205" s="378"/>
      <c r="W205" s="378"/>
      <c r="X205" s="378"/>
      <c r="Y205" s="378"/>
      <c r="Z205" s="378"/>
      <c r="AA205" s="378"/>
      <c r="AB205" s="378"/>
      <c r="AC205" s="378"/>
      <c r="AD205" s="378"/>
      <c r="AE205" s="65"/>
      <c r="AF205" s="65"/>
      <c r="AG205" s="65"/>
    </row>
    <row r="206" spans="1:33" ht="13.5" thickBot="1">
      <c r="A206" s="89"/>
      <c r="B206" s="65"/>
      <c r="C206" s="90"/>
      <c r="D206" s="91"/>
      <c r="E206" s="979" t="s">
        <v>346</v>
      </c>
      <c r="F206" s="980"/>
      <c r="G206" s="980"/>
      <c r="H206" s="980"/>
      <c r="I206" s="980"/>
      <c r="J206" s="980"/>
      <c r="K206" s="980"/>
      <c r="L206" s="980"/>
      <c r="M206" s="980"/>
      <c r="N206" s="980"/>
      <c r="O206" s="980"/>
      <c r="P206" s="980"/>
      <c r="Q206" s="981"/>
      <c r="R206" s="410" t="s">
        <v>347</v>
      </c>
      <c r="S206" s="982"/>
      <c r="T206" s="983"/>
      <c r="U206" s="983"/>
      <c r="V206" s="983"/>
      <c r="W206" s="983"/>
      <c r="X206" s="983"/>
      <c r="Y206" s="983"/>
      <c r="Z206" s="983"/>
      <c r="AA206" s="983"/>
      <c r="AB206" s="983"/>
      <c r="AC206" s="983"/>
      <c r="AD206" s="984"/>
      <c r="AE206" s="65"/>
      <c r="AF206" s="65"/>
      <c r="AG206" s="65"/>
    </row>
    <row r="207" spans="1:33">
      <c r="A207" s="65"/>
      <c r="B207" s="65"/>
      <c r="C207" s="65"/>
      <c r="D207" s="91"/>
      <c r="E207" s="1010" t="s">
        <v>348</v>
      </c>
      <c r="F207" s="1011"/>
      <c r="G207" s="1011"/>
      <c r="H207" s="1011"/>
      <c r="I207" s="1011"/>
      <c r="J207" s="1011"/>
      <c r="K207" s="1011"/>
      <c r="L207" s="1011"/>
      <c r="M207" s="1011"/>
      <c r="N207" s="1011"/>
      <c r="O207" s="1011"/>
      <c r="P207" s="1011"/>
      <c r="Q207" s="1011"/>
      <c r="R207" s="1012"/>
      <c r="S207" s="1012"/>
      <c r="T207" s="1012"/>
      <c r="U207" s="1012"/>
      <c r="V207" s="1012"/>
      <c r="W207" s="1012"/>
      <c r="X207" s="1012"/>
      <c r="Y207" s="1012"/>
      <c r="Z207" s="1012"/>
      <c r="AA207" s="1012"/>
      <c r="AB207" s="1012"/>
      <c r="AC207" s="1012"/>
      <c r="AD207" s="1013"/>
      <c r="AE207" s="65"/>
      <c r="AF207" s="65"/>
      <c r="AG207" s="65"/>
    </row>
    <row r="208" spans="1:33">
      <c r="A208" s="65"/>
      <c r="B208" s="65"/>
      <c r="C208" s="65"/>
      <c r="D208" s="91"/>
      <c r="E208" s="1014" t="s">
        <v>349</v>
      </c>
      <c r="F208" s="973" t="s">
        <v>350</v>
      </c>
      <c r="G208" s="973" t="s">
        <v>351</v>
      </c>
      <c r="H208" s="973"/>
      <c r="I208" s="973"/>
      <c r="J208" s="973"/>
      <c r="K208" s="973"/>
      <c r="L208" s="973"/>
      <c r="M208" s="973"/>
      <c r="N208" s="973"/>
      <c r="O208" s="973"/>
      <c r="P208" s="973"/>
      <c r="Q208" s="973"/>
      <c r="R208" s="955"/>
      <c r="S208" s="955"/>
      <c r="T208" s="955"/>
      <c r="U208" s="955"/>
      <c r="V208" s="955"/>
      <c r="W208" s="955"/>
      <c r="X208" s="955"/>
      <c r="Y208" s="955"/>
      <c r="Z208" s="955"/>
      <c r="AA208" s="955"/>
      <c r="AB208" s="955"/>
      <c r="AC208" s="955"/>
      <c r="AD208" s="974"/>
      <c r="AE208" s="65"/>
      <c r="AF208" s="65"/>
      <c r="AG208" s="65"/>
    </row>
    <row r="209" spans="1:33" ht="25.5">
      <c r="A209" s="65"/>
      <c r="B209" s="65"/>
      <c r="C209" s="65"/>
      <c r="D209" s="91"/>
      <c r="E209" s="1014"/>
      <c r="F209" s="973"/>
      <c r="G209" s="374" t="s">
        <v>125</v>
      </c>
      <c r="H209" s="374" t="s">
        <v>126</v>
      </c>
      <c r="I209" s="374" t="s">
        <v>127</v>
      </c>
      <c r="J209" s="374" t="s">
        <v>128</v>
      </c>
      <c r="K209" s="374" t="s">
        <v>129</v>
      </c>
      <c r="L209" s="374" t="s">
        <v>130</v>
      </c>
      <c r="M209" s="374" t="s">
        <v>131</v>
      </c>
      <c r="N209" s="374" t="s">
        <v>132</v>
      </c>
      <c r="O209" s="374" t="s">
        <v>133</v>
      </c>
      <c r="P209" s="374" t="s">
        <v>134</v>
      </c>
      <c r="Q209" s="374" t="s">
        <v>135</v>
      </c>
      <c r="R209" s="374" t="s">
        <v>136</v>
      </c>
      <c r="S209" s="374" t="s">
        <v>137</v>
      </c>
      <c r="T209" s="374" t="s">
        <v>138</v>
      </c>
      <c r="U209" s="374" t="s">
        <v>139</v>
      </c>
      <c r="V209" s="374" t="s">
        <v>140</v>
      </c>
      <c r="W209" s="374" t="s">
        <v>141</v>
      </c>
      <c r="X209" s="374" t="s">
        <v>142</v>
      </c>
      <c r="Y209" s="374" t="s">
        <v>143</v>
      </c>
      <c r="Z209" s="374" t="s">
        <v>144</v>
      </c>
      <c r="AA209" s="374" t="s">
        <v>145</v>
      </c>
      <c r="AB209" s="374" t="s">
        <v>146</v>
      </c>
      <c r="AC209" s="374" t="s">
        <v>147</v>
      </c>
      <c r="AD209" s="79" t="s">
        <v>148</v>
      </c>
      <c r="AE209" s="65"/>
      <c r="AF209" s="65"/>
      <c r="AG209" s="65"/>
    </row>
    <row r="210" spans="1:33">
      <c r="A210" s="65"/>
      <c r="B210" s="65"/>
      <c r="C210" s="65"/>
      <c r="D210" s="91"/>
      <c r="E210" s="682">
        <f>+F210</f>
        <v>91699020</v>
      </c>
      <c r="F210" s="683">
        <v>91699020</v>
      </c>
      <c r="G210" s="684">
        <f t="shared" ref="G210:AD210" si="58">$F$210*G211</f>
        <v>15290904.999999998</v>
      </c>
      <c r="H210" s="684">
        <f t="shared" si="58"/>
        <v>15290904.999999998</v>
      </c>
      <c r="I210" s="684">
        <f t="shared" si="58"/>
        <v>30558605</v>
      </c>
      <c r="J210" s="684">
        <v>25558605</v>
      </c>
      <c r="K210" s="684">
        <v>5000000</v>
      </c>
      <c r="L210" s="684">
        <f t="shared" si="58"/>
        <v>0</v>
      </c>
      <c r="M210" s="684">
        <f t="shared" si="58"/>
        <v>0</v>
      </c>
      <c r="N210" s="684">
        <f t="shared" si="58"/>
        <v>0</v>
      </c>
      <c r="O210" s="684">
        <f t="shared" si="58"/>
        <v>0</v>
      </c>
      <c r="P210" s="684">
        <f t="shared" si="58"/>
        <v>0</v>
      </c>
      <c r="Q210" s="684">
        <f t="shared" si="58"/>
        <v>0</v>
      </c>
      <c r="R210" s="684">
        <f t="shared" si="58"/>
        <v>0</v>
      </c>
      <c r="S210" s="684">
        <f t="shared" si="58"/>
        <v>0</v>
      </c>
      <c r="T210" s="684">
        <f t="shared" si="58"/>
        <v>0</v>
      </c>
      <c r="U210" s="684">
        <f t="shared" si="58"/>
        <v>0</v>
      </c>
      <c r="V210" s="684">
        <f t="shared" si="58"/>
        <v>0</v>
      </c>
      <c r="W210" s="684">
        <f t="shared" si="58"/>
        <v>0</v>
      </c>
      <c r="X210" s="684">
        <f t="shared" si="58"/>
        <v>0</v>
      </c>
      <c r="Y210" s="684">
        <f t="shared" si="58"/>
        <v>0</v>
      </c>
      <c r="Z210" s="684">
        <f t="shared" si="58"/>
        <v>0</v>
      </c>
      <c r="AA210" s="684">
        <f t="shared" si="58"/>
        <v>0</v>
      </c>
      <c r="AB210" s="684">
        <f t="shared" si="58"/>
        <v>0</v>
      </c>
      <c r="AC210" s="684">
        <f t="shared" si="58"/>
        <v>0</v>
      </c>
      <c r="AD210" s="685">
        <f t="shared" si="58"/>
        <v>0</v>
      </c>
      <c r="AE210" s="409"/>
      <c r="AF210" s="409">
        <v>30558605</v>
      </c>
      <c r="AG210" s="844">
        <v>0.3332489812868229</v>
      </c>
    </row>
    <row r="211" spans="1:33">
      <c r="A211" s="65"/>
      <c r="B211" s="65"/>
      <c r="C211" s="65"/>
      <c r="D211" s="91"/>
      <c r="E211" s="975" t="s">
        <v>352</v>
      </c>
      <c r="F211" s="976"/>
      <c r="G211" s="379">
        <f>+G203</f>
        <v>0.16675101871317707</v>
      </c>
      <c r="H211" s="379">
        <f>+H203</f>
        <v>0.16675101871317707</v>
      </c>
      <c r="I211" s="379">
        <f>+I203</f>
        <v>0.3332489812868229</v>
      </c>
      <c r="J211" s="860">
        <f>+(I211*J210)/I210</f>
        <v>0.27872277151925939</v>
      </c>
      <c r="K211" s="860">
        <f>+(J211*K210)/J210</f>
        <v>5.4526209767563491E-2</v>
      </c>
      <c r="L211" s="379">
        <f t="shared" ref="L211:AD211" si="59">L203</f>
        <v>0</v>
      </c>
      <c r="M211" s="379">
        <f t="shared" si="59"/>
        <v>0</v>
      </c>
      <c r="N211" s="379">
        <f t="shared" si="59"/>
        <v>0</v>
      </c>
      <c r="O211" s="379">
        <f t="shared" si="59"/>
        <v>0</v>
      </c>
      <c r="P211" s="379">
        <f t="shared" si="59"/>
        <v>0</v>
      </c>
      <c r="Q211" s="379">
        <f t="shared" si="59"/>
        <v>0</v>
      </c>
      <c r="R211" s="379">
        <f t="shared" si="59"/>
        <v>0</v>
      </c>
      <c r="S211" s="379">
        <f t="shared" si="59"/>
        <v>0</v>
      </c>
      <c r="T211" s="379">
        <f t="shared" si="59"/>
        <v>0</v>
      </c>
      <c r="U211" s="379">
        <f t="shared" si="59"/>
        <v>0</v>
      </c>
      <c r="V211" s="379">
        <f t="shared" si="59"/>
        <v>0</v>
      </c>
      <c r="W211" s="379">
        <f t="shared" si="59"/>
        <v>0</v>
      </c>
      <c r="X211" s="379">
        <f t="shared" si="59"/>
        <v>0</v>
      </c>
      <c r="Y211" s="379">
        <f t="shared" si="59"/>
        <v>0</v>
      </c>
      <c r="Z211" s="379">
        <f t="shared" si="59"/>
        <v>0</v>
      </c>
      <c r="AA211" s="379">
        <f t="shared" si="59"/>
        <v>0</v>
      </c>
      <c r="AB211" s="379">
        <f t="shared" si="59"/>
        <v>0</v>
      </c>
      <c r="AC211" s="379">
        <f t="shared" si="59"/>
        <v>0</v>
      </c>
      <c r="AD211" s="380">
        <f t="shared" si="59"/>
        <v>0</v>
      </c>
      <c r="AE211" s="65"/>
      <c r="AF211" s="65">
        <v>25558605</v>
      </c>
      <c r="AG211" s="861">
        <f>+(AF211*AG210)/AF210</f>
        <v>0.27872277151925939</v>
      </c>
    </row>
    <row r="212" spans="1:33" ht="13.5" thickBot="1">
      <c r="A212" s="65"/>
      <c r="B212" s="65"/>
      <c r="C212" s="65"/>
      <c r="D212" s="91"/>
      <c r="E212" s="975" t="s">
        <v>353</v>
      </c>
      <c r="F212" s="976"/>
      <c r="G212" s="379">
        <f>+G211</f>
        <v>0.16675101871317707</v>
      </c>
      <c r="H212" s="379">
        <f>+G212+H211</f>
        <v>0.33350203742635415</v>
      </c>
      <c r="I212" s="379">
        <f>+H212+I211</f>
        <v>0.6667510187131771</v>
      </c>
      <c r="J212" s="379">
        <f>+I212+J211</f>
        <v>0.9454737902324365</v>
      </c>
      <c r="K212" s="379">
        <f>+J212+K211</f>
        <v>1</v>
      </c>
      <c r="L212" s="379">
        <f>+K212+L211</f>
        <v>1</v>
      </c>
      <c r="M212" s="379">
        <f t="shared" ref="M212:AD212" si="60">+L212+M211</f>
        <v>1</v>
      </c>
      <c r="N212" s="379">
        <f t="shared" si="60"/>
        <v>1</v>
      </c>
      <c r="O212" s="379">
        <f t="shared" si="60"/>
        <v>1</v>
      </c>
      <c r="P212" s="379">
        <f t="shared" si="60"/>
        <v>1</v>
      </c>
      <c r="Q212" s="379">
        <f t="shared" si="60"/>
        <v>1</v>
      </c>
      <c r="R212" s="379">
        <f t="shared" si="60"/>
        <v>1</v>
      </c>
      <c r="S212" s="379">
        <f t="shared" si="60"/>
        <v>1</v>
      </c>
      <c r="T212" s="379">
        <f t="shared" si="60"/>
        <v>1</v>
      </c>
      <c r="U212" s="379">
        <f t="shared" si="60"/>
        <v>1</v>
      </c>
      <c r="V212" s="379">
        <f t="shared" si="60"/>
        <v>1</v>
      </c>
      <c r="W212" s="379">
        <f t="shared" si="60"/>
        <v>1</v>
      </c>
      <c r="X212" s="379">
        <f t="shared" si="60"/>
        <v>1</v>
      </c>
      <c r="Y212" s="379">
        <f t="shared" si="60"/>
        <v>1</v>
      </c>
      <c r="Z212" s="379">
        <f t="shared" si="60"/>
        <v>1</v>
      </c>
      <c r="AA212" s="379">
        <f t="shared" si="60"/>
        <v>1</v>
      </c>
      <c r="AB212" s="379">
        <f t="shared" si="60"/>
        <v>1</v>
      </c>
      <c r="AC212" s="379">
        <f t="shared" si="60"/>
        <v>1</v>
      </c>
      <c r="AD212" s="380">
        <f t="shared" si="60"/>
        <v>1</v>
      </c>
      <c r="AE212" s="65"/>
      <c r="AF212" s="65"/>
      <c r="AG212" s="65"/>
    </row>
    <row r="213" spans="1:33">
      <c r="A213" s="65"/>
      <c r="B213" s="65"/>
      <c r="C213" s="966" t="s">
        <v>354</v>
      </c>
      <c r="D213" s="967"/>
      <c r="E213" s="1015" t="s">
        <v>355</v>
      </c>
      <c r="F213" s="1016"/>
      <c r="G213" s="98"/>
      <c r="H213" s="98"/>
      <c r="I213" s="98"/>
      <c r="J213" s="98"/>
      <c r="K213" s="98"/>
      <c r="L213" s="98"/>
      <c r="M213" s="98"/>
      <c r="N213" s="98"/>
      <c r="O213" s="98"/>
      <c r="P213" s="98"/>
      <c r="Q213" s="98"/>
      <c r="R213" s="98"/>
      <c r="S213" s="98"/>
      <c r="T213" s="98"/>
      <c r="U213" s="98"/>
      <c r="V213" s="98"/>
      <c r="W213" s="98"/>
      <c r="X213" s="98"/>
      <c r="Y213" s="98"/>
      <c r="Z213" s="98"/>
      <c r="AA213" s="98"/>
      <c r="AB213" s="98"/>
      <c r="AC213" s="98"/>
      <c r="AD213" s="474"/>
      <c r="AE213" s="65"/>
      <c r="AF213" s="65"/>
      <c r="AG213" s="65"/>
    </row>
    <row r="214" spans="1:33">
      <c r="A214" s="65"/>
      <c r="B214" s="65"/>
      <c r="C214" s="968"/>
      <c r="D214" s="969"/>
      <c r="E214" s="1008" t="s">
        <v>356</v>
      </c>
      <c r="F214" s="1009"/>
      <c r="G214" s="92">
        <f t="shared" ref="G214:AD214" si="61">IFERROR(G213/$F$210,0)</f>
        <v>0</v>
      </c>
      <c r="H214" s="92">
        <f t="shared" si="61"/>
        <v>0</v>
      </c>
      <c r="I214" s="92">
        <f t="shared" si="61"/>
        <v>0</v>
      </c>
      <c r="J214" s="92">
        <f t="shared" si="61"/>
        <v>0</v>
      </c>
      <c r="K214" s="92">
        <f t="shared" si="61"/>
        <v>0</v>
      </c>
      <c r="L214" s="92">
        <f t="shared" si="61"/>
        <v>0</v>
      </c>
      <c r="M214" s="92">
        <f t="shared" si="61"/>
        <v>0</v>
      </c>
      <c r="N214" s="92">
        <f t="shared" si="61"/>
        <v>0</v>
      </c>
      <c r="O214" s="92">
        <f t="shared" si="61"/>
        <v>0</v>
      </c>
      <c r="P214" s="92">
        <f t="shared" si="61"/>
        <v>0</v>
      </c>
      <c r="Q214" s="92">
        <f t="shared" si="61"/>
        <v>0</v>
      </c>
      <c r="R214" s="92">
        <f t="shared" si="61"/>
        <v>0</v>
      </c>
      <c r="S214" s="92">
        <f t="shared" si="61"/>
        <v>0</v>
      </c>
      <c r="T214" s="92">
        <f t="shared" si="61"/>
        <v>0</v>
      </c>
      <c r="U214" s="92">
        <f t="shared" si="61"/>
        <v>0</v>
      </c>
      <c r="V214" s="92">
        <f t="shared" si="61"/>
        <v>0</v>
      </c>
      <c r="W214" s="92">
        <f t="shared" si="61"/>
        <v>0</v>
      </c>
      <c r="X214" s="92">
        <f t="shared" si="61"/>
        <v>0</v>
      </c>
      <c r="Y214" s="92">
        <f t="shared" si="61"/>
        <v>0</v>
      </c>
      <c r="Z214" s="92">
        <f t="shared" si="61"/>
        <v>0</v>
      </c>
      <c r="AA214" s="92">
        <f t="shared" si="61"/>
        <v>0</v>
      </c>
      <c r="AB214" s="92">
        <f t="shared" si="61"/>
        <v>0</v>
      </c>
      <c r="AC214" s="92">
        <f t="shared" si="61"/>
        <v>0</v>
      </c>
      <c r="AD214" s="381">
        <f t="shared" si="61"/>
        <v>0</v>
      </c>
      <c r="AE214" s="65"/>
      <c r="AF214" s="65"/>
      <c r="AG214" s="65"/>
    </row>
    <row r="215" spans="1:33" ht="23.25" customHeight="1" thickBot="1">
      <c r="A215" s="65"/>
      <c r="B215" s="65"/>
      <c r="C215" s="970"/>
      <c r="D215" s="971"/>
      <c r="E215" s="977" t="s">
        <v>357</v>
      </c>
      <c r="F215" s="978"/>
      <c r="G215" s="382">
        <f>G214</f>
        <v>0</v>
      </c>
      <c r="H215" s="382">
        <f>G215+H214</f>
        <v>0</v>
      </c>
      <c r="I215" s="382">
        <f>H215+I214</f>
        <v>0</v>
      </c>
      <c r="J215" s="382">
        <f t="shared" ref="J215:AD215" si="62">I215+J214</f>
        <v>0</v>
      </c>
      <c r="K215" s="382">
        <f t="shared" si="62"/>
        <v>0</v>
      </c>
      <c r="L215" s="382">
        <f t="shared" si="62"/>
        <v>0</v>
      </c>
      <c r="M215" s="382">
        <f t="shared" si="62"/>
        <v>0</v>
      </c>
      <c r="N215" s="382">
        <f t="shared" si="62"/>
        <v>0</v>
      </c>
      <c r="O215" s="382">
        <f t="shared" si="62"/>
        <v>0</v>
      </c>
      <c r="P215" s="382">
        <f t="shared" si="62"/>
        <v>0</v>
      </c>
      <c r="Q215" s="382">
        <f t="shared" si="62"/>
        <v>0</v>
      </c>
      <c r="R215" s="382">
        <f t="shared" si="62"/>
        <v>0</v>
      </c>
      <c r="S215" s="382">
        <f t="shared" si="62"/>
        <v>0</v>
      </c>
      <c r="T215" s="382">
        <f t="shared" si="62"/>
        <v>0</v>
      </c>
      <c r="U215" s="382">
        <f t="shared" si="62"/>
        <v>0</v>
      </c>
      <c r="V215" s="382">
        <f t="shared" si="62"/>
        <v>0</v>
      </c>
      <c r="W215" s="382">
        <f t="shared" si="62"/>
        <v>0</v>
      </c>
      <c r="X215" s="382">
        <f t="shared" si="62"/>
        <v>0</v>
      </c>
      <c r="Y215" s="382">
        <f t="shared" si="62"/>
        <v>0</v>
      </c>
      <c r="Z215" s="382">
        <f t="shared" si="62"/>
        <v>0</v>
      </c>
      <c r="AA215" s="382">
        <f t="shared" si="62"/>
        <v>0</v>
      </c>
      <c r="AB215" s="382">
        <f t="shared" si="62"/>
        <v>0</v>
      </c>
      <c r="AC215" s="382">
        <f t="shared" si="62"/>
        <v>0</v>
      </c>
      <c r="AD215" s="383">
        <f t="shared" si="62"/>
        <v>0</v>
      </c>
      <c r="AE215" s="65"/>
      <c r="AF215" s="65"/>
      <c r="AG215" s="65">
        <v>16.68</v>
      </c>
    </row>
    <row r="216" spans="1:33" ht="13.5" thickBot="1">
      <c r="A216" s="65"/>
      <c r="B216" s="65"/>
      <c r="C216" s="65"/>
      <c r="D216" s="91"/>
      <c r="E216" s="93"/>
      <c r="F216" s="93"/>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E216" s="65"/>
      <c r="AF216" s="65"/>
      <c r="AG216" s="65">
        <v>16.68</v>
      </c>
    </row>
    <row r="217" spans="1:33">
      <c r="A217" s="65"/>
      <c r="B217" s="65"/>
      <c r="C217" s="997" t="s">
        <v>358</v>
      </c>
      <c r="D217" s="998"/>
      <c r="E217" s="998"/>
      <c r="F217" s="998"/>
      <c r="G217" s="998"/>
      <c r="H217" s="998"/>
      <c r="I217" s="998"/>
      <c r="J217" s="998"/>
      <c r="K217" s="998"/>
      <c r="L217" s="998"/>
      <c r="M217" s="998"/>
      <c r="N217" s="998"/>
      <c r="O217" s="998"/>
      <c r="P217" s="998"/>
      <c r="Q217" s="998"/>
      <c r="R217" s="998"/>
      <c r="S217" s="998"/>
      <c r="T217" s="998"/>
      <c r="U217" s="998"/>
      <c r="V217" s="998"/>
      <c r="W217" s="998"/>
      <c r="X217" s="998"/>
      <c r="Y217" s="998"/>
      <c r="Z217" s="998"/>
      <c r="AA217" s="998"/>
      <c r="AB217" s="998"/>
      <c r="AC217" s="998"/>
      <c r="AD217" s="998"/>
      <c r="AE217" s="999"/>
      <c r="AF217" s="65"/>
      <c r="AG217" s="65">
        <v>33.32</v>
      </c>
    </row>
    <row r="218" spans="1:33">
      <c r="A218" s="65"/>
      <c r="B218" s="65"/>
      <c r="C218" s="946" t="s">
        <v>359</v>
      </c>
      <c r="D218" s="953" t="s">
        <v>360</v>
      </c>
      <c r="E218" s="949" t="s">
        <v>361</v>
      </c>
      <c r="F218" s="955" t="s">
        <v>351</v>
      </c>
      <c r="G218" s="956"/>
      <c r="H218" s="956"/>
      <c r="I218" s="956"/>
      <c r="J218" s="956"/>
      <c r="K218" s="956"/>
      <c r="L218" s="956"/>
      <c r="M218" s="956"/>
      <c r="N218" s="956"/>
      <c r="O218" s="956"/>
      <c r="P218" s="956"/>
      <c r="Q218" s="956"/>
      <c r="R218" s="956"/>
      <c r="S218" s="956"/>
      <c r="T218" s="956"/>
      <c r="U218" s="956"/>
      <c r="V218" s="956"/>
      <c r="W218" s="956"/>
      <c r="X218" s="956"/>
      <c r="Y218" s="956"/>
      <c r="Z218" s="956"/>
      <c r="AA218" s="956"/>
      <c r="AB218" s="956"/>
      <c r="AC218" s="956"/>
      <c r="AD218" s="956"/>
      <c r="AE218" s="957"/>
      <c r="AF218" s="65"/>
      <c r="AG218" s="65">
        <v>33.32</v>
      </c>
    </row>
    <row r="219" spans="1:33" ht="36" customHeight="1">
      <c r="A219" s="65"/>
      <c r="B219" s="65"/>
      <c r="C219" s="946"/>
      <c r="D219" s="954"/>
      <c r="E219" s="949"/>
      <c r="F219" s="94"/>
      <c r="G219" s="374" t="s">
        <v>125</v>
      </c>
      <c r="H219" s="374" t="s">
        <v>126</v>
      </c>
      <c r="I219" s="374" t="s">
        <v>127</v>
      </c>
      <c r="J219" s="374" t="s">
        <v>128</v>
      </c>
      <c r="K219" s="374" t="s">
        <v>129</v>
      </c>
      <c r="L219" s="374" t="s">
        <v>130</v>
      </c>
      <c r="M219" s="374" t="s">
        <v>131</v>
      </c>
      <c r="N219" s="374" t="s">
        <v>132</v>
      </c>
      <c r="O219" s="374" t="s">
        <v>133</v>
      </c>
      <c r="P219" s="374" t="s">
        <v>134</v>
      </c>
      <c r="Q219" s="374" t="s">
        <v>135</v>
      </c>
      <c r="R219" s="374" t="s">
        <v>136</v>
      </c>
      <c r="S219" s="374" t="s">
        <v>137</v>
      </c>
      <c r="T219" s="374" t="s">
        <v>138</v>
      </c>
      <c r="U219" s="374" t="s">
        <v>139</v>
      </c>
      <c r="V219" s="374" t="s">
        <v>140</v>
      </c>
      <c r="W219" s="374" t="s">
        <v>141</v>
      </c>
      <c r="X219" s="374" t="s">
        <v>142</v>
      </c>
      <c r="Y219" s="374" t="s">
        <v>143</v>
      </c>
      <c r="Z219" s="374" t="s">
        <v>144</v>
      </c>
      <c r="AA219" s="374" t="s">
        <v>145</v>
      </c>
      <c r="AB219" s="374" t="s">
        <v>146</v>
      </c>
      <c r="AC219" s="374" t="s">
        <v>147</v>
      </c>
      <c r="AD219" s="374" t="s">
        <v>148</v>
      </c>
      <c r="AE219" s="79" t="s">
        <v>362</v>
      </c>
      <c r="AF219" s="65"/>
      <c r="AG219" s="65"/>
    </row>
    <row r="220" spans="1:33" ht="25.5">
      <c r="A220" s="65"/>
      <c r="B220" s="65"/>
      <c r="C220" s="1033">
        <v>61163620</v>
      </c>
      <c r="D220" s="1036">
        <v>30535400</v>
      </c>
      <c r="E220" s="948">
        <f>C220+D220</f>
        <v>91699020</v>
      </c>
      <c r="F220" s="95" t="s">
        <v>355</v>
      </c>
      <c r="G220" s="472">
        <v>15290905</v>
      </c>
      <c r="H220" s="472">
        <f t="shared" ref="H220:AC220" si="63">H213</f>
        <v>0</v>
      </c>
      <c r="I220" s="472">
        <f t="shared" si="63"/>
        <v>0</v>
      </c>
      <c r="J220" s="472">
        <f t="shared" si="63"/>
        <v>0</v>
      </c>
      <c r="K220" s="472">
        <f t="shared" si="63"/>
        <v>0</v>
      </c>
      <c r="L220" s="472">
        <f t="shared" si="63"/>
        <v>0</v>
      </c>
      <c r="M220" s="472">
        <f t="shared" si="63"/>
        <v>0</v>
      </c>
      <c r="N220" s="472">
        <f t="shared" si="63"/>
        <v>0</v>
      </c>
      <c r="O220" s="472">
        <f t="shared" si="63"/>
        <v>0</v>
      </c>
      <c r="P220" s="472">
        <f t="shared" si="63"/>
        <v>0</v>
      </c>
      <c r="Q220" s="472">
        <f t="shared" si="63"/>
        <v>0</v>
      </c>
      <c r="R220" s="472">
        <f t="shared" si="63"/>
        <v>0</v>
      </c>
      <c r="S220" s="472">
        <f t="shared" si="63"/>
        <v>0</v>
      </c>
      <c r="T220" s="472">
        <f t="shared" si="63"/>
        <v>0</v>
      </c>
      <c r="U220" s="472">
        <f t="shared" si="63"/>
        <v>0</v>
      </c>
      <c r="V220" s="472">
        <f t="shared" si="63"/>
        <v>0</v>
      </c>
      <c r="W220" s="472">
        <f t="shared" si="63"/>
        <v>0</v>
      </c>
      <c r="X220" s="472">
        <f t="shared" si="63"/>
        <v>0</v>
      </c>
      <c r="Y220" s="472">
        <f t="shared" si="63"/>
        <v>0</v>
      </c>
      <c r="Z220" s="472">
        <f t="shared" si="63"/>
        <v>0</v>
      </c>
      <c r="AA220" s="472">
        <f t="shared" si="63"/>
        <v>0</v>
      </c>
      <c r="AB220" s="472">
        <f t="shared" si="63"/>
        <v>0</v>
      </c>
      <c r="AC220" s="472">
        <f t="shared" si="63"/>
        <v>0</v>
      </c>
      <c r="AD220" s="472">
        <f>AD213</f>
        <v>0</v>
      </c>
      <c r="AE220" s="385">
        <f>SUM(G220:AD220)</f>
        <v>15290905</v>
      </c>
      <c r="AF220" s="65"/>
      <c r="AG220" s="100"/>
    </row>
    <row r="221" spans="1:33">
      <c r="A221" s="65"/>
      <c r="B221" s="65"/>
      <c r="C221" s="1034"/>
      <c r="D221" s="1037"/>
      <c r="E221" s="948"/>
      <c r="F221" s="96" t="s">
        <v>352</v>
      </c>
      <c r="G221" s="379">
        <f t="shared" ref="G221:AD221" si="64">IFERROR(G220/$E$220,0)</f>
        <v>0.16675101871317707</v>
      </c>
      <c r="H221" s="379">
        <f>+H211</f>
        <v>0.16675101871317707</v>
      </c>
      <c r="I221" s="379">
        <f>+I211</f>
        <v>0.3332489812868229</v>
      </c>
      <c r="J221" s="379">
        <f>+J211</f>
        <v>0.27872277151925939</v>
      </c>
      <c r="K221" s="9">
        <f t="shared" si="64"/>
        <v>0</v>
      </c>
      <c r="L221" s="9">
        <f t="shared" si="64"/>
        <v>0</v>
      </c>
      <c r="M221" s="9">
        <f t="shared" si="64"/>
        <v>0</v>
      </c>
      <c r="N221" s="9">
        <f t="shared" si="64"/>
        <v>0</v>
      </c>
      <c r="O221" s="9">
        <f t="shared" si="64"/>
        <v>0</v>
      </c>
      <c r="P221" s="9">
        <f t="shared" si="64"/>
        <v>0</v>
      </c>
      <c r="Q221" s="9">
        <f t="shared" si="64"/>
        <v>0</v>
      </c>
      <c r="R221" s="9">
        <f t="shared" si="64"/>
        <v>0</v>
      </c>
      <c r="S221" s="9">
        <f t="shared" si="64"/>
        <v>0</v>
      </c>
      <c r="T221" s="9">
        <f t="shared" si="64"/>
        <v>0</v>
      </c>
      <c r="U221" s="9">
        <f t="shared" si="64"/>
        <v>0</v>
      </c>
      <c r="V221" s="9">
        <f t="shared" si="64"/>
        <v>0</v>
      </c>
      <c r="W221" s="9">
        <f t="shared" si="64"/>
        <v>0</v>
      </c>
      <c r="X221" s="9">
        <f t="shared" si="64"/>
        <v>0</v>
      </c>
      <c r="Y221" s="9">
        <f t="shared" si="64"/>
        <v>0</v>
      </c>
      <c r="Z221" s="9">
        <f t="shared" si="64"/>
        <v>0</v>
      </c>
      <c r="AA221" s="9">
        <f t="shared" si="64"/>
        <v>0</v>
      </c>
      <c r="AB221" s="9">
        <f t="shared" si="64"/>
        <v>0</v>
      </c>
      <c r="AC221" s="9">
        <f t="shared" si="64"/>
        <v>0</v>
      </c>
      <c r="AD221" s="9">
        <f t="shared" si="64"/>
        <v>0</v>
      </c>
      <c r="AE221" s="386"/>
      <c r="AF221" s="65"/>
      <c r="AG221" s="100"/>
    </row>
    <row r="222" spans="1:33" ht="25.5">
      <c r="A222" s="65"/>
      <c r="B222" s="65"/>
      <c r="C222" s="1034"/>
      <c r="D222" s="1037"/>
      <c r="E222" s="948"/>
      <c r="F222" s="97" t="s">
        <v>353</v>
      </c>
      <c r="G222" s="379">
        <f>+G221</f>
        <v>0.16675101871317707</v>
      </c>
      <c r="H222" s="379">
        <f>+G222+H221</f>
        <v>0.33350203742635415</v>
      </c>
      <c r="I222" s="379">
        <f>+H222+I221</f>
        <v>0.6667510187131771</v>
      </c>
      <c r="J222" s="379">
        <f>+I222+J221</f>
        <v>0.9454737902324365</v>
      </c>
      <c r="K222" s="92">
        <f t="shared" ref="K222:AC222" si="65">+J222+K221</f>
        <v>0.9454737902324365</v>
      </c>
      <c r="L222" s="92">
        <f t="shared" si="65"/>
        <v>0.9454737902324365</v>
      </c>
      <c r="M222" s="92">
        <f t="shared" si="65"/>
        <v>0.9454737902324365</v>
      </c>
      <c r="N222" s="92">
        <f t="shared" si="65"/>
        <v>0.9454737902324365</v>
      </c>
      <c r="O222" s="92">
        <f t="shared" si="65"/>
        <v>0.9454737902324365</v>
      </c>
      <c r="P222" s="92">
        <f t="shared" si="65"/>
        <v>0.9454737902324365</v>
      </c>
      <c r="Q222" s="92">
        <f t="shared" si="65"/>
        <v>0.9454737902324365</v>
      </c>
      <c r="R222" s="92">
        <f t="shared" si="65"/>
        <v>0.9454737902324365</v>
      </c>
      <c r="S222" s="92">
        <f t="shared" si="65"/>
        <v>0.9454737902324365</v>
      </c>
      <c r="T222" s="92">
        <f t="shared" si="65"/>
        <v>0.9454737902324365</v>
      </c>
      <c r="U222" s="92">
        <f t="shared" si="65"/>
        <v>0.9454737902324365</v>
      </c>
      <c r="V222" s="92">
        <f t="shared" si="65"/>
        <v>0.9454737902324365</v>
      </c>
      <c r="W222" s="92">
        <f t="shared" si="65"/>
        <v>0.9454737902324365</v>
      </c>
      <c r="X222" s="92">
        <f t="shared" si="65"/>
        <v>0.9454737902324365</v>
      </c>
      <c r="Y222" s="92">
        <f t="shared" si="65"/>
        <v>0.9454737902324365</v>
      </c>
      <c r="Z222" s="92">
        <f t="shared" si="65"/>
        <v>0.9454737902324365</v>
      </c>
      <c r="AA222" s="92">
        <f t="shared" si="65"/>
        <v>0.9454737902324365</v>
      </c>
      <c r="AB222" s="92">
        <f t="shared" si="65"/>
        <v>0.9454737902324365</v>
      </c>
      <c r="AC222" s="92">
        <f t="shared" si="65"/>
        <v>0.9454737902324365</v>
      </c>
      <c r="AD222" s="92">
        <f>+AC222+AD221</f>
        <v>0.9454737902324365</v>
      </c>
      <c r="AE222" s="386"/>
      <c r="AF222" s="65"/>
      <c r="AG222" s="65"/>
    </row>
    <row r="223" spans="1:33">
      <c r="A223" s="65"/>
      <c r="B223" s="65"/>
      <c r="C223" s="1034"/>
      <c r="D223" s="1037"/>
      <c r="E223" s="948"/>
      <c r="F223" s="95" t="s">
        <v>363</v>
      </c>
      <c r="G223" s="98">
        <v>0</v>
      </c>
      <c r="H223" s="98">
        <f>H221*E220</f>
        <v>15290904.999999998</v>
      </c>
      <c r="I223" s="98">
        <f>I221*E220</f>
        <v>30558605</v>
      </c>
      <c r="J223" s="98">
        <f>E220*J221</f>
        <v>25558604.999999996</v>
      </c>
      <c r="K223" s="98"/>
      <c r="L223" s="98"/>
      <c r="M223" s="98"/>
      <c r="N223" s="98"/>
      <c r="O223" s="98"/>
      <c r="P223" s="98"/>
      <c r="Q223" s="98"/>
      <c r="R223" s="98"/>
      <c r="S223" s="98"/>
      <c r="T223" s="98"/>
      <c r="U223" s="98"/>
      <c r="V223" s="98"/>
      <c r="W223" s="98"/>
      <c r="X223" s="98"/>
      <c r="Y223" s="98"/>
      <c r="Z223" s="98"/>
      <c r="AA223" s="98"/>
      <c r="AB223" s="98"/>
      <c r="AC223" s="98"/>
      <c r="AD223" s="98"/>
      <c r="AE223" s="385">
        <f>SUM(G223:AD223)</f>
        <v>71408115</v>
      </c>
      <c r="AF223" s="65"/>
      <c r="AG223" s="65"/>
    </row>
    <row r="224" spans="1:33">
      <c r="A224" s="65"/>
      <c r="B224" s="65"/>
      <c r="C224" s="1034"/>
      <c r="D224" s="1037"/>
      <c r="E224" s="948"/>
      <c r="F224" s="96" t="s">
        <v>352</v>
      </c>
      <c r="G224" s="379">
        <f t="shared" ref="G224:AD224" si="66">IFERROR(G223/$E$220,0)</f>
        <v>0</v>
      </c>
      <c r="H224" s="379">
        <f t="shared" si="66"/>
        <v>0.16675101871317707</v>
      </c>
      <c r="I224" s="379">
        <f t="shared" si="66"/>
        <v>0.3332489812868229</v>
      </c>
      <c r="J224" s="379">
        <f t="shared" si="66"/>
        <v>0.27872277151925939</v>
      </c>
      <c r="K224" s="9">
        <f t="shared" si="66"/>
        <v>0</v>
      </c>
      <c r="L224" s="9">
        <f t="shared" si="66"/>
        <v>0</v>
      </c>
      <c r="M224" s="9">
        <f t="shared" si="66"/>
        <v>0</v>
      </c>
      <c r="N224" s="9">
        <f t="shared" si="66"/>
        <v>0</v>
      </c>
      <c r="O224" s="9">
        <f t="shared" si="66"/>
        <v>0</v>
      </c>
      <c r="P224" s="9">
        <f t="shared" si="66"/>
        <v>0</v>
      </c>
      <c r="Q224" s="9">
        <f t="shared" si="66"/>
        <v>0</v>
      </c>
      <c r="R224" s="9">
        <f t="shared" si="66"/>
        <v>0</v>
      </c>
      <c r="S224" s="9">
        <f t="shared" si="66"/>
        <v>0</v>
      </c>
      <c r="T224" s="9">
        <f t="shared" si="66"/>
        <v>0</v>
      </c>
      <c r="U224" s="9">
        <f t="shared" si="66"/>
        <v>0</v>
      </c>
      <c r="V224" s="9">
        <f t="shared" si="66"/>
        <v>0</v>
      </c>
      <c r="W224" s="9">
        <f t="shared" si="66"/>
        <v>0</v>
      </c>
      <c r="X224" s="9">
        <f t="shared" si="66"/>
        <v>0</v>
      </c>
      <c r="Y224" s="9">
        <f t="shared" si="66"/>
        <v>0</v>
      </c>
      <c r="Z224" s="9">
        <f t="shared" si="66"/>
        <v>0</v>
      </c>
      <c r="AA224" s="9">
        <f t="shared" si="66"/>
        <v>0</v>
      </c>
      <c r="AB224" s="9">
        <f t="shared" si="66"/>
        <v>0</v>
      </c>
      <c r="AC224" s="9">
        <f t="shared" si="66"/>
        <v>0</v>
      </c>
      <c r="AD224" s="9">
        <f t="shared" si="66"/>
        <v>0</v>
      </c>
      <c r="AE224" s="386"/>
      <c r="AF224" s="65"/>
      <c r="AG224" s="65"/>
    </row>
    <row r="225" spans="1:33" ht="25.5">
      <c r="A225" s="65"/>
      <c r="B225" s="65"/>
      <c r="C225" s="1035"/>
      <c r="D225" s="1038"/>
      <c r="E225" s="948"/>
      <c r="F225" s="97" t="s">
        <v>353</v>
      </c>
      <c r="G225" s="379">
        <f>+G224</f>
        <v>0</v>
      </c>
      <c r="H225" s="379">
        <f>G226+H221</f>
        <v>0.33350203742635415</v>
      </c>
      <c r="I225" s="379">
        <f>H225+I221</f>
        <v>0.6667510187131771</v>
      </c>
      <c r="J225" s="379">
        <f>+J224</f>
        <v>0.27872277151925939</v>
      </c>
      <c r="K225" s="92">
        <f>+J225+K224</f>
        <v>0.27872277151925939</v>
      </c>
      <c r="L225" s="92">
        <f t="shared" ref="L225:AC225" si="67">+K225+L224</f>
        <v>0.27872277151925939</v>
      </c>
      <c r="M225" s="92">
        <f t="shared" si="67"/>
        <v>0.27872277151925939</v>
      </c>
      <c r="N225" s="92">
        <f t="shared" si="67"/>
        <v>0.27872277151925939</v>
      </c>
      <c r="O225" s="92">
        <f t="shared" si="67"/>
        <v>0.27872277151925939</v>
      </c>
      <c r="P225" s="92">
        <f t="shared" si="67"/>
        <v>0.27872277151925939</v>
      </c>
      <c r="Q225" s="92">
        <f t="shared" si="67"/>
        <v>0.27872277151925939</v>
      </c>
      <c r="R225" s="92">
        <f t="shared" si="67"/>
        <v>0.27872277151925939</v>
      </c>
      <c r="S225" s="92">
        <f t="shared" si="67"/>
        <v>0.27872277151925939</v>
      </c>
      <c r="T225" s="92">
        <f t="shared" si="67"/>
        <v>0.27872277151925939</v>
      </c>
      <c r="U225" s="92">
        <f t="shared" si="67"/>
        <v>0.27872277151925939</v>
      </c>
      <c r="V225" s="92">
        <f t="shared" si="67"/>
        <v>0.27872277151925939</v>
      </c>
      <c r="W225" s="92">
        <f t="shared" si="67"/>
        <v>0.27872277151925939</v>
      </c>
      <c r="X225" s="92">
        <f t="shared" si="67"/>
        <v>0.27872277151925939</v>
      </c>
      <c r="Y225" s="92">
        <f t="shared" si="67"/>
        <v>0.27872277151925939</v>
      </c>
      <c r="Z225" s="92">
        <f t="shared" si="67"/>
        <v>0.27872277151925939</v>
      </c>
      <c r="AA225" s="92">
        <f t="shared" si="67"/>
        <v>0.27872277151925939</v>
      </c>
      <c r="AB225" s="92">
        <f t="shared" si="67"/>
        <v>0.27872277151925939</v>
      </c>
      <c r="AC225" s="92">
        <f t="shared" si="67"/>
        <v>0.27872277151925939</v>
      </c>
      <c r="AD225" s="92">
        <f>+AC225+AD224</f>
        <v>0.27872277151925939</v>
      </c>
      <c r="AE225" s="386"/>
      <c r="AF225" s="65"/>
      <c r="AG225" s="65"/>
    </row>
    <row r="226" spans="1:33" ht="13.5" thickBot="1">
      <c r="A226" s="65"/>
      <c r="B226" s="65"/>
      <c r="C226" s="950" t="s">
        <v>364</v>
      </c>
      <c r="D226" s="951"/>
      <c r="E226" s="951"/>
      <c r="F226" s="952"/>
      <c r="G226" s="382">
        <f>G222+G225</f>
        <v>0.16675101871317707</v>
      </c>
      <c r="H226" s="382">
        <f>+H225</f>
        <v>0.33350203742635415</v>
      </c>
      <c r="I226" s="382">
        <f>H226+I224</f>
        <v>0.6667510187131771</v>
      </c>
      <c r="J226" s="382">
        <f>I226+J225</f>
        <v>0.9454737902324365</v>
      </c>
      <c r="K226" s="382">
        <f>K222+K225</f>
        <v>1.2241965617516959</v>
      </c>
      <c r="L226" s="382">
        <f>L222+L225</f>
        <v>1.2241965617516959</v>
      </c>
      <c r="M226" s="382">
        <f t="shared" ref="M226:AC226" si="68">M222+M225</f>
        <v>1.2241965617516959</v>
      </c>
      <c r="N226" s="382">
        <f t="shared" si="68"/>
        <v>1.2241965617516959</v>
      </c>
      <c r="O226" s="382">
        <f t="shared" si="68"/>
        <v>1.2241965617516959</v>
      </c>
      <c r="P226" s="382">
        <f t="shared" si="68"/>
        <v>1.2241965617516959</v>
      </c>
      <c r="Q226" s="382">
        <f t="shared" si="68"/>
        <v>1.2241965617516959</v>
      </c>
      <c r="R226" s="382">
        <f t="shared" si="68"/>
        <v>1.2241965617516959</v>
      </c>
      <c r="S226" s="382">
        <f t="shared" si="68"/>
        <v>1.2241965617516959</v>
      </c>
      <c r="T226" s="382">
        <f t="shared" si="68"/>
        <v>1.2241965617516959</v>
      </c>
      <c r="U226" s="382">
        <f t="shared" si="68"/>
        <v>1.2241965617516959</v>
      </c>
      <c r="V226" s="382">
        <f t="shared" si="68"/>
        <v>1.2241965617516959</v>
      </c>
      <c r="W226" s="382">
        <f t="shared" si="68"/>
        <v>1.2241965617516959</v>
      </c>
      <c r="X226" s="382">
        <f t="shared" si="68"/>
        <v>1.2241965617516959</v>
      </c>
      <c r="Y226" s="382">
        <f t="shared" si="68"/>
        <v>1.2241965617516959</v>
      </c>
      <c r="Z226" s="382">
        <f t="shared" si="68"/>
        <v>1.2241965617516959</v>
      </c>
      <c r="AA226" s="382">
        <f t="shared" si="68"/>
        <v>1.2241965617516959</v>
      </c>
      <c r="AB226" s="382">
        <f t="shared" si="68"/>
        <v>1.2241965617516959</v>
      </c>
      <c r="AC226" s="382">
        <f t="shared" si="68"/>
        <v>1.2241965617516959</v>
      </c>
      <c r="AD226" s="382">
        <f>AD222+AD225</f>
        <v>1.2241965617516959</v>
      </c>
      <c r="AE226" s="387">
        <f>IFERROR((AE220+AE223)/E220,0)</f>
        <v>0.9454737902324365</v>
      </c>
      <c r="AF226" s="65"/>
      <c r="AG226" s="65"/>
    </row>
    <row r="227" spans="1:33">
      <c r="A227" s="65"/>
      <c r="B227" s="65"/>
      <c r="C227" s="65"/>
      <c r="D227" s="91"/>
      <c r="E227" s="93"/>
      <c r="F227" s="93"/>
      <c r="G227" s="90"/>
      <c r="H227" s="90"/>
      <c r="I227" s="90"/>
      <c r="J227" s="90"/>
      <c r="K227" s="90"/>
      <c r="L227" s="90"/>
      <c r="M227" s="90"/>
      <c r="N227" s="90"/>
      <c r="O227" s="90"/>
      <c r="P227" s="90"/>
      <c r="Q227" s="90"/>
      <c r="R227" s="90"/>
      <c r="S227" s="90"/>
      <c r="T227" s="90"/>
      <c r="U227" s="90"/>
      <c r="V227" s="90"/>
      <c r="W227" s="90"/>
      <c r="X227" s="90"/>
      <c r="Y227" s="90"/>
      <c r="Z227" s="90"/>
      <c r="AA227" s="90"/>
      <c r="AB227" s="90"/>
      <c r="AC227" s="90"/>
      <c r="AD227" s="90"/>
      <c r="AE227" s="841">
        <f>AE220+AE223</f>
        <v>86699020</v>
      </c>
      <c r="AF227" s="842">
        <f>E220-AE227</f>
        <v>5000000</v>
      </c>
      <c r="AG227" s="65"/>
    </row>
    <row r="228" spans="1:33">
      <c r="A228" s="65"/>
      <c r="B228" s="65"/>
      <c r="C228" s="65"/>
      <c r="D228" s="91"/>
      <c r="E228" s="93"/>
      <c r="F228" s="65"/>
      <c r="G228" s="90"/>
      <c r="H228" s="90"/>
      <c r="I228" s="90"/>
      <c r="J228" s="90"/>
      <c r="K228" s="90"/>
      <c r="L228" s="90"/>
      <c r="M228" s="90"/>
      <c r="N228" s="90"/>
      <c r="O228" s="90"/>
      <c r="P228" s="90"/>
      <c r="Q228" s="90"/>
      <c r="R228" s="90"/>
      <c r="S228" s="90"/>
      <c r="T228" s="90"/>
      <c r="U228" s="90"/>
      <c r="V228" s="90"/>
      <c r="W228" s="90"/>
      <c r="X228" s="90"/>
      <c r="Y228" s="90"/>
      <c r="Z228" s="90"/>
      <c r="AA228" s="90"/>
      <c r="AB228" s="90"/>
      <c r="AC228" s="90"/>
      <c r="AD228" s="90"/>
      <c r="AE228" s="862">
        <f>AE227+AF227</f>
        <v>91699020</v>
      </c>
      <c r="AF228" s="65"/>
      <c r="AG228" s="65"/>
    </row>
    <row r="229" spans="1:33">
      <c r="A229" s="65"/>
      <c r="B229" s="65"/>
      <c r="C229" s="65"/>
      <c r="D229" s="91"/>
      <c r="E229" s="93"/>
      <c r="F229" s="65"/>
      <c r="G229" s="65"/>
      <c r="H229" s="65"/>
      <c r="I229" s="65"/>
      <c r="J229" s="65"/>
      <c r="K229" s="65"/>
      <c r="L229" s="65"/>
      <c r="M229" s="90"/>
      <c r="N229" s="90"/>
      <c r="O229" s="90"/>
      <c r="P229" s="90"/>
      <c r="Q229" s="90"/>
      <c r="R229" s="90"/>
      <c r="S229" s="90"/>
      <c r="T229" s="90"/>
      <c r="U229" s="90"/>
      <c r="V229" s="90"/>
      <c r="W229" s="90"/>
      <c r="X229" s="90"/>
      <c r="Y229" s="90"/>
      <c r="Z229" s="90"/>
      <c r="AA229" s="90"/>
      <c r="AB229" s="90"/>
      <c r="AC229" s="90"/>
      <c r="AD229" s="90"/>
      <c r="AE229" s="65"/>
      <c r="AF229" s="65"/>
      <c r="AG229" s="65"/>
    </row>
    <row r="230" spans="1:33">
      <c r="A230" s="65"/>
      <c r="B230" s="65"/>
      <c r="C230" s="65"/>
      <c r="D230" s="91"/>
      <c r="E230" s="93"/>
      <c r="F230" s="93"/>
      <c r="G230" s="90"/>
      <c r="H230" s="90"/>
      <c r="I230" s="90"/>
      <c r="J230" s="90"/>
      <c r="K230" s="90"/>
      <c r="L230" s="90"/>
      <c r="M230" s="90"/>
      <c r="N230" s="90"/>
      <c r="O230" s="90"/>
      <c r="P230" s="90"/>
      <c r="Q230" s="90"/>
      <c r="R230" s="90"/>
      <c r="S230" s="90"/>
      <c r="T230" s="90"/>
      <c r="U230" s="90"/>
      <c r="V230" s="90"/>
      <c r="W230" s="90"/>
      <c r="X230" s="90"/>
      <c r="Y230" s="90"/>
      <c r="Z230" s="90"/>
      <c r="AA230" s="90"/>
      <c r="AB230" s="90"/>
      <c r="AC230" s="90"/>
      <c r="AD230" s="90"/>
      <c r="AE230" s="65"/>
      <c r="AF230" s="65"/>
      <c r="AG230" s="65"/>
    </row>
    <row r="231" spans="1:33">
      <c r="A231" s="65"/>
      <c r="B231" s="65"/>
      <c r="C231" s="65"/>
      <c r="D231" s="91"/>
      <c r="E231" s="65"/>
      <c r="F231" s="65"/>
      <c r="G231" s="65"/>
      <c r="H231" s="65"/>
      <c r="I231" s="65"/>
      <c r="J231" s="65"/>
      <c r="K231" s="65"/>
      <c r="L231" s="65"/>
      <c r="M231" s="65"/>
      <c r="N231" s="65"/>
      <c r="O231" s="65"/>
      <c r="P231" s="65"/>
      <c r="Q231" s="65"/>
      <c r="R231" s="65"/>
      <c r="S231" s="65"/>
      <c r="T231" s="65"/>
      <c r="U231" s="65"/>
      <c r="V231" s="65"/>
      <c r="W231" s="65"/>
      <c r="X231" s="65"/>
      <c r="Y231" s="65"/>
      <c r="Z231" s="65"/>
      <c r="AA231" s="65"/>
      <c r="AB231" s="65"/>
      <c r="AC231" s="65"/>
      <c r="AD231" s="65"/>
      <c r="AE231" s="65"/>
      <c r="AF231" s="65"/>
      <c r="AG231" s="65"/>
    </row>
    <row r="232" spans="1:33">
      <c r="A232" s="65"/>
      <c r="B232" s="65"/>
      <c r="C232" s="65"/>
      <c r="D232" s="91"/>
      <c r="E232" s="65"/>
      <c r="F232" s="65"/>
      <c r="G232" s="101"/>
      <c r="H232" s="101"/>
      <c r="I232" s="101"/>
      <c r="J232" s="65"/>
      <c r="K232" s="65"/>
      <c r="L232" s="65"/>
      <c r="M232" s="65"/>
      <c r="N232" s="65"/>
      <c r="O232" s="65"/>
      <c r="P232" s="65"/>
      <c r="Q232" s="65"/>
      <c r="R232" s="65"/>
      <c r="S232" s="65"/>
      <c r="T232" s="65"/>
      <c r="U232" s="65"/>
      <c r="V232" s="65"/>
      <c r="W232" s="65"/>
      <c r="X232" s="65"/>
      <c r="Y232" s="65"/>
      <c r="Z232" s="65"/>
      <c r="AA232" s="65"/>
      <c r="AB232" s="65"/>
      <c r="AC232" s="65"/>
      <c r="AD232" s="65"/>
      <c r="AE232" s="65"/>
      <c r="AF232" s="65"/>
      <c r="AG232" s="65"/>
    </row>
    <row r="233" spans="1:33">
      <c r="A233" s="102"/>
      <c r="B233" s="942" t="s">
        <v>385</v>
      </c>
      <c r="C233" s="942"/>
      <c r="D233" s="56"/>
      <c r="E233" s="103"/>
      <c r="F233" s="63"/>
      <c r="G233" s="858"/>
      <c r="H233" s="859" t="s">
        <v>366</v>
      </c>
      <c r="I233" s="859"/>
      <c r="J233" s="103"/>
      <c r="K233" s="103"/>
      <c r="L233" s="103"/>
      <c r="M233" s="103"/>
      <c r="N233" s="103"/>
      <c r="O233" s="103"/>
      <c r="P233" s="103"/>
      <c r="Q233" s="103"/>
      <c r="R233" s="103"/>
      <c r="S233" s="103"/>
      <c r="T233" s="103"/>
      <c r="U233" s="103"/>
      <c r="V233" s="103"/>
      <c r="W233" s="103"/>
      <c r="X233" s="103"/>
      <c r="Y233" s="103"/>
      <c r="Z233" s="103"/>
      <c r="AA233" s="103"/>
      <c r="AB233" s="103"/>
      <c r="AC233" s="103"/>
      <c r="AD233" s="102"/>
      <c r="AE233" s="104"/>
      <c r="AF233" s="104"/>
      <c r="AG233" s="104"/>
    </row>
    <row r="234" spans="1:33">
      <c r="A234" s="102"/>
      <c r="B234" s="944" t="s">
        <v>367</v>
      </c>
      <c r="C234" s="944"/>
      <c r="D234" s="57"/>
      <c r="E234" s="102"/>
      <c r="F234" s="63"/>
      <c r="G234" s="102"/>
      <c r="H234" s="2" t="s">
        <v>368</v>
      </c>
      <c r="I234" s="104"/>
      <c r="J234" s="104"/>
      <c r="K234" s="104"/>
      <c r="L234" s="104"/>
      <c r="M234" s="104"/>
      <c r="N234" s="104"/>
      <c r="O234" s="104"/>
      <c r="P234" s="104"/>
      <c r="Q234" s="104"/>
      <c r="R234" s="104"/>
      <c r="S234" s="104"/>
      <c r="T234" s="104"/>
      <c r="U234" s="104"/>
      <c r="V234" s="104"/>
      <c r="W234" s="104"/>
      <c r="X234" s="104"/>
      <c r="Y234" s="104"/>
      <c r="Z234" s="104"/>
      <c r="AA234" s="104"/>
      <c r="AB234" s="104"/>
      <c r="AC234" s="104"/>
      <c r="AD234" s="102"/>
      <c r="AE234" s="104"/>
      <c r="AF234" s="104"/>
      <c r="AG234" s="104"/>
    </row>
  </sheetData>
  <mergeCells count="50">
    <mergeCell ref="A5:B5"/>
    <mergeCell ref="C5:AD5"/>
    <mergeCell ref="A1:B3"/>
    <mergeCell ref="C1:AD1"/>
    <mergeCell ref="C2:AD2"/>
    <mergeCell ref="C3:G3"/>
    <mergeCell ref="H3:AD3"/>
    <mergeCell ref="A6:B6"/>
    <mergeCell ref="C6:AD6"/>
    <mergeCell ref="A8:B8"/>
    <mergeCell ref="C8:F8"/>
    <mergeCell ref="A9:B9"/>
    <mergeCell ref="C9:F9"/>
    <mergeCell ref="A10:B10"/>
    <mergeCell ref="C10:F10"/>
    <mergeCell ref="A11:B11"/>
    <mergeCell ref="C11:F11"/>
    <mergeCell ref="A13:AD13"/>
    <mergeCell ref="E212:F212"/>
    <mergeCell ref="F14:F15"/>
    <mergeCell ref="G14:AD14"/>
    <mergeCell ref="A203:F203"/>
    <mergeCell ref="A204:F204"/>
    <mergeCell ref="E206:Q206"/>
    <mergeCell ref="S206:AD206"/>
    <mergeCell ref="A14:A15"/>
    <mergeCell ref="B14:B15"/>
    <mergeCell ref="C14:C15"/>
    <mergeCell ref="D14:D15"/>
    <mergeCell ref="E14:E15"/>
    <mergeCell ref="E207:AD207"/>
    <mergeCell ref="E208:E209"/>
    <mergeCell ref="F208:F209"/>
    <mergeCell ref="G208:AD208"/>
    <mergeCell ref="E211:F211"/>
    <mergeCell ref="B234:C234"/>
    <mergeCell ref="C213:D215"/>
    <mergeCell ref="E213:F213"/>
    <mergeCell ref="E214:F214"/>
    <mergeCell ref="E215:F215"/>
    <mergeCell ref="C217:AE217"/>
    <mergeCell ref="C218:C219"/>
    <mergeCell ref="D218:D219"/>
    <mergeCell ref="E218:E219"/>
    <mergeCell ref="F218:AE218"/>
    <mergeCell ref="C220:C225"/>
    <mergeCell ref="D220:D225"/>
    <mergeCell ref="E220:E225"/>
    <mergeCell ref="C226:F226"/>
    <mergeCell ref="B233:C233"/>
  </mergeCells>
  <dataValidations count="7">
    <dataValidation allowBlank="1" showInputMessage="1" showErrorMessage="1" prompt="Ingrese el valor a pagar segun la forma de pago establecida en los estudios previos" sqref="G210:AD210" xr:uid="{2C7087E8-4530-4E18-983D-5A1AE993F5E6}"/>
    <dataValidation allowBlank="1" showInputMessage="1" showErrorMessage="1" prompt="Diligencie si es mensual, bimestral, trimestral o semestral." sqref="C11:F11 G12:I12" xr:uid="{EF373F00-2F2B-45ED-A7E0-2AD7F15E145E}"/>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xr:uid="{86EF21AF-A9B4-493C-B0D0-8A302C0E1A0D}"/>
    <dataValidation allowBlank="1" showInputMessage="1" showErrorMessage="1" prompt="Diligencie con el nombre del supervisor y/o interventor delegado." sqref="C9:D9" xr:uid="{34A44B4A-6749-4283-93DC-C8F5D6B4C4AA}"/>
    <dataValidation allowBlank="1" showInputMessage="1" showErrorMessage="1" prompt="Alcance: Definir las principales actividades que se requieren para alcanzar el producto definidos en los estudios previos" sqref="B17:B202" xr:uid="{29B99731-78E5-41DF-8757-EBC21CA70D64}"/>
    <dataValidation allowBlank="1" showInputMessage="1" showErrorMessage="1" prompt="Emplear una unidad de medida concreta y medible, no utilizar GLOBAL" sqref="E16:E202" xr:uid="{216BD94C-BF5A-4FDD-A435-041EF9F32688}"/>
    <dataValidation allowBlank="1" showInputMessage="1" showErrorMessage="1" prompt="diligencie el numero de meses en letras (numero). ej: seis (6)." sqref="C10:D10" xr:uid="{C065B702-1A6A-42F3-9087-065555425C55}"/>
  </dataValidations>
  <hyperlinks>
    <hyperlink ref="AE1" location="ins" display="Instructivo" xr:uid="{B2C69383-4237-4478-AB8F-72658EC71ADD}"/>
    <hyperlink ref="R206" location="ANTI" display="Información anticipos" xr:uid="{D134D9EF-CE1F-41FD-B28B-56A6A4D877AA}"/>
  </hyperlink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5" tint="0.39997558519241921"/>
    <pageSetUpPr fitToPage="1"/>
  </sheetPr>
  <dimension ref="A1:Q167"/>
  <sheetViews>
    <sheetView showGridLines="0" topLeftCell="A130" zoomScale="80" zoomScaleNormal="80" zoomScaleSheetLayoutView="80" zoomScalePageLayoutView="90" workbookViewId="0">
      <selection activeCell="A150" sqref="A150"/>
    </sheetView>
  </sheetViews>
  <sheetFormatPr defaultColWidth="15.1640625" defaultRowHeight="20.100000000000001" customHeight="1"/>
  <cols>
    <col min="1" max="1" width="85.83203125" style="64" bestFit="1" customWidth="1"/>
    <col min="2" max="2" width="19.33203125" style="64" customWidth="1"/>
    <col min="3" max="3" width="17.6640625" style="64" customWidth="1"/>
    <col min="4" max="4" width="20.33203125" style="64" customWidth="1"/>
    <col min="5" max="5" width="17.1640625" style="64" customWidth="1"/>
    <col min="6" max="6" width="18.5" style="64" customWidth="1"/>
    <col min="7" max="7" width="13.83203125" style="64" customWidth="1"/>
    <col min="8" max="8" width="20" style="64" customWidth="1"/>
    <col min="9" max="9" width="12.83203125" style="64" customWidth="1"/>
    <col min="10" max="10" width="15.1640625" style="64"/>
    <col min="11" max="11" width="16.1640625" style="64" customWidth="1"/>
    <col min="12" max="15" width="15.1640625" style="64"/>
    <col min="16" max="16" width="15.5" style="64" bestFit="1" customWidth="1"/>
    <col min="17" max="239" width="15.1640625" style="64"/>
    <col min="240" max="240" width="2.83203125" style="64" customWidth="1"/>
    <col min="241" max="241" width="26.33203125" style="64" customWidth="1"/>
    <col min="242" max="242" width="11.83203125" style="64" customWidth="1"/>
    <col min="243" max="243" width="17.6640625" style="64" customWidth="1"/>
    <col min="244" max="245" width="12.83203125" style="64" bestFit="1" customWidth="1"/>
    <col min="246" max="246" width="15.1640625" style="64"/>
    <col min="247" max="247" width="17.6640625" style="64" customWidth="1"/>
    <col min="248" max="248" width="15.5" style="64" customWidth="1"/>
    <col min="249" max="495" width="15.1640625" style="64"/>
    <col min="496" max="496" width="2.83203125" style="64" customWidth="1"/>
    <col min="497" max="497" width="26.33203125" style="64" customWidth="1"/>
    <col min="498" max="498" width="11.83203125" style="64" customWidth="1"/>
    <col min="499" max="499" width="17.6640625" style="64" customWidth="1"/>
    <col min="500" max="501" width="12.83203125" style="64" bestFit="1" customWidth="1"/>
    <col min="502" max="502" width="15.1640625" style="64"/>
    <col min="503" max="503" width="17.6640625" style="64" customWidth="1"/>
    <col min="504" max="504" width="15.5" style="64" customWidth="1"/>
    <col min="505" max="751" width="15.1640625" style="64"/>
    <col min="752" max="752" width="2.83203125" style="64" customWidth="1"/>
    <col min="753" max="753" width="26.33203125" style="64" customWidth="1"/>
    <col min="754" max="754" width="11.83203125" style="64" customWidth="1"/>
    <col min="755" max="755" width="17.6640625" style="64" customWidth="1"/>
    <col min="756" max="757" width="12.83203125" style="64" bestFit="1" customWidth="1"/>
    <col min="758" max="758" width="15.1640625" style="64"/>
    <col min="759" max="759" width="17.6640625" style="64" customWidth="1"/>
    <col min="760" max="760" width="15.5" style="64" customWidth="1"/>
    <col min="761" max="1007" width="15.1640625" style="64"/>
    <col min="1008" max="1008" width="2.83203125" style="64" customWidth="1"/>
    <col min="1009" max="1009" width="26.33203125" style="64" customWidth="1"/>
    <col min="1010" max="1010" width="11.83203125" style="64" customWidth="1"/>
    <col min="1011" max="1011" width="17.6640625" style="64" customWidth="1"/>
    <col min="1012" max="1013" width="12.83203125" style="64" bestFit="1" customWidth="1"/>
    <col min="1014" max="1014" width="15.1640625" style="64"/>
    <col min="1015" max="1015" width="17.6640625" style="64" customWidth="1"/>
    <col min="1016" max="1016" width="15.5" style="64" customWidth="1"/>
    <col min="1017" max="1263" width="15.1640625" style="64"/>
    <col min="1264" max="1264" width="2.83203125" style="64" customWidth="1"/>
    <col min="1265" max="1265" width="26.33203125" style="64" customWidth="1"/>
    <col min="1266" max="1266" width="11.83203125" style="64" customWidth="1"/>
    <col min="1267" max="1267" width="17.6640625" style="64" customWidth="1"/>
    <col min="1268" max="1269" width="12.83203125" style="64" bestFit="1" customWidth="1"/>
    <col min="1270" max="1270" width="15.1640625" style="64"/>
    <col min="1271" max="1271" width="17.6640625" style="64" customWidth="1"/>
    <col min="1272" max="1272" width="15.5" style="64" customWidth="1"/>
    <col min="1273" max="1519" width="15.1640625" style="64"/>
    <col min="1520" max="1520" width="2.83203125" style="64" customWidth="1"/>
    <col min="1521" max="1521" width="26.33203125" style="64" customWidth="1"/>
    <col min="1522" max="1522" width="11.83203125" style="64" customWidth="1"/>
    <col min="1523" max="1523" width="17.6640625" style="64" customWidth="1"/>
    <col min="1524" max="1525" width="12.83203125" style="64" bestFit="1" customWidth="1"/>
    <col min="1526" max="1526" width="15.1640625" style="64"/>
    <col min="1527" max="1527" width="17.6640625" style="64" customWidth="1"/>
    <col min="1528" max="1528" width="15.5" style="64" customWidth="1"/>
    <col min="1529" max="1775" width="15.1640625" style="64"/>
    <col min="1776" max="1776" width="2.83203125" style="64" customWidth="1"/>
    <col min="1777" max="1777" width="26.33203125" style="64" customWidth="1"/>
    <col min="1778" max="1778" width="11.83203125" style="64" customWidth="1"/>
    <col min="1779" max="1779" width="17.6640625" style="64" customWidth="1"/>
    <col min="1780" max="1781" width="12.83203125" style="64" bestFit="1" customWidth="1"/>
    <col min="1782" max="1782" width="15.1640625" style="64"/>
    <col min="1783" max="1783" width="17.6640625" style="64" customWidth="1"/>
    <col min="1784" max="1784" width="15.5" style="64" customWidth="1"/>
    <col min="1785" max="2031" width="15.1640625" style="64"/>
    <col min="2032" max="2032" width="2.83203125" style="64" customWidth="1"/>
    <col min="2033" max="2033" width="26.33203125" style="64" customWidth="1"/>
    <col min="2034" max="2034" width="11.83203125" style="64" customWidth="1"/>
    <col min="2035" max="2035" width="17.6640625" style="64" customWidth="1"/>
    <col min="2036" max="2037" width="12.83203125" style="64" bestFit="1" customWidth="1"/>
    <col min="2038" max="2038" width="15.1640625" style="64"/>
    <col min="2039" max="2039" width="17.6640625" style="64" customWidth="1"/>
    <col min="2040" max="2040" width="15.5" style="64" customWidth="1"/>
    <col min="2041" max="2287" width="15.1640625" style="64"/>
    <col min="2288" max="2288" width="2.83203125" style="64" customWidth="1"/>
    <col min="2289" max="2289" width="26.33203125" style="64" customWidth="1"/>
    <col min="2290" max="2290" width="11.83203125" style="64" customWidth="1"/>
    <col min="2291" max="2291" width="17.6640625" style="64" customWidth="1"/>
    <col min="2292" max="2293" width="12.83203125" style="64" bestFit="1" customWidth="1"/>
    <col min="2294" max="2294" width="15.1640625" style="64"/>
    <col min="2295" max="2295" width="17.6640625" style="64" customWidth="1"/>
    <col min="2296" max="2296" width="15.5" style="64" customWidth="1"/>
    <col min="2297" max="2543" width="15.1640625" style="64"/>
    <col min="2544" max="2544" width="2.83203125" style="64" customWidth="1"/>
    <col min="2545" max="2545" width="26.33203125" style="64" customWidth="1"/>
    <col min="2546" max="2546" width="11.83203125" style="64" customWidth="1"/>
    <col min="2547" max="2547" width="17.6640625" style="64" customWidth="1"/>
    <col min="2548" max="2549" width="12.83203125" style="64" bestFit="1" customWidth="1"/>
    <col min="2550" max="2550" width="15.1640625" style="64"/>
    <col min="2551" max="2551" width="17.6640625" style="64" customWidth="1"/>
    <col min="2552" max="2552" width="15.5" style="64" customWidth="1"/>
    <col min="2553" max="2799" width="15.1640625" style="64"/>
    <col min="2800" max="2800" width="2.83203125" style="64" customWidth="1"/>
    <col min="2801" max="2801" width="26.33203125" style="64" customWidth="1"/>
    <col min="2802" max="2802" width="11.83203125" style="64" customWidth="1"/>
    <col min="2803" max="2803" width="17.6640625" style="64" customWidth="1"/>
    <col min="2804" max="2805" width="12.83203125" style="64" bestFit="1" customWidth="1"/>
    <col min="2806" max="2806" width="15.1640625" style="64"/>
    <col min="2807" max="2807" width="17.6640625" style="64" customWidth="1"/>
    <col min="2808" max="2808" width="15.5" style="64" customWidth="1"/>
    <col min="2809" max="3055" width="15.1640625" style="64"/>
    <col min="3056" max="3056" width="2.83203125" style="64" customWidth="1"/>
    <col min="3057" max="3057" width="26.33203125" style="64" customWidth="1"/>
    <col min="3058" max="3058" width="11.83203125" style="64" customWidth="1"/>
    <col min="3059" max="3059" width="17.6640625" style="64" customWidth="1"/>
    <col min="3060" max="3061" width="12.83203125" style="64" bestFit="1" customWidth="1"/>
    <col min="3062" max="3062" width="15.1640625" style="64"/>
    <col min="3063" max="3063" width="17.6640625" style="64" customWidth="1"/>
    <col min="3064" max="3064" width="15.5" style="64" customWidth="1"/>
    <col min="3065" max="3311" width="15.1640625" style="64"/>
    <col min="3312" max="3312" width="2.83203125" style="64" customWidth="1"/>
    <col min="3313" max="3313" width="26.33203125" style="64" customWidth="1"/>
    <col min="3314" max="3314" width="11.83203125" style="64" customWidth="1"/>
    <col min="3315" max="3315" width="17.6640625" style="64" customWidth="1"/>
    <col min="3316" max="3317" width="12.83203125" style="64" bestFit="1" customWidth="1"/>
    <col min="3318" max="3318" width="15.1640625" style="64"/>
    <col min="3319" max="3319" width="17.6640625" style="64" customWidth="1"/>
    <col min="3320" max="3320" width="15.5" style="64" customWidth="1"/>
    <col min="3321" max="3567" width="15.1640625" style="64"/>
    <col min="3568" max="3568" width="2.83203125" style="64" customWidth="1"/>
    <col min="3569" max="3569" width="26.33203125" style="64" customWidth="1"/>
    <col min="3570" max="3570" width="11.83203125" style="64" customWidth="1"/>
    <col min="3571" max="3571" width="17.6640625" style="64" customWidth="1"/>
    <col min="3572" max="3573" width="12.83203125" style="64" bestFit="1" customWidth="1"/>
    <col min="3574" max="3574" width="15.1640625" style="64"/>
    <col min="3575" max="3575" width="17.6640625" style="64" customWidth="1"/>
    <col min="3576" max="3576" width="15.5" style="64" customWidth="1"/>
    <col min="3577" max="3823" width="15.1640625" style="64"/>
    <col min="3824" max="3824" width="2.83203125" style="64" customWidth="1"/>
    <col min="3825" max="3825" width="26.33203125" style="64" customWidth="1"/>
    <col min="3826" max="3826" width="11.83203125" style="64" customWidth="1"/>
    <col min="3827" max="3827" width="17.6640625" style="64" customWidth="1"/>
    <col min="3828" max="3829" width="12.83203125" style="64" bestFit="1" customWidth="1"/>
    <col min="3830" max="3830" width="15.1640625" style="64"/>
    <col min="3831" max="3831" width="17.6640625" style="64" customWidth="1"/>
    <col min="3832" max="3832" width="15.5" style="64" customWidth="1"/>
    <col min="3833" max="4079" width="15.1640625" style="64"/>
    <col min="4080" max="4080" width="2.83203125" style="64" customWidth="1"/>
    <col min="4081" max="4081" width="26.33203125" style="64" customWidth="1"/>
    <col min="4082" max="4082" width="11.83203125" style="64" customWidth="1"/>
    <col min="4083" max="4083" width="17.6640625" style="64" customWidth="1"/>
    <col min="4084" max="4085" width="12.83203125" style="64" bestFit="1" customWidth="1"/>
    <col min="4086" max="4086" width="15.1640625" style="64"/>
    <col min="4087" max="4087" width="17.6640625" style="64" customWidth="1"/>
    <col min="4088" max="4088" width="15.5" style="64" customWidth="1"/>
    <col min="4089" max="4335" width="15.1640625" style="64"/>
    <col min="4336" max="4336" width="2.83203125" style="64" customWidth="1"/>
    <col min="4337" max="4337" width="26.33203125" style="64" customWidth="1"/>
    <col min="4338" max="4338" width="11.83203125" style="64" customWidth="1"/>
    <col min="4339" max="4339" width="17.6640625" style="64" customWidth="1"/>
    <col min="4340" max="4341" width="12.83203125" style="64" bestFit="1" customWidth="1"/>
    <col min="4342" max="4342" width="15.1640625" style="64"/>
    <col min="4343" max="4343" width="17.6640625" style="64" customWidth="1"/>
    <col min="4344" max="4344" width="15.5" style="64" customWidth="1"/>
    <col min="4345" max="4591" width="15.1640625" style="64"/>
    <col min="4592" max="4592" width="2.83203125" style="64" customWidth="1"/>
    <col min="4593" max="4593" width="26.33203125" style="64" customWidth="1"/>
    <col min="4594" max="4594" width="11.83203125" style="64" customWidth="1"/>
    <col min="4595" max="4595" width="17.6640625" style="64" customWidth="1"/>
    <col min="4596" max="4597" width="12.83203125" style="64" bestFit="1" customWidth="1"/>
    <col min="4598" max="4598" width="15.1640625" style="64"/>
    <col min="4599" max="4599" width="17.6640625" style="64" customWidth="1"/>
    <col min="4600" max="4600" width="15.5" style="64" customWidth="1"/>
    <col min="4601" max="4847" width="15.1640625" style="64"/>
    <col min="4848" max="4848" width="2.83203125" style="64" customWidth="1"/>
    <col min="4849" max="4849" width="26.33203125" style="64" customWidth="1"/>
    <col min="4850" max="4850" width="11.83203125" style="64" customWidth="1"/>
    <col min="4851" max="4851" width="17.6640625" style="64" customWidth="1"/>
    <col min="4852" max="4853" width="12.83203125" style="64" bestFit="1" customWidth="1"/>
    <col min="4854" max="4854" width="15.1640625" style="64"/>
    <col min="4855" max="4855" width="17.6640625" style="64" customWidth="1"/>
    <col min="4856" max="4856" width="15.5" style="64" customWidth="1"/>
    <col min="4857" max="5103" width="15.1640625" style="64"/>
    <col min="5104" max="5104" width="2.83203125" style="64" customWidth="1"/>
    <col min="5105" max="5105" width="26.33203125" style="64" customWidth="1"/>
    <col min="5106" max="5106" width="11.83203125" style="64" customWidth="1"/>
    <col min="5107" max="5107" width="17.6640625" style="64" customWidth="1"/>
    <col min="5108" max="5109" width="12.83203125" style="64" bestFit="1" customWidth="1"/>
    <col min="5110" max="5110" width="15.1640625" style="64"/>
    <col min="5111" max="5111" width="17.6640625" style="64" customWidth="1"/>
    <col min="5112" max="5112" width="15.5" style="64" customWidth="1"/>
    <col min="5113" max="5359" width="15.1640625" style="64"/>
    <col min="5360" max="5360" width="2.83203125" style="64" customWidth="1"/>
    <col min="5361" max="5361" width="26.33203125" style="64" customWidth="1"/>
    <col min="5362" max="5362" width="11.83203125" style="64" customWidth="1"/>
    <col min="5363" max="5363" width="17.6640625" style="64" customWidth="1"/>
    <col min="5364" max="5365" width="12.83203125" style="64" bestFit="1" customWidth="1"/>
    <col min="5366" max="5366" width="15.1640625" style="64"/>
    <col min="5367" max="5367" width="17.6640625" style="64" customWidth="1"/>
    <col min="5368" max="5368" width="15.5" style="64" customWidth="1"/>
    <col min="5369" max="5615" width="15.1640625" style="64"/>
    <col min="5616" max="5616" width="2.83203125" style="64" customWidth="1"/>
    <col min="5617" max="5617" width="26.33203125" style="64" customWidth="1"/>
    <col min="5618" max="5618" width="11.83203125" style="64" customWidth="1"/>
    <col min="5619" max="5619" width="17.6640625" style="64" customWidth="1"/>
    <col min="5620" max="5621" width="12.83203125" style="64" bestFit="1" customWidth="1"/>
    <col min="5622" max="5622" width="15.1640625" style="64"/>
    <col min="5623" max="5623" width="17.6640625" style="64" customWidth="1"/>
    <col min="5624" max="5624" width="15.5" style="64" customWidth="1"/>
    <col min="5625" max="5871" width="15.1640625" style="64"/>
    <col min="5872" max="5872" width="2.83203125" style="64" customWidth="1"/>
    <col min="5873" max="5873" width="26.33203125" style="64" customWidth="1"/>
    <col min="5874" max="5874" width="11.83203125" style="64" customWidth="1"/>
    <col min="5875" max="5875" width="17.6640625" style="64" customWidth="1"/>
    <col min="5876" max="5877" width="12.83203125" style="64" bestFit="1" customWidth="1"/>
    <col min="5878" max="5878" width="15.1640625" style="64"/>
    <col min="5879" max="5879" width="17.6640625" style="64" customWidth="1"/>
    <col min="5880" max="5880" width="15.5" style="64" customWidth="1"/>
    <col min="5881" max="6127" width="15.1640625" style="64"/>
    <col min="6128" max="6128" width="2.83203125" style="64" customWidth="1"/>
    <col min="6129" max="6129" width="26.33203125" style="64" customWidth="1"/>
    <col min="6130" max="6130" width="11.83203125" style="64" customWidth="1"/>
    <col min="6131" max="6131" width="17.6640625" style="64" customWidth="1"/>
    <col min="6132" max="6133" width="12.83203125" style="64" bestFit="1" customWidth="1"/>
    <col min="6134" max="6134" width="15.1640625" style="64"/>
    <col min="6135" max="6135" width="17.6640625" style="64" customWidth="1"/>
    <col min="6136" max="6136" width="15.5" style="64" customWidth="1"/>
    <col min="6137" max="6383" width="15.1640625" style="64"/>
    <col min="6384" max="6384" width="2.83203125" style="64" customWidth="1"/>
    <col min="6385" max="6385" width="26.33203125" style="64" customWidth="1"/>
    <col min="6386" max="6386" width="11.83203125" style="64" customWidth="1"/>
    <col min="6387" max="6387" width="17.6640625" style="64" customWidth="1"/>
    <col min="6388" max="6389" width="12.83203125" style="64" bestFit="1" customWidth="1"/>
    <col min="6390" max="6390" width="15.1640625" style="64"/>
    <col min="6391" max="6391" width="17.6640625" style="64" customWidth="1"/>
    <col min="6392" max="6392" width="15.5" style="64" customWidth="1"/>
    <col min="6393" max="6639" width="15.1640625" style="64"/>
    <col min="6640" max="6640" width="2.83203125" style="64" customWidth="1"/>
    <col min="6641" max="6641" width="26.33203125" style="64" customWidth="1"/>
    <col min="6642" max="6642" width="11.83203125" style="64" customWidth="1"/>
    <col min="6643" max="6643" width="17.6640625" style="64" customWidth="1"/>
    <col min="6644" max="6645" width="12.83203125" style="64" bestFit="1" customWidth="1"/>
    <col min="6646" max="6646" width="15.1640625" style="64"/>
    <col min="6647" max="6647" width="17.6640625" style="64" customWidth="1"/>
    <col min="6648" max="6648" width="15.5" style="64" customWidth="1"/>
    <col min="6649" max="6895" width="15.1640625" style="64"/>
    <col min="6896" max="6896" width="2.83203125" style="64" customWidth="1"/>
    <col min="6897" max="6897" width="26.33203125" style="64" customWidth="1"/>
    <col min="6898" max="6898" width="11.83203125" style="64" customWidth="1"/>
    <col min="6899" max="6899" width="17.6640625" style="64" customWidth="1"/>
    <col min="6900" max="6901" width="12.83203125" style="64" bestFit="1" customWidth="1"/>
    <col min="6902" max="6902" width="15.1640625" style="64"/>
    <col min="6903" max="6903" width="17.6640625" style="64" customWidth="1"/>
    <col min="6904" max="6904" width="15.5" style="64" customWidth="1"/>
    <col min="6905" max="7151" width="15.1640625" style="64"/>
    <col min="7152" max="7152" width="2.83203125" style="64" customWidth="1"/>
    <col min="7153" max="7153" width="26.33203125" style="64" customWidth="1"/>
    <col min="7154" max="7154" width="11.83203125" style="64" customWidth="1"/>
    <col min="7155" max="7155" width="17.6640625" style="64" customWidth="1"/>
    <col min="7156" max="7157" width="12.83203125" style="64" bestFit="1" customWidth="1"/>
    <col min="7158" max="7158" width="15.1640625" style="64"/>
    <col min="7159" max="7159" width="17.6640625" style="64" customWidth="1"/>
    <col min="7160" max="7160" width="15.5" style="64" customWidth="1"/>
    <col min="7161" max="7407" width="15.1640625" style="64"/>
    <col min="7408" max="7408" width="2.83203125" style="64" customWidth="1"/>
    <col min="7409" max="7409" width="26.33203125" style="64" customWidth="1"/>
    <col min="7410" max="7410" width="11.83203125" style="64" customWidth="1"/>
    <col min="7411" max="7411" width="17.6640625" style="64" customWidth="1"/>
    <col min="7412" max="7413" width="12.83203125" style="64" bestFit="1" customWidth="1"/>
    <col min="7414" max="7414" width="15.1640625" style="64"/>
    <col min="7415" max="7415" width="17.6640625" style="64" customWidth="1"/>
    <col min="7416" max="7416" width="15.5" style="64" customWidth="1"/>
    <col min="7417" max="7663" width="15.1640625" style="64"/>
    <col min="7664" max="7664" width="2.83203125" style="64" customWidth="1"/>
    <col min="7665" max="7665" width="26.33203125" style="64" customWidth="1"/>
    <col min="7666" max="7666" width="11.83203125" style="64" customWidth="1"/>
    <col min="7667" max="7667" width="17.6640625" style="64" customWidth="1"/>
    <col min="7668" max="7669" width="12.83203125" style="64" bestFit="1" customWidth="1"/>
    <col min="7670" max="7670" width="15.1640625" style="64"/>
    <col min="7671" max="7671" width="17.6640625" style="64" customWidth="1"/>
    <col min="7672" max="7672" width="15.5" style="64" customWidth="1"/>
    <col min="7673" max="7919" width="15.1640625" style="64"/>
    <col min="7920" max="7920" width="2.83203125" style="64" customWidth="1"/>
    <col min="7921" max="7921" width="26.33203125" style="64" customWidth="1"/>
    <col min="7922" max="7922" width="11.83203125" style="64" customWidth="1"/>
    <col min="7923" max="7923" width="17.6640625" style="64" customWidth="1"/>
    <col min="7924" max="7925" width="12.83203125" style="64" bestFit="1" customWidth="1"/>
    <col min="7926" max="7926" width="15.1640625" style="64"/>
    <col min="7927" max="7927" width="17.6640625" style="64" customWidth="1"/>
    <col min="7928" max="7928" width="15.5" style="64" customWidth="1"/>
    <col min="7929" max="8175" width="15.1640625" style="64"/>
    <col min="8176" max="8176" width="2.83203125" style="64" customWidth="1"/>
    <col min="8177" max="8177" width="26.33203125" style="64" customWidth="1"/>
    <col min="8178" max="8178" width="11.83203125" style="64" customWidth="1"/>
    <col min="8179" max="8179" width="17.6640625" style="64" customWidth="1"/>
    <col min="8180" max="8181" width="12.83203125" style="64" bestFit="1" customWidth="1"/>
    <col min="8182" max="8182" width="15.1640625" style="64"/>
    <col min="8183" max="8183" width="17.6640625" style="64" customWidth="1"/>
    <col min="8184" max="8184" width="15.5" style="64" customWidth="1"/>
    <col min="8185" max="8431" width="15.1640625" style="64"/>
    <col min="8432" max="8432" width="2.83203125" style="64" customWidth="1"/>
    <col min="8433" max="8433" width="26.33203125" style="64" customWidth="1"/>
    <col min="8434" max="8434" width="11.83203125" style="64" customWidth="1"/>
    <col min="8435" max="8435" width="17.6640625" style="64" customWidth="1"/>
    <col min="8436" max="8437" width="12.83203125" style="64" bestFit="1" customWidth="1"/>
    <col min="8438" max="8438" width="15.1640625" style="64"/>
    <col min="8439" max="8439" width="17.6640625" style="64" customWidth="1"/>
    <col min="8440" max="8440" width="15.5" style="64" customWidth="1"/>
    <col min="8441" max="8687" width="15.1640625" style="64"/>
    <col min="8688" max="8688" width="2.83203125" style="64" customWidth="1"/>
    <col min="8689" max="8689" width="26.33203125" style="64" customWidth="1"/>
    <col min="8690" max="8690" width="11.83203125" style="64" customWidth="1"/>
    <col min="8691" max="8691" width="17.6640625" style="64" customWidth="1"/>
    <col min="8692" max="8693" width="12.83203125" style="64" bestFit="1" customWidth="1"/>
    <col min="8694" max="8694" width="15.1640625" style="64"/>
    <col min="8695" max="8695" width="17.6640625" style="64" customWidth="1"/>
    <col min="8696" max="8696" width="15.5" style="64" customWidth="1"/>
    <col min="8697" max="8943" width="15.1640625" style="64"/>
    <col min="8944" max="8944" width="2.83203125" style="64" customWidth="1"/>
    <col min="8945" max="8945" width="26.33203125" style="64" customWidth="1"/>
    <col min="8946" max="8946" width="11.83203125" style="64" customWidth="1"/>
    <col min="8947" max="8947" width="17.6640625" style="64" customWidth="1"/>
    <col min="8948" max="8949" width="12.83203125" style="64" bestFit="1" customWidth="1"/>
    <col min="8950" max="8950" width="15.1640625" style="64"/>
    <col min="8951" max="8951" width="17.6640625" style="64" customWidth="1"/>
    <col min="8952" max="8952" width="15.5" style="64" customWidth="1"/>
    <col min="8953" max="9199" width="15.1640625" style="64"/>
    <col min="9200" max="9200" width="2.83203125" style="64" customWidth="1"/>
    <col min="9201" max="9201" width="26.33203125" style="64" customWidth="1"/>
    <col min="9202" max="9202" width="11.83203125" style="64" customWidth="1"/>
    <col min="9203" max="9203" width="17.6640625" style="64" customWidth="1"/>
    <col min="9204" max="9205" width="12.83203125" style="64" bestFit="1" customWidth="1"/>
    <col min="9206" max="9206" width="15.1640625" style="64"/>
    <col min="9207" max="9207" width="17.6640625" style="64" customWidth="1"/>
    <col min="9208" max="9208" width="15.5" style="64" customWidth="1"/>
    <col min="9209" max="9455" width="15.1640625" style="64"/>
    <col min="9456" max="9456" width="2.83203125" style="64" customWidth="1"/>
    <col min="9457" max="9457" width="26.33203125" style="64" customWidth="1"/>
    <col min="9458" max="9458" width="11.83203125" style="64" customWidth="1"/>
    <col min="9459" max="9459" width="17.6640625" style="64" customWidth="1"/>
    <col min="9460" max="9461" width="12.83203125" style="64" bestFit="1" customWidth="1"/>
    <col min="9462" max="9462" width="15.1640625" style="64"/>
    <col min="9463" max="9463" width="17.6640625" style="64" customWidth="1"/>
    <col min="9464" max="9464" width="15.5" style="64" customWidth="1"/>
    <col min="9465" max="9711" width="15.1640625" style="64"/>
    <col min="9712" max="9712" width="2.83203125" style="64" customWidth="1"/>
    <col min="9713" max="9713" width="26.33203125" style="64" customWidth="1"/>
    <col min="9714" max="9714" width="11.83203125" style="64" customWidth="1"/>
    <col min="9715" max="9715" width="17.6640625" style="64" customWidth="1"/>
    <col min="9716" max="9717" width="12.83203125" style="64" bestFit="1" customWidth="1"/>
    <col min="9718" max="9718" width="15.1640625" style="64"/>
    <col min="9719" max="9719" width="17.6640625" style="64" customWidth="1"/>
    <col min="9720" max="9720" width="15.5" style="64" customWidth="1"/>
    <col min="9721" max="9967" width="15.1640625" style="64"/>
    <col min="9968" max="9968" width="2.83203125" style="64" customWidth="1"/>
    <col min="9969" max="9969" width="26.33203125" style="64" customWidth="1"/>
    <col min="9970" max="9970" width="11.83203125" style="64" customWidth="1"/>
    <col min="9971" max="9971" width="17.6640625" style="64" customWidth="1"/>
    <col min="9972" max="9973" width="12.83203125" style="64" bestFit="1" customWidth="1"/>
    <col min="9974" max="9974" width="15.1640625" style="64"/>
    <col min="9975" max="9975" width="17.6640625" style="64" customWidth="1"/>
    <col min="9976" max="9976" width="15.5" style="64" customWidth="1"/>
    <col min="9977" max="10223" width="15.1640625" style="64"/>
    <col min="10224" max="10224" width="2.83203125" style="64" customWidth="1"/>
    <col min="10225" max="10225" width="26.33203125" style="64" customWidth="1"/>
    <col min="10226" max="10226" width="11.83203125" style="64" customWidth="1"/>
    <col min="10227" max="10227" width="17.6640625" style="64" customWidth="1"/>
    <col min="10228" max="10229" width="12.83203125" style="64" bestFit="1" customWidth="1"/>
    <col min="10230" max="10230" width="15.1640625" style="64"/>
    <col min="10231" max="10231" width="17.6640625" style="64" customWidth="1"/>
    <col min="10232" max="10232" width="15.5" style="64" customWidth="1"/>
    <col min="10233" max="10479" width="15.1640625" style="64"/>
    <col min="10480" max="10480" width="2.83203125" style="64" customWidth="1"/>
    <col min="10481" max="10481" width="26.33203125" style="64" customWidth="1"/>
    <col min="10482" max="10482" width="11.83203125" style="64" customWidth="1"/>
    <col min="10483" max="10483" width="17.6640625" style="64" customWidth="1"/>
    <col min="10484" max="10485" width="12.83203125" style="64" bestFit="1" customWidth="1"/>
    <col min="10486" max="10486" width="15.1640625" style="64"/>
    <col min="10487" max="10487" width="17.6640625" style="64" customWidth="1"/>
    <col min="10488" max="10488" width="15.5" style="64" customWidth="1"/>
    <col min="10489" max="10735" width="15.1640625" style="64"/>
    <col min="10736" max="10736" width="2.83203125" style="64" customWidth="1"/>
    <col min="10737" max="10737" width="26.33203125" style="64" customWidth="1"/>
    <col min="10738" max="10738" width="11.83203125" style="64" customWidth="1"/>
    <col min="10739" max="10739" width="17.6640625" style="64" customWidth="1"/>
    <col min="10740" max="10741" width="12.83203125" style="64" bestFit="1" customWidth="1"/>
    <col min="10742" max="10742" width="15.1640625" style="64"/>
    <col min="10743" max="10743" width="17.6640625" style="64" customWidth="1"/>
    <col min="10744" max="10744" width="15.5" style="64" customWidth="1"/>
    <col min="10745" max="10991" width="15.1640625" style="64"/>
    <col min="10992" max="10992" width="2.83203125" style="64" customWidth="1"/>
    <col min="10993" max="10993" width="26.33203125" style="64" customWidth="1"/>
    <col min="10994" max="10994" width="11.83203125" style="64" customWidth="1"/>
    <col min="10995" max="10995" width="17.6640625" style="64" customWidth="1"/>
    <col min="10996" max="10997" width="12.83203125" style="64" bestFit="1" customWidth="1"/>
    <col min="10998" max="10998" width="15.1640625" style="64"/>
    <col min="10999" max="10999" width="17.6640625" style="64" customWidth="1"/>
    <col min="11000" max="11000" width="15.5" style="64" customWidth="1"/>
    <col min="11001" max="11247" width="15.1640625" style="64"/>
    <col min="11248" max="11248" width="2.83203125" style="64" customWidth="1"/>
    <col min="11249" max="11249" width="26.33203125" style="64" customWidth="1"/>
    <col min="11250" max="11250" width="11.83203125" style="64" customWidth="1"/>
    <col min="11251" max="11251" width="17.6640625" style="64" customWidth="1"/>
    <col min="11252" max="11253" width="12.83203125" style="64" bestFit="1" customWidth="1"/>
    <col min="11254" max="11254" width="15.1640625" style="64"/>
    <col min="11255" max="11255" width="17.6640625" style="64" customWidth="1"/>
    <col min="11256" max="11256" width="15.5" style="64" customWidth="1"/>
    <col min="11257" max="11503" width="15.1640625" style="64"/>
    <col min="11504" max="11504" width="2.83203125" style="64" customWidth="1"/>
    <col min="11505" max="11505" width="26.33203125" style="64" customWidth="1"/>
    <col min="11506" max="11506" width="11.83203125" style="64" customWidth="1"/>
    <col min="11507" max="11507" width="17.6640625" style="64" customWidth="1"/>
    <col min="11508" max="11509" width="12.83203125" style="64" bestFit="1" customWidth="1"/>
    <col min="11510" max="11510" width="15.1640625" style="64"/>
    <col min="11511" max="11511" width="17.6640625" style="64" customWidth="1"/>
    <col min="11512" max="11512" width="15.5" style="64" customWidth="1"/>
    <col min="11513" max="11759" width="15.1640625" style="64"/>
    <col min="11760" max="11760" width="2.83203125" style="64" customWidth="1"/>
    <col min="11761" max="11761" width="26.33203125" style="64" customWidth="1"/>
    <col min="11762" max="11762" width="11.83203125" style="64" customWidth="1"/>
    <col min="11763" max="11763" width="17.6640625" style="64" customWidth="1"/>
    <col min="11764" max="11765" width="12.83203125" style="64" bestFit="1" customWidth="1"/>
    <col min="11766" max="11766" width="15.1640625" style="64"/>
    <col min="11767" max="11767" width="17.6640625" style="64" customWidth="1"/>
    <col min="11768" max="11768" width="15.5" style="64" customWidth="1"/>
    <col min="11769" max="12015" width="15.1640625" style="64"/>
    <col min="12016" max="12016" width="2.83203125" style="64" customWidth="1"/>
    <col min="12017" max="12017" width="26.33203125" style="64" customWidth="1"/>
    <col min="12018" max="12018" width="11.83203125" style="64" customWidth="1"/>
    <col min="12019" max="12019" width="17.6640625" style="64" customWidth="1"/>
    <col min="12020" max="12021" width="12.83203125" style="64" bestFit="1" customWidth="1"/>
    <col min="12022" max="12022" width="15.1640625" style="64"/>
    <col min="12023" max="12023" width="17.6640625" style="64" customWidth="1"/>
    <col min="12024" max="12024" width="15.5" style="64" customWidth="1"/>
    <col min="12025" max="12271" width="15.1640625" style="64"/>
    <col min="12272" max="12272" width="2.83203125" style="64" customWidth="1"/>
    <col min="12273" max="12273" width="26.33203125" style="64" customWidth="1"/>
    <col min="12274" max="12274" width="11.83203125" style="64" customWidth="1"/>
    <col min="12275" max="12275" width="17.6640625" style="64" customWidth="1"/>
    <col min="12276" max="12277" width="12.83203125" style="64" bestFit="1" customWidth="1"/>
    <col min="12278" max="12278" width="15.1640625" style="64"/>
    <col min="12279" max="12279" width="17.6640625" style="64" customWidth="1"/>
    <col min="12280" max="12280" width="15.5" style="64" customWidth="1"/>
    <col min="12281" max="12527" width="15.1640625" style="64"/>
    <col min="12528" max="12528" width="2.83203125" style="64" customWidth="1"/>
    <col min="12529" max="12529" width="26.33203125" style="64" customWidth="1"/>
    <col min="12530" max="12530" width="11.83203125" style="64" customWidth="1"/>
    <col min="12531" max="12531" width="17.6640625" style="64" customWidth="1"/>
    <col min="12532" max="12533" width="12.83203125" style="64" bestFit="1" customWidth="1"/>
    <col min="12534" max="12534" width="15.1640625" style="64"/>
    <col min="12535" max="12535" width="17.6640625" style="64" customWidth="1"/>
    <col min="12536" max="12536" width="15.5" style="64" customWidth="1"/>
    <col min="12537" max="12783" width="15.1640625" style="64"/>
    <col min="12784" max="12784" width="2.83203125" style="64" customWidth="1"/>
    <col min="12785" max="12785" width="26.33203125" style="64" customWidth="1"/>
    <col min="12786" max="12786" width="11.83203125" style="64" customWidth="1"/>
    <col min="12787" max="12787" width="17.6640625" style="64" customWidth="1"/>
    <col min="12788" max="12789" width="12.83203125" style="64" bestFit="1" customWidth="1"/>
    <col min="12790" max="12790" width="15.1640625" style="64"/>
    <col min="12791" max="12791" width="17.6640625" style="64" customWidth="1"/>
    <col min="12792" max="12792" width="15.5" style="64" customWidth="1"/>
    <col min="12793" max="13039" width="15.1640625" style="64"/>
    <col min="13040" max="13040" width="2.83203125" style="64" customWidth="1"/>
    <col min="13041" max="13041" width="26.33203125" style="64" customWidth="1"/>
    <col min="13042" max="13042" width="11.83203125" style="64" customWidth="1"/>
    <col min="13043" max="13043" width="17.6640625" style="64" customWidth="1"/>
    <col min="13044" max="13045" width="12.83203125" style="64" bestFit="1" customWidth="1"/>
    <col min="13046" max="13046" width="15.1640625" style="64"/>
    <col min="13047" max="13047" width="17.6640625" style="64" customWidth="1"/>
    <col min="13048" max="13048" width="15.5" style="64" customWidth="1"/>
    <col min="13049" max="13295" width="15.1640625" style="64"/>
    <col min="13296" max="13296" width="2.83203125" style="64" customWidth="1"/>
    <col min="13297" max="13297" width="26.33203125" style="64" customWidth="1"/>
    <col min="13298" max="13298" width="11.83203125" style="64" customWidth="1"/>
    <col min="13299" max="13299" width="17.6640625" style="64" customWidth="1"/>
    <col min="13300" max="13301" width="12.83203125" style="64" bestFit="1" customWidth="1"/>
    <col min="13302" max="13302" width="15.1640625" style="64"/>
    <col min="13303" max="13303" width="17.6640625" style="64" customWidth="1"/>
    <col min="13304" max="13304" width="15.5" style="64" customWidth="1"/>
    <col min="13305" max="13551" width="15.1640625" style="64"/>
    <col min="13552" max="13552" width="2.83203125" style="64" customWidth="1"/>
    <col min="13553" max="13553" width="26.33203125" style="64" customWidth="1"/>
    <col min="13554" max="13554" width="11.83203125" style="64" customWidth="1"/>
    <col min="13555" max="13555" width="17.6640625" style="64" customWidth="1"/>
    <col min="13556" max="13557" width="12.83203125" style="64" bestFit="1" customWidth="1"/>
    <col min="13558" max="13558" width="15.1640625" style="64"/>
    <col min="13559" max="13559" width="17.6640625" style="64" customWidth="1"/>
    <col min="13560" max="13560" width="15.5" style="64" customWidth="1"/>
    <col min="13561" max="13807" width="15.1640625" style="64"/>
    <col min="13808" max="13808" width="2.83203125" style="64" customWidth="1"/>
    <col min="13809" max="13809" width="26.33203125" style="64" customWidth="1"/>
    <col min="13810" max="13810" width="11.83203125" style="64" customWidth="1"/>
    <col min="13811" max="13811" width="17.6640625" style="64" customWidth="1"/>
    <col min="13812" max="13813" width="12.83203125" style="64" bestFit="1" customWidth="1"/>
    <col min="13814" max="13814" width="15.1640625" style="64"/>
    <col min="13815" max="13815" width="17.6640625" style="64" customWidth="1"/>
    <col min="13816" max="13816" width="15.5" style="64" customWidth="1"/>
    <col min="13817" max="14063" width="15.1640625" style="64"/>
    <col min="14064" max="14064" width="2.83203125" style="64" customWidth="1"/>
    <col min="14065" max="14065" width="26.33203125" style="64" customWidth="1"/>
    <col min="14066" max="14066" width="11.83203125" style="64" customWidth="1"/>
    <col min="14067" max="14067" width="17.6640625" style="64" customWidth="1"/>
    <col min="14068" max="14069" width="12.83203125" style="64" bestFit="1" customWidth="1"/>
    <col min="14070" max="14070" width="15.1640625" style="64"/>
    <col min="14071" max="14071" width="17.6640625" style="64" customWidth="1"/>
    <col min="14072" max="14072" width="15.5" style="64" customWidth="1"/>
    <col min="14073" max="14319" width="15.1640625" style="64"/>
    <col min="14320" max="14320" width="2.83203125" style="64" customWidth="1"/>
    <col min="14321" max="14321" width="26.33203125" style="64" customWidth="1"/>
    <col min="14322" max="14322" width="11.83203125" style="64" customWidth="1"/>
    <col min="14323" max="14323" width="17.6640625" style="64" customWidth="1"/>
    <col min="14324" max="14325" width="12.83203125" style="64" bestFit="1" customWidth="1"/>
    <col min="14326" max="14326" width="15.1640625" style="64"/>
    <col min="14327" max="14327" width="17.6640625" style="64" customWidth="1"/>
    <col min="14328" max="14328" width="15.5" style="64" customWidth="1"/>
    <col min="14329" max="14575" width="15.1640625" style="64"/>
    <col min="14576" max="14576" width="2.83203125" style="64" customWidth="1"/>
    <col min="14577" max="14577" width="26.33203125" style="64" customWidth="1"/>
    <col min="14578" max="14578" width="11.83203125" style="64" customWidth="1"/>
    <col min="14579" max="14579" width="17.6640625" style="64" customWidth="1"/>
    <col min="14580" max="14581" width="12.83203125" style="64" bestFit="1" customWidth="1"/>
    <col min="14582" max="14582" width="15.1640625" style="64"/>
    <col min="14583" max="14583" width="17.6640625" style="64" customWidth="1"/>
    <col min="14584" max="14584" width="15.5" style="64" customWidth="1"/>
    <col min="14585" max="14831" width="15.1640625" style="64"/>
    <col min="14832" max="14832" width="2.83203125" style="64" customWidth="1"/>
    <col min="14833" max="14833" width="26.33203125" style="64" customWidth="1"/>
    <col min="14834" max="14834" width="11.83203125" style="64" customWidth="1"/>
    <col min="14835" max="14835" width="17.6640625" style="64" customWidth="1"/>
    <col min="14836" max="14837" width="12.83203125" style="64" bestFit="1" customWidth="1"/>
    <col min="14838" max="14838" width="15.1640625" style="64"/>
    <col min="14839" max="14839" width="17.6640625" style="64" customWidth="1"/>
    <col min="14840" max="14840" width="15.5" style="64" customWidth="1"/>
    <col min="14841" max="15087" width="15.1640625" style="64"/>
    <col min="15088" max="15088" width="2.83203125" style="64" customWidth="1"/>
    <col min="15089" max="15089" width="26.33203125" style="64" customWidth="1"/>
    <col min="15090" max="15090" width="11.83203125" style="64" customWidth="1"/>
    <col min="15091" max="15091" width="17.6640625" style="64" customWidth="1"/>
    <col min="15092" max="15093" width="12.83203125" style="64" bestFit="1" customWidth="1"/>
    <col min="15094" max="15094" width="15.1640625" style="64"/>
    <col min="15095" max="15095" width="17.6640625" style="64" customWidth="1"/>
    <col min="15096" max="15096" width="15.5" style="64" customWidth="1"/>
    <col min="15097" max="15343" width="15.1640625" style="64"/>
    <col min="15344" max="15344" width="2.83203125" style="64" customWidth="1"/>
    <col min="15345" max="15345" width="26.33203125" style="64" customWidth="1"/>
    <col min="15346" max="15346" width="11.83203125" style="64" customWidth="1"/>
    <col min="15347" max="15347" width="17.6640625" style="64" customWidth="1"/>
    <col min="15348" max="15349" width="12.83203125" style="64" bestFit="1" customWidth="1"/>
    <col min="15350" max="15350" width="15.1640625" style="64"/>
    <col min="15351" max="15351" width="17.6640625" style="64" customWidth="1"/>
    <col min="15352" max="15352" width="15.5" style="64" customWidth="1"/>
    <col min="15353" max="15599" width="15.1640625" style="64"/>
    <col min="15600" max="15600" width="2.83203125" style="64" customWidth="1"/>
    <col min="15601" max="15601" width="26.33203125" style="64" customWidth="1"/>
    <col min="15602" max="15602" width="11.83203125" style="64" customWidth="1"/>
    <col min="15603" max="15603" width="17.6640625" style="64" customWidth="1"/>
    <col min="15604" max="15605" width="12.83203125" style="64" bestFit="1" customWidth="1"/>
    <col min="15606" max="15606" width="15.1640625" style="64"/>
    <col min="15607" max="15607" width="17.6640625" style="64" customWidth="1"/>
    <col min="15608" max="15608" width="15.5" style="64" customWidth="1"/>
    <col min="15609" max="15855" width="15.1640625" style="64"/>
    <col min="15856" max="15856" width="2.83203125" style="64" customWidth="1"/>
    <col min="15857" max="15857" width="26.33203125" style="64" customWidth="1"/>
    <col min="15858" max="15858" width="11.83203125" style="64" customWidth="1"/>
    <col min="15859" max="15859" width="17.6640625" style="64" customWidth="1"/>
    <col min="15860" max="15861" width="12.83203125" style="64" bestFit="1" customWidth="1"/>
    <col min="15862" max="15862" width="15.1640625" style="64"/>
    <col min="15863" max="15863" width="17.6640625" style="64" customWidth="1"/>
    <col min="15864" max="15864" width="15.5" style="64" customWidth="1"/>
    <col min="15865" max="16111" width="15.1640625" style="64"/>
    <col min="16112" max="16112" width="2.83203125" style="64" customWidth="1"/>
    <col min="16113" max="16113" width="26.33203125" style="64" customWidth="1"/>
    <col min="16114" max="16114" width="11.83203125" style="64" customWidth="1"/>
    <col min="16115" max="16115" width="17.6640625" style="64" customWidth="1"/>
    <col min="16116" max="16117" width="12.83203125" style="64" bestFit="1" customWidth="1"/>
    <col min="16118" max="16118" width="15.1640625" style="64"/>
    <col min="16119" max="16119" width="17.6640625" style="64" customWidth="1"/>
    <col min="16120" max="16120" width="15.5" style="64" customWidth="1"/>
    <col min="16121" max="16384" width="15.1640625" style="64"/>
  </cols>
  <sheetData>
    <row r="1" spans="1:17" ht="20.100000000000001" customHeight="1">
      <c r="A1" s="1072"/>
      <c r="B1" s="1073"/>
      <c r="C1" s="1078" t="s">
        <v>0</v>
      </c>
      <c r="D1" s="1078"/>
      <c r="E1" s="1078"/>
      <c r="F1" s="1078"/>
      <c r="G1" s="1078"/>
      <c r="H1" s="1078"/>
      <c r="I1" s="1078"/>
      <c r="J1" s="1078"/>
      <c r="K1" s="1078"/>
      <c r="L1" s="1078"/>
      <c r="M1" s="1078"/>
      <c r="N1" s="1078"/>
      <c r="O1" s="1079"/>
      <c r="P1" s="366" t="s">
        <v>104</v>
      </c>
      <c r="Q1" s="65"/>
    </row>
    <row r="2" spans="1:17" ht="20.100000000000001" customHeight="1">
      <c r="A2" s="1074"/>
      <c r="B2" s="1075"/>
      <c r="C2" s="1080" t="s">
        <v>388</v>
      </c>
      <c r="D2" s="1080"/>
      <c r="E2" s="1080"/>
      <c r="F2" s="1080"/>
      <c r="G2" s="1080"/>
      <c r="H2" s="1080"/>
      <c r="I2" s="1080"/>
      <c r="J2" s="1080"/>
      <c r="K2" s="1080"/>
      <c r="L2" s="1080"/>
      <c r="M2" s="1080"/>
      <c r="N2" s="1080"/>
      <c r="O2" s="1081"/>
    </row>
    <row r="3" spans="1:17" ht="20.100000000000001" customHeight="1" thickBot="1">
      <c r="A3" s="1076"/>
      <c r="B3" s="1077"/>
      <c r="C3" s="1082" t="s">
        <v>2</v>
      </c>
      <c r="D3" s="1082"/>
      <c r="E3" s="1082"/>
      <c r="F3" s="1082"/>
      <c r="G3" s="1082"/>
      <c r="H3" s="1083" t="s">
        <v>106</v>
      </c>
      <c r="I3" s="1084"/>
      <c r="J3" s="1084"/>
      <c r="K3" s="1084"/>
      <c r="L3" s="1084"/>
      <c r="M3" s="1084"/>
      <c r="N3" s="1084"/>
      <c r="O3" s="1085"/>
    </row>
    <row r="4" spans="1:17" ht="20.100000000000001" customHeight="1" thickBot="1">
      <c r="A4" s="1086"/>
      <c r="B4" s="1086"/>
      <c r="C4" s="1086"/>
      <c r="D4" s="1086"/>
      <c r="E4" s="1086"/>
      <c r="F4" s="1086"/>
      <c r="G4" s="1086"/>
      <c r="H4" s="1086"/>
      <c r="I4" s="1086"/>
    </row>
    <row r="5" spans="1:17" ht="19.5" customHeight="1" thickBot="1">
      <c r="A5" s="990" t="s">
        <v>107</v>
      </c>
      <c r="B5" s="990"/>
      <c r="C5" s="1090" t="str">
        <f>'Plan Ejecución'!C5:AD5</f>
        <v>CONTRATACIÓN DIRECTA</v>
      </c>
      <c r="D5" s="1091"/>
      <c r="E5" s="1091"/>
      <c r="F5" s="1091"/>
      <c r="G5" s="1091"/>
      <c r="H5" s="1091"/>
      <c r="I5" s="1091"/>
      <c r="J5" s="1091"/>
      <c r="K5" s="1091"/>
      <c r="L5" s="1091"/>
      <c r="M5" s="1091"/>
      <c r="N5" s="1091"/>
      <c r="O5" s="1092"/>
    </row>
    <row r="6" spans="1:17" ht="28.5" customHeight="1" thickBot="1">
      <c r="A6" s="990" t="s">
        <v>109</v>
      </c>
      <c r="B6" s="990"/>
      <c r="C6" s="1090" t="str">
        <f>'Plan Ejecución'!C6:AD6</f>
        <v xml:space="preserve"> "“SOPORTE, MANTENIMIENTO Y ACTUALIZACIÓN DEL VISOR GEOGRÁFICO – AÑO 2025"</v>
      </c>
      <c r="D6" s="1091"/>
      <c r="E6" s="1091"/>
      <c r="F6" s="1091"/>
      <c r="G6" s="1091"/>
      <c r="H6" s="1091"/>
      <c r="I6" s="1091"/>
      <c r="J6" s="1091"/>
      <c r="K6" s="1091"/>
      <c r="L6" s="1091"/>
      <c r="M6" s="1091"/>
      <c r="N6" s="1091"/>
      <c r="O6" s="1092"/>
    </row>
    <row r="7" spans="1:17" ht="20.100000000000001" customHeight="1">
      <c r="D7" s="72"/>
      <c r="E7" s="72"/>
      <c r="F7" s="72"/>
      <c r="G7" s="72"/>
      <c r="H7" s="72"/>
    </row>
    <row r="8" spans="1:17" ht="19.5" hidden="1" customHeight="1">
      <c r="A8" s="1069" t="s">
        <v>389</v>
      </c>
      <c r="B8" s="1070"/>
      <c r="C8" s="1070"/>
      <c r="D8" s="1070"/>
      <c r="E8" s="1070"/>
      <c r="F8" s="1070"/>
      <c r="G8" s="1070"/>
      <c r="H8" s="1070"/>
      <c r="I8" s="1071"/>
      <c r="J8" s="1093" t="s">
        <v>390</v>
      </c>
      <c r="K8" s="1094"/>
      <c r="L8" s="1094"/>
      <c r="M8" s="1094"/>
      <c r="N8" s="1094"/>
      <c r="O8" s="1095"/>
    </row>
    <row r="9" spans="1:17" ht="27.75" hidden="1" customHeight="1">
      <c r="A9" s="375" t="s">
        <v>391</v>
      </c>
      <c r="B9" s="109" t="s">
        <v>392</v>
      </c>
      <c r="C9" s="109" t="s">
        <v>393</v>
      </c>
      <c r="D9" s="109" t="s">
        <v>122</v>
      </c>
      <c r="E9" s="109" t="s">
        <v>394</v>
      </c>
      <c r="F9" s="109" t="s">
        <v>395</v>
      </c>
      <c r="G9" s="109" t="s">
        <v>396</v>
      </c>
      <c r="H9" s="109" t="s">
        <v>397</v>
      </c>
      <c r="I9" s="110" t="s">
        <v>398</v>
      </c>
      <c r="J9" s="420" t="s">
        <v>152</v>
      </c>
      <c r="K9" s="421" t="s">
        <v>185</v>
      </c>
      <c r="L9" s="421" t="s">
        <v>218</v>
      </c>
      <c r="M9" s="421" t="s">
        <v>251</v>
      </c>
      <c r="N9" s="421" t="s">
        <v>282</v>
      </c>
      <c r="O9" s="422" t="s">
        <v>313</v>
      </c>
    </row>
    <row r="10" spans="1:17" ht="20.100000000000001" hidden="1" customHeight="1">
      <c r="A10" s="1087" t="s">
        <v>399</v>
      </c>
      <c r="B10" s="1088"/>
      <c r="C10" s="1088"/>
      <c r="D10" s="1088"/>
      <c r="E10" s="1088"/>
      <c r="F10" s="1088"/>
      <c r="G10" s="1088"/>
      <c r="H10" s="1088"/>
      <c r="I10" s="1089"/>
      <c r="J10" s="394"/>
      <c r="K10" s="392"/>
      <c r="L10" s="392"/>
      <c r="M10" s="392"/>
      <c r="N10" s="392"/>
      <c r="O10" s="419"/>
    </row>
    <row r="11" spans="1:17" ht="20.100000000000001" hidden="1" customHeight="1">
      <c r="A11" s="10"/>
      <c r="B11" s="625"/>
      <c r="C11" s="5"/>
      <c r="D11" s="4"/>
      <c r="E11" s="689"/>
      <c r="F11" s="11" t="str">
        <f>IFERROR(VLOOKUP(A11,Honorarios!$A$9:$D$15,2,FALSE),"")</f>
        <v/>
      </c>
      <c r="G11" s="626" t="str">
        <f>IFERROR(((VLOOKUP(A11,Honorarios!$A$9:$D$15,3,FALSE))),"")</f>
        <v/>
      </c>
      <c r="H11" s="111">
        <f>IFERROR(B11*C11*E11*F11*G11,0)</f>
        <v>0</v>
      </c>
      <c r="I11" s="131">
        <f>IFERROR(H11/$H$80,0)</f>
        <v>0</v>
      </c>
      <c r="J11" s="690"/>
      <c r="K11" s="392"/>
      <c r="L11" s="691"/>
      <c r="M11" s="392"/>
      <c r="N11" s="392"/>
      <c r="O11" s="419"/>
      <c r="P11" s="833">
        <f>H11-SUM(J11:O11)</f>
        <v>0</v>
      </c>
    </row>
    <row r="12" spans="1:17" ht="20.100000000000001" hidden="1" customHeight="1">
      <c r="A12" s="10"/>
      <c r="B12" s="625"/>
      <c r="C12" s="5"/>
      <c r="D12" s="4"/>
      <c r="E12" s="689"/>
      <c r="F12" s="11" t="str">
        <f>IFERROR(VLOOKUP(A12,Honorarios!$A$9:$D$15,2,FALSE),"")</f>
        <v/>
      </c>
      <c r="G12" s="626" t="str">
        <f>IFERROR(((VLOOKUP(A12,Honorarios!$A$9:$D$15,3,FALSE))),"")</f>
        <v/>
      </c>
      <c r="H12" s="111">
        <f t="shared" ref="H12:H51" si="0">IFERROR(B12*C12*E12*F12*G12,0)</f>
        <v>0</v>
      </c>
      <c r="I12" s="131">
        <f t="shared" ref="I12:I51" si="1">IFERROR(H12/$H$80,0)</f>
        <v>0</v>
      </c>
      <c r="J12" s="394"/>
      <c r="K12" s="691"/>
      <c r="L12" s="691"/>
      <c r="M12" s="392"/>
      <c r="N12" s="392"/>
      <c r="O12" s="419"/>
      <c r="P12" s="833">
        <f t="shared" ref="P12:P51" si="2">H12-SUM(J12:O12)</f>
        <v>0</v>
      </c>
    </row>
    <row r="13" spans="1:17" ht="20.100000000000001" hidden="1" customHeight="1">
      <c r="A13" s="10"/>
      <c r="B13" s="625"/>
      <c r="C13" s="5"/>
      <c r="D13" s="4"/>
      <c r="E13" s="689"/>
      <c r="F13" s="11" t="str">
        <f>IFERROR(VLOOKUP(A13,Honorarios!$A$9:$D$15,2,FALSE),"")</f>
        <v/>
      </c>
      <c r="G13" s="626" t="str">
        <f>IFERROR(((VLOOKUP(A13,Honorarios!$A$9:$D$15,3,FALSE))),"")</f>
        <v/>
      </c>
      <c r="H13" s="111">
        <f t="shared" ref="H13:H27" si="3">IFERROR(B13*C13*E13*F13*G13,0)</f>
        <v>0</v>
      </c>
      <c r="I13" s="131">
        <f t="shared" ref="I13:I27" si="4">IFERROR(H13/$H$80,0)</f>
        <v>0</v>
      </c>
      <c r="J13" s="394"/>
      <c r="K13" s="691"/>
      <c r="L13" s="691"/>
      <c r="M13" s="392"/>
      <c r="N13" s="392"/>
      <c r="O13" s="419"/>
      <c r="P13" s="833">
        <f t="shared" si="2"/>
        <v>0</v>
      </c>
    </row>
    <row r="14" spans="1:17" ht="20.100000000000001" hidden="1" customHeight="1">
      <c r="A14" s="10"/>
      <c r="B14" s="625"/>
      <c r="C14" s="5"/>
      <c r="D14" s="4"/>
      <c r="E14" s="689"/>
      <c r="F14" s="11" t="str">
        <f>IFERROR(VLOOKUP(A14,Honorarios!$A$9:$D$15,2,FALSE),"")</f>
        <v/>
      </c>
      <c r="G14" s="626" t="str">
        <f>IFERROR(((VLOOKUP(A14,Honorarios!$A$9:$D$15,3,FALSE))),"")</f>
        <v/>
      </c>
      <c r="H14" s="111">
        <f t="shared" si="3"/>
        <v>0</v>
      </c>
      <c r="I14" s="131">
        <f t="shared" si="4"/>
        <v>0</v>
      </c>
      <c r="J14" s="394"/>
      <c r="K14" s="691"/>
      <c r="L14" s="691"/>
      <c r="M14" s="392"/>
      <c r="N14" s="392"/>
      <c r="O14" s="419"/>
      <c r="P14" s="833">
        <f t="shared" si="2"/>
        <v>0</v>
      </c>
    </row>
    <row r="15" spans="1:17" ht="20.100000000000001" hidden="1" customHeight="1">
      <c r="A15" s="10"/>
      <c r="B15" s="625"/>
      <c r="C15" s="5"/>
      <c r="D15" s="4"/>
      <c r="E15" s="689"/>
      <c r="F15" s="11" t="str">
        <f>IFERROR(VLOOKUP(A15,Honorarios!$A$9:$D$15,2,FALSE),"")</f>
        <v/>
      </c>
      <c r="G15" s="626" t="str">
        <f>IFERROR(((VLOOKUP(A15,Honorarios!$A$9:$D$15,3,FALSE))),"")</f>
        <v/>
      </c>
      <c r="H15" s="111">
        <f t="shared" si="3"/>
        <v>0</v>
      </c>
      <c r="I15" s="131">
        <f t="shared" si="4"/>
        <v>0</v>
      </c>
      <c r="J15" s="394"/>
      <c r="K15" s="691"/>
      <c r="L15" s="691"/>
      <c r="M15" s="392"/>
      <c r="N15" s="392"/>
      <c r="O15" s="419"/>
      <c r="P15" s="833">
        <f t="shared" si="2"/>
        <v>0</v>
      </c>
    </row>
    <row r="16" spans="1:17" ht="20.100000000000001" hidden="1" customHeight="1">
      <c r="A16" s="10"/>
      <c r="B16" s="625"/>
      <c r="C16" s="5"/>
      <c r="D16" s="4"/>
      <c r="E16" s="689"/>
      <c r="F16" s="11" t="str">
        <f>IFERROR(VLOOKUP(A16,Honorarios!$A$9:$D$15,2,FALSE),"")</f>
        <v/>
      </c>
      <c r="G16" s="626" t="str">
        <f>IFERROR(((VLOOKUP(A16,Honorarios!$A$9:$D$15,3,FALSE))),"")</f>
        <v/>
      </c>
      <c r="H16" s="111">
        <f t="shared" si="3"/>
        <v>0</v>
      </c>
      <c r="I16" s="131">
        <f t="shared" si="4"/>
        <v>0</v>
      </c>
      <c r="J16" s="394"/>
      <c r="K16" s="691"/>
      <c r="L16" s="691"/>
      <c r="M16" s="392"/>
      <c r="N16" s="392"/>
      <c r="O16" s="419"/>
      <c r="P16" s="833">
        <f t="shared" si="2"/>
        <v>0</v>
      </c>
    </row>
    <row r="17" spans="1:16" ht="20.100000000000001" hidden="1" customHeight="1">
      <c r="A17" s="10"/>
      <c r="B17" s="625"/>
      <c r="C17" s="5"/>
      <c r="D17" s="4"/>
      <c r="E17" s="689"/>
      <c r="F17" s="11" t="str">
        <f>IFERROR(VLOOKUP(A17,Honorarios!$A$9:$D$15,2,FALSE),"")</f>
        <v/>
      </c>
      <c r="G17" s="626" t="str">
        <f>IFERROR(((VLOOKUP(A17,Honorarios!$A$9:$D$15,3,FALSE))),"")</f>
        <v/>
      </c>
      <c r="H17" s="111">
        <f t="shared" si="3"/>
        <v>0</v>
      </c>
      <c r="I17" s="131">
        <f t="shared" si="4"/>
        <v>0</v>
      </c>
      <c r="J17" s="394"/>
      <c r="K17" s="691"/>
      <c r="L17" s="691"/>
      <c r="M17" s="392"/>
      <c r="N17" s="392"/>
      <c r="O17" s="419"/>
      <c r="P17" s="833">
        <f t="shared" si="2"/>
        <v>0</v>
      </c>
    </row>
    <row r="18" spans="1:16" ht="20.100000000000001" hidden="1" customHeight="1">
      <c r="A18" s="10"/>
      <c r="B18" s="625"/>
      <c r="C18" s="5"/>
      <c r="D18" s="4"/>
      <c r="E18" s="689"/>
      <c r="F18" s="11" t="str">
        <f>IFERROR(VLOOKUP(A18,Honorarios!$A$9:$D$15,2,FALSE),"")</f>
        <v/>
      </c>
      <c r="G18" s="626" t="str">
        <f>IFERROR(((VLOOKUP(A18,Honorarios!$A$9:$D$15,3,FALSE))),"")</f>
        <v/>
      </c>
      <c r="H18" s="111">
        <f t="shared" si="3"/>
        <v>0</v>
      </c>
      <c r="I18" s="131">
        <f t="shared" si="4"/>
        <v>0</v>
      </c>
      <c r="J18" s="394"/>
      <c r="K18" s="691"/>
      <c r="L18" s="691"/>
      <c r="M18" s="392"/>
      <c r="N18" s="392"/>
      <c r="O18" s="419"/>
      <c r="P18" s="833">
        <f t="shared" si="2"/>
        <v>0</v>
      </c>
    </row>
    <row r="19" spans="1:16" ht="20.100000000000001" hidden="1" customHeight="1">
      <c r="A19" s="10"/>
      <c r="B19" s="625"/>
      <c r="C19" s="5"/>
      <c r="D19" s="4"/>
      <c r="E19" s="689"/>
      <c r="F19" s="11" t="str">
        <f>IFERROR(VLOOKUP(A19,Honorarios!$A$9:$D$15,2,FALSE),"")</f>
        <v/>
      </c>
      <c r="G19" s="626" t="str">
        <f>IFERROR(((VLOOKUP(A19,Honorarios!$A$9:$D$15,3,FALSE))),"")</f>
        <v/>
      </c>
      <c r="H19" s="111">
        <f t="shared" si="3"/>
        <v>0</v>
      </c>
      <c r="I19" s="131">
        <f t="shared" si="4"/>
        <v>0</v>
      </c>
      <c r="J19" s="394"/>
      <c r="K19" s="691"/>
      <c r="L19" s="691"/>
      <c r="M19" s="392"/>
      <c r="N19" s="392"/>
      <c r="O19" s="419"/>
      <c r="P19" s="833">
        <f t="shared" si="2"/>
        <v>0</v>
      </c>
    </row>
    <row r="20" spans="1:16" ht="20.100000000000001" hidden="1" customHeight="1">
      <c r="A20" s="10"/>
      <c r="B20" s="625"/>
      <c r="C20" s="5"/>
      <c r="D20" s="4"/>
      <c r="E20" s="689"/>
      <c r="F20" s="11" t="str">
        <f>IFERROR(VLOOKUP(A20,Honorarios!$A$9:$D$15,2,FALSE),"")</f>
        <v/>
      </c>
      <c r="G20" s="626" t="str">
        <f>IFERROR(((VLOOKUP(A20,Honorarios!$A$9:$D$15,3,FALSE))),"")</f>
        <v/>
      </c>
      <c r="H20" s="111">
        <f t="shared" si="3"/>
        <v>0</v>
      </c>
      <c r="I20" s="131">
        <f t="shared" si="4"/>
        <v>0</v>
      </c>
      <c r="J20" s="394"/>
      <c r="K20" s="691"/>
      <c r="L20" s="691"/>
      <c r="M20" s="392"/>
      <c r="N20" s="392"/>
      <c r="O20" s="419"/>
      <c r="P20" s="833">
        <f t="shared" si="2"/>
        <v>0</v>
      </c>
    </row>
    <row r="21" spans="1:16" ht="20.100000000000001" hidden="1" customHeight="1">
      <c r="A21" s="10"/>
      <c r="B21" s="625"/>
      <c r="C21" s="5"/>
      <c r="D21" s="4"/>
      <c r="E21" s="689"/>
      <c r="F21" s="11" t="str">
        <f>IFERROR(VLOOKUP(A21,Honorarios!$A$9:$D$15,2,FALSE),"")</f>
        <v/>
      </c>
      <c r="G21" s="626" t="str">
        <f>IFERROR(((VLOOKUP(A21,Honorarios!$A$9:$D$15,3,FALSE))),"")</f>
        <v/>
      </c>
      <c r="H21" s="111">
        <f t="shared" si="3"/>
        <v>0</v>
      </c>
      <c r="I21" s="131">
        <f t="shared" si="4"/>
        <v>0</v>
      </c>
      <c r="J21" s="394"/>
      <c r="K21" s="691"/>
      <c r="L21" s="691"/>
      <c r="M21" s="392"/>
      <c r="N21" s="392"/>
      <c r="O21" s="419"/>
      <c r="P21" s="833">
        <f t="shared" si="2"/>
        <v>0</v>
      </c>
    </row>
    <row r="22" spans="1:16" ht="20.100000000000001" hidden="1" customHeight="1">
      <c r="A22" s="10"/>
      <c r="B22" s="625"/>
      <c r="C22" s="5"/>
      <c r="D22" s="4"/>
      <c r="E22" s="689"/>
      <c r="F22" s="11" t="str">
        <f>IFERROR(VLOOKUP(A22,Honorarios!$A$9:$D$15,2,FALSE),"")</f>
        <v/>
      </c>
      <c r="G22" s="626" t="str">
        <f>IFERROR(((VLOOKUP(A22,Honorarios!$A$9:$D$15,3,FALSE))),"")</f>
        <v/>
      </c>
      <c r="H22" s="111">
        <f t="shared" si="3"/>
        <v>0</v>
      </c>
      <c r="I22" s="131">
        <f t="shared" si="4"/>
        <v>0</v>
      </c>
      <c r="J22" s="394"/>
      <c r="K22" s="691"/>
      <c r="L22" s="691"/>
      <c r="M22" s="392"/>
      <c r="N22" s="392"/>
      <c r="O22" s="419"/>
      <c r="P22" s="833">
        <f t="shared" si="2"/>
        <v>0</v>
      </c>
    </row>
    <row r="23" spans="1:16" ht="20.100000000000001" hidden="1" customHeight="1">
      <c r="A23" s="10"/>
      <c r="B23" s="625"/>
      <c r="C23" s="5"/>
      <c r="D23" s="4"/>
      <c r="E23" s="689"/>
      <c r="F23" s="11" t="str">
        <f>IFERROR(VLOOKUP(A23,Honorarios!$A$9:$D$15,2,FALSE),"")</f>
        <v/>
      </c>
      <c r="G23" s="626" t="str">
        <f>IFERROR(((VLOOKUP(A23,Honorarios!$A$9:$D$15,3,FALSE))),"")</f>
        <v/>
      </c>
      <c r="H23" s="111">
        <f t="shared" si="3"/>
        <v>0</v>
      </c>
      <c r="I23" s="131">
        <f t="shared" si="4"/>
        <v>0</v>
      </c>
      <c r="J23" s="394"/>
      <c r="K23" s="691"/>
      <c r="L23" s="691"/>
      <c r="M23" s="392"/>
      <c r="N23" s="392"/>
      <c r="O23" s="419"/>
      <c r="P23" s="833">
        <f t="shared" si="2"/>
        <v>0</v>
      </c>
    </row>
    <row r="24" spans="1:16" ht="20.100000000000001" hidden="1" customHeight="1">
      <c r="A24" s="10"/>
      <c r="B24" s="625"/>
      <c r="C24" s="5"/>
      <c r="D24" s="4"/>
      <c r="E24" s="689"/>
      <c r="F24" s="11" t="str">
        <f>IFERROR(VLOOKUP(A24,Honorarios!$A$9:$D$15,2,FALSE),"")</f>
        <v/>
      </c>
      <c r="G24" s="626" t="str">
        <f>IFERROR(((VLOOKUP(A24,Honorarios!$A$9:$D$15,3,FALSE))),"")</f>
        <v/>
      </c>
      <c r="H24" s="111">
        <f t="shared" si="3"/>
        <v>0</v>
      </c>
      <c r="I24" s="131">
        <f t="shared" si="4"/>
        <v>0</v>
      </c>
      <c r="J24" s="394"/>
      <c r="K24" s="691"/>
      <c r="L24" s="691"/>
      <c r="M24" s="392"/>
      <c r="N24" s="392"/>
      <c r="O24" s="419"/>
      <c r="P24" s="833">
        <f t="shared" si="2"/>
        <v>0</v>
      </c>
    </row>
    <row r="25" spans="1:16" ht="20.100000000000001" hidden="1" customHeight="1">
      <c r="A25" s="10"/>
      <c r="B25" s="625"/>
      <c r="C25" s="5"/>
      <c r="D25" s="4"/>
      <c r="E25" s="689"/>
      <c r="F25" s="11" t="str">
        <f>IFERROR(VLOOKUP(A25,Honorarios!$A$9:$D$15,2,FALSE),"")</f>
        <v/>
      </c>
      <c r="G25" s="626" t="str">
        <f>IFERROR(((VLOOKUP(A25,Honorarios!$A$9:$D$15,3,FALSE))),"")</f>
        <v/>
      </c>
      <c r="H25" s="111">
        <f t="shared" si="3"/>
        <v>0</v>
      </c>
      <c r="I25" s="131">
        <f t="shared" si="4"/>
        <v>0</v>
      </c>
      <c r="J25" s="394"/>
      <c r="K25" s="691"/>
      <c r="L25" s="691"/>
      <c r="M25" s="392"/>
      <c r="N25" s="392"/>
      <c r="O25" s="419"/>
      <c r="P25" s="833">
        <f t="shared" si="2"/>
        <v>0</v>
      </c>
    </row>
    <row r="26" spans="1:16" ht="20.100000000000001" hidden="1" customHeight="1">
      <c r="A26" s="10"/>
      <c r="B26" s="625"/>
      <c r="C26" s="5"/>
      <c r="D26" s="4"/>
      <c r="E26" s="689"/>
      <c r="F26" s="11" t="str">
        <f>IFERROR(VLOOKUP(A26,Honorarios!$A$9:$D$15,2,FALSE),"")</f>
        <v/>
      </c>
      <c r="G26" s="626" t="str">
        <f>IFERROR(((VLOOKUP(A26,Honorarios!$A$9:$D$15,3,FALSE))),"")</f>
        <v/>
      </c>
      <c r="H26" s="111">
        <f t="shared" si="3"/>
        <v>0</v>
      </c>
      <c r="I26" s="131">
        <f t="shared" si="4"/>
        <v>0</v>
      </c>
      <c r="J26" s="394"/>
      <c r="K26" s="691"/>
      <c r="L26" s="691"/>
      <c r="M26" s="392"/>
      <c r="N26" s="392"/>
      <c r="O26" s="419"/>
      <c r="P26" s="833">
        <f t="shared" si="2"/>
        <v>0</v>
      </c>
    </row>
    <row r="27" spans="1:16" ht="20.100000000000001" hidden="1" customHeight="1">
      <c r="A27" s="10"/>
      <c r="B27" s="625"/>
      <c r="C27" s="5"/>
      <c r="D27" s="4"/>
      <c r="E27" s="689"/>
      <c r="F27" s="11" t="str">
        <f>IFERROR(VLOOKUP(A27,Honorarios!$A$9:$D$15,2,FALSE),"")</f>
        <v/>
      </c>
      <c r="G27" s="626" t="str">
        <f>IFERROR(((VLOOKUP(A27,Honorarios!$A$9:$D$15,3,FALSE))),"")</f>
        <v/>
      </c>
      <c r="H27" s="111">
        <f t="shared" si="3"/>
        <v>0</v>
      </c>
      <c r="I27" s="131">
        <f t="shared" si="4"/>
        <v>0</v>
      </c>
      <c r="J27" s="394"/>
      <c r="K27" s="691"/>
      <c r="L27" s="691"/>
      <c r="M27" s="392"/>
      <c r="N27" s="392"/>
      <c r="O27" s="419"/>
      <c r="P27" s="833">
        <f t="shared" si="2"/>
        <v>0</v>
      </c>
    </row>
    <row r="28" spans="1:16" ht="20.100000000000001" hidden="1" customHeight="1">
      <c r="A28" s="10"/>
      <c r="B28" s="625"/>
      <c r="C28" s="5"/>
      <c r="D28" s="4"/>
      <c r="E28" s="624"/>
      <c r="F28" s="11" t="str">
        <f>IFERROR(VLOOKUP(A28,Honorarios!$A$9:$D$15,2,FALSE),"")</f>
        <v/>
      </c>
      <c r="G28" s="626" t="str">
        <f>IFERROR(((VLOOKUP(A28,Honorarios!$A$9:$D$15,3,FALSE))),"")</f>
        <v/>
      </c>
      <c r="H28" s="111">
        <f t="shared" si="0"/>
        <v>0</v>
      </c>
      <c r="I28" s="131">
        <f t="shared" si="1"/>
        <v>0</v>
      </c>
      <c r="J28" s="394"/>
      <c r="K28" s="691"/>
      <c r="L28" s="392"/>
      <c r="M28" s="392"/>
      <c r="N28" s="392"/>
      <c r="O28" s="419"/>
      <c r="P28" s="833">
        <f t="shared" si="2"/>
        <v>0</v>
      </c>
    </row>
    <row r="29" spans="1:16" ht="19.5" hidden="1" customHeight="1">
      <c r="A29" s="10"/>
      <c r="B29" s="625"/>
      <c r="C29" s="5"/>
      <c r="D29" s="4"/>
      <c r="E29" s="624"/>
      <c r="F29" s="11" t="str">
        <f>IFERROR(VLOOKUP(A29,Honorarios!$A$9:$D$15,2,FALSE),"")</f>
        <v/>
      </c>
      <c r="G29" s="626" t="str">
        <f>IFERROR(((VLOOKUP(A29,Honorarios!$A$9:$D$15,3,FALSE))),"")</f>
        <v/>
      </c>
      <c r="H29" s="111">
        <f t="shared" si="0"/>
        <v>0</v>
      </c>
      <c r="I29" s="131">
        <f t="shared" si="1"/>
        <v>0</v>
      </c>
      <c r="J29" s="394"/>
      <c r="K29" s="392"/>
      <c r="L29" s="392"/>
      <c r="M29" s="392"/>
      <c r="N29" s="392"/>
      <c r="O29" s="419"/>
      <c r="P29" s="833">
        <f t="shared" si="2"/>
        <v>0</v>
      </c>
    </row>
    <row r="30" spans="1:16" ht="20.100000000000001" hidden="1" customHeight="1">
      <c r="A30" s="10"/>
      <c r="B30" s="625"/>
      <c r="C30" s="5"/>
      <c r="D30" s="4"/>
      <c r="E30" s="624"/>
      <c r="F30" s="11" t="str">
        <f>IFERROR(VLOOKUP(A30,Honorarios!$A$9:$D$15,2,FALSE),"")</f>
        <v/>
      </c>
      <c r="G30" s="626" t="str">
        <f>IFERROR(((VLOOKUP(A30,Honorarios!$A$9:$D$15,3,FALSE))),"")</f>
        <v/>
      </c>
      <c r="H30" s="111">
        <f t="shared" si="0"/>
        <v>0</v>
      </c>
      <c r="I30" s="131">
        <f t="shared" si="1"/>
        <v>0</v>
      </c>
      <c r="J30" s="394"/>
      <c r="K30" s="392"/>
      <c r="L30" s="392"/>
      <c r="M30" s="392"/>
      <c r="N30" s="392"/>
      <c r="O30" s="419"/>
      <c r="P30" s="833">
        <f t="shared" si="2"/>
        <v>0</v>
      </c>
    </row>
    <row r="31" spans="1:16" ht="20.100000000000001" hidden="1" customHeight="1">
      <c r="A31" s="10"/>
      <c r="B31" s="625"/>
      <c r="C31" s="5"/>
      <c r="D31" s="4"/>
      <c r="E31" s="624"/>
      <c r="F31" s="11" t="str">
        <f>IFERROR(VLOOKUP(A31,Honorarios!$A$9:$D$15,2,FALSE),"")</f>
        <v/>
      </c>
      <c r="G31" s="626" t="str">
        <f>IFERROR(((VLOOKUP(A31,Honorarios!$A$9:$D$15,3,FALSE))),"")</f>
        <v/>
      </c>
      <c r="H31" s="111">
        <f t="shared" si="0"/>
        <v>0</v>
      </c>
      <c r="I31" s="131">
        <f t="shared" si="1"/>
        <v>0</v>
      </c>
      <c r="J31" s="394"/>
      <c r="K31" s="392"/>
      <c r="L31" s="392"/>
      <c r="M31" s="392"/>
      <c r="N31" s="392"/>
      <c r="O31" s="419"/>
      <c r="P31" s="833">
        <f t="shared" si="2"/>
        <v>0</v>
      </c>
    </row>
    <row r="32" spans="1:16" ht="20.100000000000001" hidden="1" customHeight="1">
      <c r="A32" s="10"/>
      <c r="B32" s="625"/>
      <c r="C32" s="5"/>
      <c r="D32" s="4"/>
      <c r="E32" s="624"/>
      <c r="F32" s="11" t="str">
        <f>IFERROR(VLOOKUP(A32,Honorarios!$A$9:$D$15,2,FALSE),"")</f>
        <v/>
      </c>
      <c r="G32" s="626" t="str">
        <f>IFERROR(((VLOOKUP(A32,Honorarios!$A$9:$D$15,3,FALSE))),"")</f>
        <v/>
      </c>
      <c r="H32" s="111">
        <f t="shared" si="0"/>
        <v>0</v>
      </c>
      <c r="I32" s="131">
        <f t="shared" si="1"/>
        <v>0</v>
      </c>
      <c r="J32" s="394"/>
      <c r="K32" s="392"/>
      <c r="L32" s="392"/>
      <c r="M32" s="392"/>
      <c r="N32" s="392"/>
      <c r="O32" s="419"/>
      <c r="P32" s="833">
        <f t="shared" si="2"/>
        <v>0</v>
      </c>
    </row>
    <row r="33" spans="1:16" ht="20.100000000000001" hidden="1" customHeight="1">
      <c r="A33" s="10"/>
      <c r="B33" s="625"/>
      <c r="C33" s="5"/>
      <c r="D33" s="4"/>
      <c r="E33" s="624"/>
      <c r="F33" s="11" t="str">
        <f>IFERROR(VLOOKUP(A33,Honorarios!$A$9:$D$15,2,FALSE),"")</f>
        <v/>
      </c>
      <c r="G33" s="626" t="str">
        <f>IFERROR(((VLOOKUP(A33,Honorarios!$A$9:$D$15,3,FALSE))),"")</f>
        <v/>
      </c>
      <c r="H33" s="111">
        <f t="shared" si="0"/>
        <v>0</v>
      </c>
      <c r="I33" s="131">
        <f t="shared" si="1"/>
        <v>0</v>
      </c>
      <c r="J33" s="394"/>
      <c r="K33" s="392"/>
      <c r="L33" s="392"/>
      <c r="M33" s="392"/>
      <c r="N33" s="392"/>
      <c r="O33" s="419"/>
      <c r="P33" s="833">
        <f t="shared" si="2"/>
        <v>0</v>
      </c>
    </row>
    <row r="34" spans="1:16" ht="20.100000000000001" hidden="1" customHeight="1">
      <c r="A34" s="10"/>
      <c r="B34" s="625"/>
      <c r="C34" s="5"/>
      <c r="D34" s="4"/>
      <c r="E34" s="624"/>
      <c r="F34" s="11" t="str">
        <f>IFERROR(VLOOKUP(A34,Honorarios!$A$9:$D$15,2,FALSE),"")</f>
        <v/>
      </c>
      <c r="G34" s="626" t="str">
        <f>IFERROR(((VLOOKUP(A34,Honorarios!$A$9:$D$15,3,FALSE))),"")</f>
        <v/>
      </c>
      <c r="H34" s="111">
        <f t="shared" ref="H34" si="5">IFERROR(B34*C34*E34*F34*G34,0)</f>
        <v>0</v>
      </c>
      <c r="I34" s="131">
        <f t="shared" ref="I34" si="6">IFERROR(H34/$H$80,0)</f>
        <v>0</v>
      </c>
      <c r="J34" s="394"/>
      <c r="K34" s="392"/>
      <c r="L34" s="392"/>
      <c r="M34" s="392"/>
      <c r="N34" s="392"/>
      <c r="O34" s="419"/>
      <c r="P34" s="833">
        <f t="shared" si="2"/>
        <v>0</v>
      </c>
    </row>
    <row r="35" spans="1:16" ht="20.100000000000001" hidden="1" customHeight="1">
      <c r="A35" s="10"/>
      <c r="B35" s="625"/>
      <c r="C35" s="5"/>
      <c r="D35" s="4"/>
      <c r="E35" s="624"/>
      <c r="F35" s="11" t="str">
        <f>IFERROR(VLOOKUP(A35,Honorarios!$A$9:$D$15,2,FALSE),"")</f>
        <v/>
      </c>
      <c r="G35" s="626" t="str">
        <f>IFERROR(((VLOOKUP(A35,Honorarios!$A$9:$D$15,3,FALSE))),"")</f>
        <v/>
      </c>
      <c r="H35" s="111">
        <f t="shared" si="0"/>
        <v>0</v>
      </c>
      <c r="I35" s="131">
        <f t="shared" si="1"/>
        <v>0</v>
      </c>
      <c r="J35" s="394"/>
      <c r="K35" s="392"/>
      <c r="L35" s="392"/>
      <c r="M35" s="392"/>
      <c r="N35" s="392"/>
      <c r="O35" s="419"/>
      <c r="P35" s="833">
        <f t="shared" si="2"/>
        <v>0</v>
      </c>
    </row>
    <row r="36" spans="1:16" ht="20.100000000000001" hidden="1" customHeight="1">
      <c r="A36" s="10"/>
      <c r="B36" s="625"/>
      <c r="C36" s="5"/>
      <c r="D36" s="4"/>
      <c r="E36" s="624"/>
      <c r="F36" s="11" t="str">
        <f>IFERROR(VLOOKUP(A36,Honorarios!$A$9:$D$15,2,FALSE),"")</f>
        <v/>
      </c>
      <c r="G36" s="626" t="str">
        <f>IFERROR(((VLOOKUP(A36,Honorarios!$A$9:$D$15,3,FALSE))),"")</f>
        <v/>
      </c>
      <c r="H36" s="111">
        <f t="shared" ref="H36:H50" si="7">IFERROR(B36*C36*E36*F36*G36,0)</f>
        <v>0</v>
      </c>
      <c r="I36" s="131">
        <f t="shared" ref="I36:I50" si="8">IFERROR(H36/$H$80,0)</f>
        <v>0</v>
      </c>
      <c r="J36" s="394"/>
      <c r="K36" s="392"/>
      <c r="L36" s="392"/>
      <c r="M36" s="392"/>
      <c r="N36" s="392"/>
      <c r="O36" s="419"/>
      <c r="P36" s="833">
        <f t="shared" si="2"/>
        <v>0</v>
      </c>
    </row>
    <row r="37" spans="1:16" ht="20.100000000000001" hidden="1" customHeight="1">
      <c r="A37" s="10"/>
      <c r="B37" s="625"/>
      <c r="C37" s="5"/>
      <c r="D37" s="4"/>
      <c r="E37" s="624"/>
      <c r="F37" s="11" t="str">
        <f>IFERROR(VLOOKUP(A37,Honorarios!$A$9:$D$15,2,FALSE),"")</f>
        <v/>
      </c>
      <c r="G37" s="626" t="str">
        <f>IFERROR(((VLOOKUP(A37,Honorarios!$A$9:$D$15,3,FALSE))),"")</f>
        <v/>
      </c>
      <c r="H37" s="111">
        <f t="shared" si="7"/>
        <v>0</v>
      </c>
      <c r="I37" s="131">
        <f t="shared" si="8"/>
        <v>0</v>
      </c>
      <c r="J37" s="394"/>
      <c r="K37" s="392"/>
      <c r="L37" s="392"/>
      <c r="M37" s="392"/>
      <c r="N37" s="392"/>
      <c r="O37" s="419"/>
      <c r="P37" s="833">
        <f t="shared" si="2"/>
        <v>0</v>
      </c>
    </row>
    <row r="38" spans="1:16" ht="20.100000000000001" hidden="1" customHeight="1">
      <c r="A38" s="10"/>
      <c r="B38" s="625"/>
      <c r="C38" s="5"/>
      <c r="D38" s="4"/>
      <c r="E38" s="624"/>
      <c r="F38" s="11" t="str">
        <f>IFERROR(VLOOKUP(A38,Honorarios!$A$9:$D$15,2,FALSE),"")</f>
        <v/>
      </c>
      <c r="G38" s="626" t="str">
        <f>IFERROR(((VLOOKUP(A38,Honorarios!$A$9:$D$15,3,FALSE))),"")</f>
        <v/>
      </c>
      <c r="H38" s="111">
        <f t="shared" si="7"/>
        <v>0</v>
      </c>
      <c r="I38" s="131">
        <f t="shared" si="8"/>
        <v>0</v>
      </c>
      <c r="J38" s="394"/>
      <c r="K38" s="392"/>
      <c r="L38" s="392"/>
      <c r="M38" s="392"/>
      <c r="N38" s="392"/>
      <c r="O38" s="419"/>
      <c r="P38" s="833">
        <f t="shared" si="2"/>
        <v>0</v>
      </c>
    </row>
    <row r="39" spans="1:16" ht="20.100000000000001" hidden="1" customHeight="1">
      <c r="A39" s="10"/>
      <c r="B39" s="625"/>
      <c r="C39" s="5"/>
      <c r="D39" s="4"/>
      <c r="E39" s="624"/>
      <c r="F39" s="11" t="str">
        <f>IFERROR(VLOOKUP(A39,Honorarios!$A$9:$D$15,2,FALSE),"")</f>
        <v/>
      </c>
      <c r="G39" s="626" t="str">
        <f>IFERROR(((VLOOKUP(A39,Honorarios!$A$9:$D$15,3,FALSE))),"")</f>
        <v/>
      </c>
      <c r="H39" s="111">
        <f t="shared" si="7"/>
        <v>0</v>
      </c>
      <c r="I39" s="131">
        <f t="shared" si="8"/>
        <v>0</v>
      </c>
      <c r="J39" s="394"/>
      <c r="K39" s="392"/>
      <c r="L39" s="392"/>
      <c r="M39" s="392"/>
      <c r="N39" s="392"/>
      <c r="O39" s="419"/>
      <c r="P39" s="833">
        <f t="shared" si="2"/>
        <v>0</v>
      </c>
    </row>
    <row r="40" spans="1:16" ht="20.100000000000001" hidden="1" customHeight="1">
      <c r="A40" s="10"/>
      <c r="B40" s="625"/>
      <c r="C40" s="5"/>
      <c r="D40" s="4"/>
      <c r="E40" s="624"/>
      <c r="F40" s="11" t="str">
        <f>IFERROR(VLOOKUP(A40,Honorarios!$A$9:$D$15,2,FALSE),"")</f>
        <v/>
      </c>
      <c r="G40" s="626" t="str">
        <f>IFERROR(((VLOOKUP(A40,Honorarios!$A$9:$D$15,3,FALSE))),"")</f>
        <v/>
      </c>
      <c r="H40" s="111">
        <f t="shared" si="7"/>
        <v>0</v>
      </c>
      <c r="I40" s="131">
        <f t="shared" si="8"/>
        <v>0</v>
      </c>
      <c r="J40" s="394"/>
      <c r="K40" s="392"/>
      <c r="L40" s="392"/>
      <c r="M40" s="392"/>
      <c r="N40" s="392"/>
      <c r="O40" s="419"/>
      <c r="P40" s="833">
        <f t="shared" si="2"/>
        <v>0</v>
      </c>
    </row>
    <row r="41" spans="1:16" ht="20.100000000000001" hidden="1" customHeight="1">
      <c r="A41" s="10"/>
      <c r="B41" s="625"/>
      <c r="C41" s="5"/>
      <c r="D41" s="4"/>
      <c r="E41" s="624"/>
      <c r="F41" s="11" t="str">
        <f>IFERROR(VLOOKUP(A41,Honorarios!$A$9:$D$15,2,FALSE),"")</f>
        <v/>
      </c>
      <c r="G41" s="626" t="str">
        <f>IFERROR(((VLOOKUP(A41,Honorarios!$A$9:$D$15,3,FALSE))),"")</f>
        <v/>
      </c>
      <c r="H41" s="111">
        <f t="shared" si="7"/>
        <v>0</v>
      </c>
      <c r="I41" s="131">
        <f t="shared" si="8"/>
        <v>0</v>
      </c>
      <c r="J41" s="394"/>
      <c r="K41" s="392"/>
      <c r="L41" s="392"/>
      <c r="M41" s="392"/>
      <c r="N41" s="392"/>
      <c r="O41" s="419"/>
      <c r="P41" s="833">
        <f t="shared" si="2"/>
        <v>0</v>
      </c>
    </row>
    <row r="42" spans="1:16" ht="20.100000000000001" hidden="1" customHeight="1">
      <c r="A42" s="10"/>
      <c r="B42" s="625"/>
      <c r="C42" s="5"/>
      <c r="D42" s="4"/>
      <c r="E42" s="624"/>
      <c r="F42" s="11" t="str">
        <f>IFERROR(VLOOKUP(A42,Honorarios!$A$9:$D$15,2,FALSE),"")</f>
        <v/>
      </c>
      <c r="G42" s="626" t="str">
        <f>IFERROR(((VLOOKUP(A42,Honorarios!$A$9:$D$15,3,FALSE))),"")</f>
        <v/>
      </c>
      <c r="H42" s="111">
        <f t="shared" si="7"/>
        <v>0</v>
      </c>
      <c r="I42" s="131">
        <f t="shared" si="8"/>
        <v>0</v>
      </c>
      <c r="J42" s="394"/>
      <c r="K42" s="392"/>
      <c r="L42" s="392"/>
      <c r="M42" s="392"/>
      <c r="N42" s="392"/>
      <c r="O42" s="419"/>
      <c r="P42" s="833">
        <f t="shared" si="2"/>
        <v>0</v>
      </c>
    </row>
    <row r="43" spans="1:16" ht="20.100000000000001" hidden="1" customHeight="1">
      <c r="A43" s="10"/>
      <c r="B43" s="625"/>
      <c r="C43" s="5"/>
      <c r="D43" s="4"/>
      <c r="E43" s="624"/>
      <c r="F43" s="11" t="str">
        <f>IFERROR(VLOOKUP(A43,Honorarios!$A$9:$D$15,2,FALSE),"")</f>
        <v/>
      </c>
      <c r="G43" s="626" t="str">
        <f>IFERROR(((VLOOKUP(A43,Honorarios!$A$9:$D$15,3,FALSE))),"")</f>
        <v/>
      </c>
      <c r="H43" s="111">
        <f t="shared" si="7"/>
        <v>0</v>
      </c>
      <c r="I43" s="131">
        <f t="shared" si="8"/>
        <v>0</v>
      </c>
      <c r="J43" s="394"/>
      <c r="K43" s="392"/>
      <c r="L43" s="392"/>
      <c r="M43" s="392"/>
      <c r="N43" s="392"/>
      <c r="O43" s="419"/>
      <c r="P43" s="833">
        <f t="shared" si="2"/>
        <v>0</v>
      </c>
    </row>
    <row r="44" spans="1:16" ht="20.100000000000001" hidden="1" customHeight="1">
      <c r="A44" s="10"/>
      <c r="B44" s="625"/>
      <c r="C44" s="5"/>
      <c r="D44" s="4"/>
      <c r="E44" s="624"/>
      <c r="F44" s="11" t="str">
        <f>IFERROR(VLOOKUP(A44,Honorarios!$A$9:$D$15,2,FALSE),"")</f>
        <v/>
      </c>
      <c r="G44" s="626" t="str">
        <f>IFERROR(((VLOOKUP(A44,Honorarios!$A$9:$D$15,3,FALSE))),"")</f>
        <v/>
      </c>
      <c r="H44" s="111">
        <f t="shared" si="7"/>
        <v>0</v>
      </c>
      <c r="I44" s="131">
        <f t="shared" si="8"/>
        <v>0</v>
      </c>
      <c r="J44" s="394"/>
      <c r="K44" s="392"/>
      <c r="L44" s="392"/>
      <c r="M44" s="392"/>
      <c r="N44" s="392"/>
      <c r="O44" s="419"/>
      <c r="P44" s="833">
        <f t="shared" si="2"/>
        <v>0</v>
      </c>
    </row>
    <row r="45" spans="1:16" ht="20.100000000000001" hidden="1" customHeight="1">
      <c r="A45" s="10"/>
      <c r="B45" s="625"/>
      <c r="C45" s="5"/>
      <c r="D45" s="4"/>
      <c r="E45" s="624"/>
      <c r="F45" s="11" t="str">
        <f>IFERROR(VLOOKUP(A45,Honorarios!$A$9:$D$15,2,FALSE),"")</f>
        <v/>
      </c>
      <c r="G45" s="626" t="str">
        <f>IFERROR(((VLOOKUP(A45,Honorarios!$A$9:$D$15,3,FALSE))),"")</f>
        <v/>
      </c>
      <c r="H45" s="111">
        <f t="shared" si="7"/>
        <v>0</v>
      </c>
      <c r="I45" s="131">
        <f t="shared" si="8"/>
        <v>0</v>
      </c>
      <c r="J45" s="394"/>
      <c r="K45" s="392"/>
      <c r="L45" s="392"/>
      <c r="M45" s="392"/>
      <c r="N45" s="392"/>
      <c r="O45" s="419"/>
      <c r="P45" s="833">
        <f t="shared" si="2"/>
        <v>0</v>
      </c>
    </row>
    <row r="46" spans="1:16" ht="20.100000000000001" hidden="1" customHeight="1">
      <c r="A46" s="10"/>
      <c r="B46" s="625"/>
      <c r="C46" s="5"/>
      <c r="D46" s="4"/>
      <c r="E46" s="624"/>
      <c r="F46" s="11" t="str">
        <f>IFERROR(VLOOKUP(A46,Honorarios!$A$9:$D$15,2,FALSE),"")</f>
        <v/>
      </c>
      <c r="G46" s="626" t="str">
        <f>IFERROR(((VLOOKUP(A46,Honorarios!$A$9:$D$15,3,FALSE))),"")</f>
        <v/>
      </c>
      <c r="H46" s="111">
        <f t="shared" si="7"/>
        <v>0</v>
      </c>
      <c r="I46" s="131">
        <f t="shared" si="8"/>
        <v>0</v>
      </c>
      <c r="J46" s="394"/>
      <c r="K46" s="392"/>
      <c r="L46" s="392"/>
      <c r="M46" s="392"/>
      <c r="N46" s="392"/>
      <c r="O46" s="419"/>
      <c r="P46" s="833">
        <f t="shared" si="2"/>
        <v>0</v>
      </c>
    </row>
    <row r="47" spans="1:16" ht="20.100000000000001" hidden="1" customHeight="1">
      <c r="A47" s="10"/>
      <c r="B47" s="625"/>
      <c r="C47" s="5"/>
      <c r="D47" s="4"/>
      <c r="E47" s="624"/>
      <c r="F47" s="11" t="str">
        <f>IFERROR(VLOOKUP(A47,Honorarios!$A$9:$D$15,2,FALSE),"")</f>
        <v/>
      </c>
      <c r="G47" s="626" t="str">
        <f>IFERROR(((VLOOKUP(A47,Honorarios!$A$9:$D$15,3,FALSE))),"")</f>
        <v/>
      </c>
      <c r="H47" s="111">
        <f>IFERROR(B47*C47*E47*F47*G47,0)</f>
        <v>0</v>
      </c>
      <c r="I47" s="131">
        <f t="shared" si="8"/>
        <v>0</v>
      </c>
      <c r="J47" s="394"/>
      <c r="K47" s="392"/>
      <c r="L47" s="392"/>
      <c r="M47" s="392"/>
      <c r="N47" s="392"/>
      <c r="O47" s="419"/>
      <c r="P47" s="833">
        <f t="shared" si="2"/>
        <v>0</v>
      </c>
    </row>
    <row r="48" spans="1:16" ht="20.100000000000001" hidden="1" customHeight="1">
      <c r="A48" s="10"/>
      <c r="B48" s="625"/>
      <c r="C48" s="5"/>
      <c r="D48" s="4"/>
      <c r="E48" s="624"/>
      <c r="F48" s="11" t="str">
        <f>IFERROR(VLOOKUP(A48,Honorarios!$A$9:$D$15,2,FALSE),"")</f>
        <v/>
      </c>
      <c r="G48" s="626" t="str">
        <f>IFERROR(((VLOOKUP(A48,Honorarios!$A$9:$D$15,3,FALSE))),"")</f>
        <v/>
      </c>
      <c r="H48" s="111">
        <f t="shared" si="7"/>
        <v>0</v>
      </c>
      <c r="I48" s="131">
        <f t="shared" si="8"/>
        <v>0</v>
      </c>
      <c r="J48" s="394"/>
      <c r="K48" s="392"/>
      <c r="L48" s="392"/>
      <c r="M48" s="392"/>
      <c r="N48" s="392"/>
      <c r="O48" s="419"/>
      <c r="P48" s="833">
        <f t="shared" si="2"/>
        <v>0</v>
      </c>
    </row>
    <row r="49" spans="1:16" ht="20.100000000000001" hidden="1" customHeight="1">
      <c r="A49" s="10"/>
      <c r="B49" s="625"/>
      <c r="C49" s="5"/>
      <c r="D49" s="4"/>
      <c r="E49" s="624"/>
      <c r="F49" s="11" t="str">
        <f>IFERROR(VLOOKUP(A49,Honorarios!$A$9:$D$15,2,FALSE),"")</f>
        <v/>
      </c>
      <c r="G49" s="626" t="str">
        <f>IFERROR(((VLOOKUP(A49,Honorarios!$A$9:$D$15,3,FALSE))),"")</f>
        <v/>
      </c>
      <c r="H49" s="111">
        <f t="shared" si="7"/>
        <v>0</v>
      </c>
      <c r="I49" s="131">
        <f t="shared" si="8"/>
        <v>0</v>
      </c>
      <c r="J49" s="394"/>
      <c r="K49" s="392"/>
      <c r="L49" s="392"/>
      <c r="M49" s="392"/>
      <c r="N49" s="392"/>
      <c r="O49" s="419"/>
      <c r="P49" s="833">
        <f t="shared" si="2"/>
        <v>0</v>
      </c>
    </row>
    <row r="50" spans="1:16" ht="20.100000000000001" hidden="1" customHeight="1">
      <c r="A50" s="10"/>
      <c r="B50" s="625"/>
      <c r="C50" s="5"/>
      <c r="D50" s="4"/>
      <c r="E50" s="624"/>
      <c r="F50" s="11" t="str">
        <f>IFERROR(VLOOKUP(A50,Honorarios!$A$9:$D$15,2,FALSE),"")</f>
        <v/>
      </c>
      <c r="G50" s="626" t="str">
        <f>IFERROR(((VLOOKUP(A50,Honorarios!$A$9:$D$15,3,FALSE))),"")</f>
        <v/>
      </c>
      <c r="H50" s="111">
        <f t="shared" si="7"/>
        <v>0</v>
      </c>
      <c r="I50" s="131">
        <f t="shared" si="8"/>
        <v>0</v>
      </c>
      <c r="J50" s="394"/>
      <c r="K50" s="392"/>
      <c r="L50" s="392"/>
      <c r="M50" s="392"/>
      <c r="N50" s="392"/>
      <c r="O50" s="419"/>
      <c r="P50" s="833">
        <f t="shared" si="2"/>
        <v>0</v>
      </c>
    </row>
    <row r="51" spans="1:16" ht="20.100000000000001" hidden="1" customHeight="1">
      <c r="A51" s="10"/>
      <c r="B51" s="625"/>
      <c r="C51" s="5"/>
      <c r="D51" s="4"/>
      <c r="E51" s="624"/>
      <c r="F51" s="11" t="str">
        <f>IFERROR(VLOOKUP(A51,Honorarios!$A$9:$D$15,2,FALSE),"")</f>
        <v/>
      </c>
      <c r="G51" s="626" t="str">
        <f>IFERROR(((VLOOKUP(A51,Honorarios!$A$9:$D$15,3,FALSE))),"")</f>
        <v/>
      </c>
      <c r="H51" s="111">
        <f t="shared" si="0"/>
        <v>0</v>
      </c>
      <c r="I51" s="131">
        <f t="shared" si="1"/>
        <v>0</v>
      </c>
      <c r="J51" s="394"/>
      <c r="K51" s="392"/>
      <c r="L51" s="392"/>
      <c r="M51" s="392"/>
      <c r="N51" s="392"/>
      <c r="O51" s="419"/>
      <c r="P51" s="833">
        <f t="shared" si="2"/>
        <v>0</v>
      </c>
    </row>
    <row r="52" spans="1:16" ht="20.100000000000001" hidden="1" customHeight="1">
      <c r="A52" s="1064" t="s">
        <v>400</v>
      </c>
      <c r="B52" s="1065"/>
      <c r="C52" s="1065"/>
      <c r="D52" s="1065"/>
      <c r="E52" s="1065"/>
      <c r="F52" s="1065"/>
      <c r="G52" s="1066"/>
      <c r="H52" s="112">
        <f>SUM(H11:H51)</f>
        <v>0</v>
      </c>
      <c r="I52" s="128">
        <f>SUM(I11:I51)</f>
        <v>0</v>
      </c>
      <c r="J52" s="394"/>
      <c r="K52" s="392"/>
      <c r="L52" s="392"/>
      <c r="M52" s="392"/>
      <c r="N52" s="392"/>
      <c r="O52" s="419"/>
      <c r="P52" s="134"/>
    </row>
    <row r="53" spans="1:16" ht="20.100000000000001" hidden="1" customHeight="1">
      <c r="A53" s="1087" t="s">
        <v>401</v>
      </c>
      <c r="B53" s="1088"/>
      <c r="C53" s="1088"/>
      <c r="D53" s="1088"/>
      <c r="E53" s="1088"/>
      <c r="F53" s="1088"/>
      <c r="G53" s="1088"/>
      <c r="H53" s="1088"/>
      <c r="I53" s="1089"/>
      <c r="J53" s="394"/>
      <c r="K53" s="392"/>
      <c r="L53" s="392"/>
      <c r="M53" s="392"/>
      <c r="N53" s="392"/>
      <c r="O53" s="419"/>
      <c r="P53" s="134"/>
    </row>
    <row r="54" spans="1:16" ht="20.100000000000001" hidden="1" customHeight="1">
      <c r="A54" s="10"/>
      <c r="B54" s="6"/>
      <c r="C54" s="7"/>
      <c r="D54" s="4"/>
      <c r="E54" s="13"/>
      <c r="F54" s="11"/>
      <c r="G54" s="692"/>
      <c r="H54" s="111">
        <f>B54*C54*E54*F54*G54</f>
        <v>0</v>
      </c>
      <c r="I54" s="131">
        <f>IFERROR(H54/$H$80,0)</f>
        <v>0</v>
      </c>
      <c r="J54" s="690"/>
      <c r="K54" s="691"/>
      <c r="L54" s="392"/>
      <c r="M54" s="392"/>
      <c r="N54" s="392"/>
      <c r="O54" s="419"/>
      <c r="P54" s="833">
        <f t="shared" ref="P54:P78" si="9">H54-SUM(J54:O54)</f>
        <v>0</v>
      </c>
    </row>
    <row r="55" spans="1:16" ht="20.100000000000001" hidden="1" customHeight="1">
      <c r="A55" s="12"/>
      <c r="B55" s="6"/>
      <c r="C55" s="7"/>
      <c r="D55" s="4"/>
      <c r="E55" s="13"/>
      <c r="F55" s="58"/>
      <c r="G55" s="14"/>
      <c r="H55" s="111">
        <f t="shared" ref="H55:H56" si="10">B55*C55*E55*F55*G55</f>
        <v>0</v>
      </c>
      <c r="I55" s="131">
        <f t="shared" ref="I55:I76" si="11">IFERROR(H55/$H$80,0)</f>
        <v>0</v>
      </c>
      <c r="J55" s="394"/>
      <c r="K55" s="392"/>
      <c r="L55" s="691"/>
      <c r="M55" s="392"/>
      <c r="N55" s="392"/>
      <c r="O55" s="419"/>
      <c r="P55" s="833">
        <f t="shared" si="9"/>
        <v>0</v>
      </c>
    </row>
    <row r="56" spans="1:16" ht="20.100000000000001" hidden="1" customHeight="1">
      <c r="A56" s="12"/>
      <c r="B56" s="6"/>
      <c r="C56" s="7"/>
      <c r="D56" s="4"/>
      <c r="E56" s="13"/>
      <c r="F56" s="4"/>
      <c r="G56" s="14"/>
      <c r="H56" s="111">
        <f t="shared" si="10"/>
        <v>0</v>
      </c>
      <c r="I56" s="131">
        <f t="shared" si="11"/>
        <v>0</v>
      </c>
      <c r="J56" s="394"/>
      <c r="K56" s="392"/>
      <c r="L56" s="392"/>
      <c r="M56" s="392"/>
      <c r="N56" s="392"/>
      <c r="O56" s="419"/>
      <c r="P56" s="833">
        <f t="shared" si="9"/>
        <v>0</v>
      </c>
    </row>
    <row r="57" spans="1:16" ht="20.100000000000001" hidden="1" customHeight="1">
      <c r="A57" s="12"/>
      <c r="B57" s="6"/>
      <c r="C57" s="7"/>
      <c r="D57" s="4"/>
      <c r="E57" s="13"/>
      <c r="F57" s="4"/>
      <c r="G57" s="14"/>
      <c r="H57" s="111">
        <f t="shared" ref="H57:H72" si="12">B57*C57*E57*F57*G57</f>
        <v>0</v>
      </c>
      <c r="I57" s="131">
        <f t="shared" ref="I57:I72" si="13">IFERROR(H57/$H$80,0)</f>
        <v>0</v>
      </c>
      <c r="J57" s="394"/>
      <c r="K57" s="392"/>
      <c r="L57" s="392"/>
      <c r="M57" s="392"/>
      <c r="N57" s="392"/>
      <c r="O57" s="419"/>
      <c r="P57" s="833">
        <f t="shared" si="9"/>
        <v>0</v>
      </c>
    </row>
    <row r="58" spans="1:16" ht="20.100000000000001" hidden="1" customHeight="1">
      <c r="A58" s="12"/>
      <c r="B58" s="6"/>
      <c r="C58" s="7"/>
      <c r="D58" s="4"/>
      <c r="E58" s="13"/>
      <c r="F58" s="4"/>
      <c r="G58" s="14"/>
      <c r="H58" s="111">
        <f t="shared" si="12"/>
        <v>0</v>
      </c>
      <c r="I58" s="131">
        <f t="shared" si="13"/>
        <v>0</v>
      </c>
      <c r="J58" s="394"/>
      <c r="K58" s="392"/>
      <c r="L58" s="392"/>
      <c r="M58" s="392"/>
      <c r="N58" s="392"/>
      <c r="O58" s="419"/>
      <c r="P58" s="833">
        <f t="shared" si="9"/>
        <v>0</v>
      </c>
    </row>
    <row r="59" spans="1:16" ht="20.100000000000001" hidden="1" customHeight="1">
      <c r="A59" s="12"/>
      <c r="B59" s="6"/>
      <c r="C59" s="7"/>
      <c r="D59" s="4"/>
      <c r="E59" s="13"/>
      <c r="F59" s="4"/>
      <c r="G59" s="14"/>
      <c r="H59" s="111">
        <f t="shared" si="12"/>
        <v>0</v>
      </c>
      <c r="I59" s="131">
        <f t="shared" si="13"/>
        <v>0</v>
      </c>
      <c r="J59" s="394"/>
      <c r="K59" s="392"/>
      <c r="L59" s="392"/>
      <c r="M59" s="392"/>
      <c r="N59" s="392"/>
      <c r="O59" s="419"/>
      <c r="P59" s="833">
        <f t="shared" si="9"/>
        <v>0</v>
      </c>
    </row>
    <row r="60" spans="1:16" ht="20.100000000000001" hidden="1" customHeight="1">
      <c r="A60" s="12"/>
      <c r="B60" s="6"/>
      <c r="C60" s="7"/>
      <c r="D60" s="4"/>
      <c r="E60" s="13"/>
      <c r="F60" s="4"/>
      <c r="G60" s="14"/>
      <c r="H60" s="111">
        <f t="shared" si="12"/>
        <v>0</v>
      </c>
      <c r="I60" s="131">
        <f t="shared" si="13"/>
        <v>0</v>
      </c>
      <c r="J60" s="394"/>
      <c r="K60" s="392"/>
      <c r="L60" s="392"/>
      <c r="M60" s="392"/>
      <c r="N60" s="392"/>
      <c r="O60" s="419"/>
      <c r="P60" s="833">
        <f t="shared" si="9"/>
        <v>0</v>
      </c>
    </row>
    <row r="61" spans="1:16" ht="20.100000000000001" hidden="1" customHeight="1">
      <c r="A61" s="12"/>
      <c r="B61" s="6"/>
      <c r="C61" s="7"/>
      <c r="D61" s="4"/>
      <c r="E61" s="13"/>
      <c r="F61" s="4"/>
      <c r="G61" s="14"/>
      <c r="H61" s="111">
        <f t="shared" si="12"/>
        <v>0</v>
      </c>
      <c r="I61" s="131">
        <f t="shared" si="13"/>
        <v>0</v>
      </c>
      <c r="J61" s="394"/>
      <c r="K61" s="392"/>
      <c r="L61" s="392"/>
      <c r="M61" s="392"/>
      <c r="N61" s="392"/>
      <c r="O61" s="419"/>
      <c r="P61" s="833">
        <f t="shared" si="9"/>
        <v>0</v>
      </c>
    </row>
    <row r="62" spans="1:16" ht="20.100000000000001" hidden="1" customHeight="1">
      <c r="A62" s="12"/>
      <c r="B62" s="6"/>
      <c r="C62" s="7"/>
      <c r="D62" s="4"/>
      <c r="E62" s="13"/>
      <c r="F62" s="4"/>
      <c r="G62" s="14"/>
      <c r="H62" s="111">
        <f t="shared" si="12"/>
        <v>0</v>
      </c>
      <c r="I62" s="131">
        <f t="shared" si="13"/>
        <v>0</v>
      </c>
      <c r="J62" s="394"/>
      <c r="K62" s="392"/>
      <c r="L62" s="392"/>
      <c r="M62" s="392"/>
      <c r="N62" s="392"/>
      <c r="O62" s="419"/>
      <c r="P62" s="833">
        <f t="shared" si="9"/>
        <v>0</v>
      </c>
    </row>
    <row r="63" spans="1:16" ht="20.100000000000001" hidden="1" customHeight="1">
      <c r="A63" s="12"/>
      <c r="B63" s="6"/>
      <c r="C63" s="7"/>
      <c r="D63" s="4"/>
      <c r="E63" s="13"/>
      <c r="F63" s="4"/>
      <c r="G63" s="14"/>
      <c r="H63" s="111">
        <f t="shared" si="12"/>
        <v>0</v>
      </c>
      <c r="I63" s="131">
        <f t="shared" si="13"/>
        <v>0</v>
      </c>
      <c r="J63" s="394"/>
      <c r="K63" s="392"/>
      <c r="L63" s="392"/>
      <c r="M63" s="392"/>
      <c r="N63" s="392"/>
      <c r="O63" s="419"/>
      <c r="P63" s="833">
        <f t="shared" si="9"/>
        <v>0</v>
      </c>
    </row>
    <row r="64" spans="1:16" ht="20.100000000000001" hidden="1" customHeight="1">
      <c r="A64" s="12"/>
      <c r="B64" s="6"/>
      <c r="C64" s="7"/>
      <c r="D64" s="4"/>
      <c r="E64" s="13"/>
      <c r="F64" s="4"/>
      <c r="G64" s="14"/>
      <c r="H64" s="111">
        <f t="shared" si="12"/>
        <v>0</v>
      </c>
      <c r="I64" s="131">
        <f t="shared" si="13"/>
        <v>0</v>
      </c>
      <c r="J64" s="394"/>
      <c r="K64" s="392"/>
      <c r="L64" s="392"/>
      <c r="M64" s="392"/>
      <c r="N64" s="392"/>
      <c r="O64" s="419"/>
      <c r="P64" s="833">
        <f t="shared" si="9"/>
        <v>0</v>
      </c>
    </row>
    <row r="65" spans="1:16" ht="20.100000000000001" hidden="1" customHeight="1">
      <c r="A65" s="12"/>
      <c r="B65" s="6"/>
      <c r="C65" s="7"/>
      <c r="D65" s="4"/>
      <c r="E65" s="13"/>
      <c r="F65" s="4"/>
      <c r="G65" s="14"/>
      <c r="H65" s="111">
        <f t="shared" si="12"/>
        <v>0</v>
      </c>
      <c r="I65" s="131">
        <f t="shared" si="13"/>
        <v>0</v>
      </c>
      <c r="J65" s="394"/>
      <c r="K65" s="392"/>
      <c r="L65" s="392"/>
      <c r="M65" s="392"/>
      <c r="N65" s="392"/>
      <c r="O65" s="419"/>
      <c r="P65" s="833">
        <f t="shared" si="9"/>
        <v>0</v>
      </c>
    </row>
    <row r="66" spans="1:16" ht="20.100000000000001" hidden="1" customHeight="1">
      <c r="A66" s="12"/>
      <c r="B66" s="6"/>
      <c r="C66" s="7"/>
      <c r="D66" s="4"/>
      <c r="E66" s="13"/>
      <c r="F66" s="4"/>
      <c r="G66" s="14"/>
      <c r="H66" s="111">
        <f t="shared" si="12"/>
        <v>0</v>
      </c>
      <c r="I66" s="131">
        <f t="shared" si="13"/>
        <v>0</v>
      </c>
      <c r="J66" s="394"/>
      <c r="K66" s="392"/>
      <c r="L66" s="392"/>
      <c r="M66" s="392"/>
      <c r="N66" s="392"/>
      <c r="O66" s="419"/>
      <c r="P66" s="833">
        <f t="shared" si="9"/>
        <v>0</v>
      </c>
    </row>
    <row r="67" spans="1:16" ht="20.100000000000001" hidden="1" customHeight="1">
      <c r="A67" s="12"/>
      <c r="B67" s="6"/>
      <c r="C67" s="7"/>
      <c r="D67" s="4"/>
      <c r="E67" s="13"/>
      <c r="F67" s="4"/>
      <c r="G67" s="14"/>
      <c r="H67" s="111">
        <f t="shared" si="12"/>
        <v>0</v>
      </c>
      <c r="I67" s="131">
        <f t="shared" si="13"/>
        <v>0</v>
      </c>
      <c r="J67" s="394"/>
      <c r="K67" s="392"/>
      <c r="L67" s="392"/>
      <c r="M67" s="392"/>
      <c r="N67" s="392"/>
      <c r="O67" s="419"/>
      <c r="P67" s="833">
        <f t="shared" si="9"/>
        <v>0</v>
      </c>
    </row>
    <row r="68" spans="1:16" ht="20.100000000000001" hidden="1" customHeight="1">
      <c r="A68" s="12"/>
      <c r="B68" s="6"/>
      <c r="C68" s="7"/>
      <c r="D68" s="4"/>
      <c r="E68" s="13"/>
      <c r="F68" s="4"/>
      <c r="G68" s="14"/>
      <c r="H68" s="111">
        <f t="shared" si="12"/>
        <v>0</v>
      </c>
      <c r="I68" s="131">
        <f t="shared" si="13"/>
        <v>0</v>
      </c>
      <c r="J68" s="394"/>
      <c r="K68" s="392"/>
      <c r="L68" s="392"/>
      <c r="M68" s="392"/>
      <c r="N68" s="392"/>
      <c r="O68" s="419"/>
      <c r="P68" s="833">
        <f t="shared" si="9"/>
        <v>0</v>
      </c>
    </row>
    <row r="69" spans="1:16" ht="20.100000000000001" hidden="1" customHeight="1">
      <c r="A69" s="12"/>
      <c r="B69" s="6"/>
      <c r="C69" s="7"/>
      <c r="D69" s="4"/>
      <c r="E69" s="13"/>
      <c r="F69" s="4"/>
      <c r="G69" s="14"/>
      <c r="H69" s="111">
        <f t="shared" si="12"/>
        <v>0</v>
      </c>
      <c r="I69" s="131">
        <f t="shared" si="13"/>
        <v>0</v>
      </c>
      <c r="J69" s="394"/>
      <c r="K69" s="392"/>
      <c r="L69" s="392"/>
      <c r="M69" s="392"/>
      <c r="N69" s="392"/>
      <c r="O69" s="419"/>
      <c r="P69" s="833">
        <f t="shared" si="9"/>
        <v>0</v>
      </c>
    </row>
    <row r="70" spans="1:16" ht="20.100000000000001" hidden="1" customHeight="1">
      <c r="A70" s="12"/>
      <c r="B70" s="6"/>
      <c r="C70" s="7"/>
      <c r="D70" s="4"/>
      <c r="E70" s="13"/>
      <c r="F70" s="4"/>
      <c r="G70" s="14"/>
      <c r="H70" s="111">
        <f t="shared" si="12"/>
        <v>0</v>
      </c>
      <c r="I70" s="131">
        <f t="shared" si="13"/>
        <v>0</v>
      </c>
      <c r="J70" s="394"/>
      <c r="K70" s="392"/>
      <c r="L70" s="392"/>
      <c r="M70" s="392"/>
      <c r="N70" s="392"/>
      <c r="O70" s="419"/>
      <c r="P70" s="833">
        <f t="shared" si="9"/>
        <v>0</v>
      </c>
    </row>
    <row r="71" spans="1:16" ht="20.100000000000001" hidden="1" customHeight="1">
      <c r="A71" s="12"/>
      <c r="B71" s="6"/>
      <c r="C71" s="7"/>
      <c r="D71" s="4"/>
      <c r="E71" s="13"/>
      <c r="F71" s="4"/>
      <c r="G71" s="14"/>
      <c r="H71" s="111">
        <f t="shared" si="12"/>
        <v>0</v>
      </c>
      <c r="I71" s="131">
        <f t="shared" si="13"/>
        <v>0</v>
      </c>
      <c r="J71" s="394"/>
      <c r="K71" s="392"/>
      <c r="L71" s="392"/>
      <c r="M71" s="392"/>
      <c r="N71" s="392"/>
      <c r="O71" s="419"/>
      <c r="P71" s="833">
        <f t="shared" si="9"/>
        <v>0</v>
      </c>
    </row>
    <row r="72" spans="1:16" ht="20.100000000000001" hidden="1" customHeight="1">
      <c r="A72" s="12"/>
      <c r="B72" s="6"/>
      <c r="C72" s="7"/>
      <c r="D72" s="4"/>
      <c r="E72" s="13"/>
      <c r="F72" s="4"/>
      <c r="G72" s="14"/>
      <c r="H72" s="111">
        <f t="shared" si="12"/>
        <v>0</v>
      </c>
      <c r="I72" s="131">
        <f t="shared" si="13"/>
        <v>0</v>
      </c>
      <c r="J72" s="394"/>
      <c r="K72" s="392"/>
      <c r="L72" s="392"/>
      <c r="M72" s="392"/>
      <c r="N72" s="392"/>
      <c r="O72" s="419"/>
      <c r="P72" s="833">
        <f t="shared" si="9"/>
        <v>0</v>
      </c>
    </row>
    <row r="73" spans="1:16" ht="20.100000000000001" hidden="1" customHeight="1">
      <c r="A73" s="12"/>
      <c r="B73" s="6"/>
      <c r="C73" s="7"/>
      <c r="D73" s="4"/>
      <c r="E73" s="13"/>
      <c r="F73" s="4"/>
      <c r="G73" s="14"/>
      <c r="H73" s="111">
        <f t="shared" ref="H73:H78" si="14">B73*C73*E73*F73*G73</f>
        <v>0</v>
      </c>
      <c r="I73" s="131">
        <f t="shared" si="11"/>
        <v>0</v>
      </c>
      <c r="J73" s="394"/>
      <c r="K73" s="392"/>
      <c r="L73" s="392"/>
      <c r="M73" s="392"/>
      <c r="N73" s="392"/>
      <c r="O73" s="419"/>
      <c r="P73" s="833">
        <f t="shared" si="9"/>
        <v>0</v>
      </c>
    </row>
    <row r="74" spans="1:16" ht="20.100000000000001" hidden="1" customHeight="1">
      <c r="A74" s="12"/>
      <c r="B74" s="6"/>
      <c r="C74" s="7"/>
      <c r="D74" s="4"/>
      <c r="E74" s="13"/>
      <c r="F74" s="4"/>
      <c r="G74" s="14"/>
      <c r="H74" s="111">
        <f t="shared" si="14"/>
        <v>0</v>
      </c>
      <c r="I74" s="131">
        <f t="shared" si="11"/>
        <v>0</v>
      </c>
      <c r="J74" s="394"/>
      <c r="K74" s="392"/>
      <c r="L74" s="392"/>
      <c r="M74" s="392"/>
      <c r="N74" s="392"/>
      <c r="O74" s="419"/>
      <c r="P74" s="833">
        <f t="shared" si="9"/>
        <v>0</v>
      </c>
    </row>
    <row r="75" spans="1:16" ht="20.100000000000001" hidden="1" customHeight="1">
      <c r="A75" s="12"/>
      <c r="B75" s="6"/>
      <c r="C75" s="7"/>
      <c r="D75" s="4"/>
      <c r="E75" s="13"/>
      <c r="F75" s="4"/>
      <c r="G75" s="14"/>
      <c r="H75" s="111">
        <f t="shared" si="14"/>
        <v>0</v>
      </c>
      <c r="I75" s="131">
        <f t="shared" si="11"/>
        <v>0</v>
      </c>
      <c r="J75" s="394"/>
      <c r="K75" s="392"/>
      <c r="L75" s="392"/>
      <c r="M75" s="392"/>
      <c r="N75" s="392"/>
      <c r="O75" s="419"/>
      <c r="P75" s="833">
        <f t="shared" si="9"/>
        <v>0</v>
      </c>
    </row>
    <row r="76" spans="1:16" ht="20.100000000000001" hidden="1" customHeight="1">
      <c r="A76" s="12"/>
      <c r="B76" s="6"/>
      <c r="C76" s="7"/>
      <c r="D76" s="4"/>
      <c r="E76" s="13"/>
      <c r="F76" s="4"/>
      <c r="G76" s="14"/>
      <c r="H76" s="111">
        <f t="shared" si="14"/>
        <v>0</v>
      </c>
      <c r="I76" s="131">
        <f t="shared" si="11"/>
        <v>0</v>
      </c>
      <c r="J76" s="394"/>
      <c r="K76" s="392"/>
      <c r="L76" s="392"/>
      <c r="M76" s="392"/>
      <c r="N76" s="392"/>
      <c r="O76" s="419"/>
      <c r="P76" s="833">
        <f t="shared" si="9"/>
        <v>0</v>
      </c>
    </row>
    <row r="77" spans="1:16" ht="20.100000000000001" hidden="1" customHeight="1">
      <c r="A77" s="12"/>
      <c r="B77" s="6"/>
      <c r="C77" s="7"/>
      <c r="D77" s="4"/>
      <c r="E77" s="13"/>
      <c r="F77" s="4"/>
      <c r="G77" s="14"/>
      <c r="H77" s="111">
        <f t="shared" si="14"/>
        <v>0</v>
      </c>
      <c r="I77" s="131">
        <f>IFERROR(H77/$H$80,0)</f>
        <v>0</v>
      </c>
      <c r="J77" s="394"/>
      <c r="K77" s="392"/>
      <c r="L77" s="392"/>
      <c r="M77" s="392"/>
      <c r="N77" s="392"/>
      <c r="O77" s="419"/>
      <c r="P77" s="833">
        <f t="shared" si="9"/>
        <v>0</v>
      </c>
    </row>
    <row r="78" spans="1:16" ht="20.100000000000001" hidden="1" customHeight="1">
      <c r="A78" s="12"/>
      <c r="B78" s="6"/>
      <c r="C78" s="7"/>
      <c r="D78" s="4"/>
      <c r="E78" s="13"/>
      <c r="F78" s="4"/>
      <c r="G78" s="14"/>
      <c r="H78" s="111">
        <f t="shared" si="14"/>
        <v>0</v>
      </c>
      <c r="I78" s="131">
        <f>IFERROR(H78/$H$80,0)</f>
        <v>0</v>
      </c>
      <c r="J78" s="394"/>
      <c r="K78" s="392"/>
      <c r="L78" s="392"/>
      <c r="M78" s="392"/>
      <c r="N78" s="392"/>
      <c r="O78" s="419"/>
      <c r="P78" s="833">
        <f t="shared" si="9"/>
        <v>0</v>
      </c>
    </row>
    <row r="79" spans="1:16" ht="20.100000000000001" hidden="1" customHeight="1">
      <c r="A79" s="1064" t="s">
        <v>402</v>
      </c>
      <c r="B79" s="1065"/>
      <c r="C79" s="1065"/>
      <c r="D79" s="1065"/>
      <c r="E79" s="1065"/>
      <c r="F79" s="1065"/>
      <c r="G79" s="1066"/>
      <c r="H79" s="112">
        <f>SUM(H54:H78)</f>
        <v>0</v>
      </c>
      <c r="I79" s="128">
        <f>SUM(I54:I78)</f>
        <v>0</v>
      </c>
      <c r="J79" s="394"/>
      <c r="K79" s="392"/>
      <c r="L79" s="392"/>
      <c r="M79" s="392"/>
      <c r="N79" s="392"/>
      <c r="O79" s="419"/>
      <c r="P79" s="134"/>
    </row>
    <row r="80" spans="1:16" ht="20.100000000000001" hidden="1" customHeight="1" thickBot="1">
      <c r="A80" s="1045" t="s">
        <v>403</v>
      </c>
      <c r="B80" s="1046"/>
      <c r="C80" s="1046"/>
      <c r="D80" s="1046"/>
      <c r="E80" s="1046"/>
      <c r="F80" s="1046"/>
      <c r="G80" s="1047"/>
      <c r="H80" s="113">
        <f>H52+H79</f>
        <v>0</v>
      </c>
      <c r="I80" s="129">
        <f>I52+I79</f>
        <v>0</v>
      </c>
      <c r="J80" s="394"/>
      <c r="K80" s="392"/>
      <c r="L80" s="392"/>
      <c r="M80" s="392"/>
      <c r="N80" s="392"/>
      <c r="O80" s="419"/>
      <c r="P80" s="134"/>
    </row>
    <row r="81" spans="1:16" ht="20.100000000000001" customHeight="1" thickBot="1">
      <c r="A81" s="417"/>
      <c r="B81" s="114"/>
      <c r="C81" s="114"/>
      <c r="D81" s="115"/>
      <c r="E81" s="115"/>
      <c r="F81" s="115"/>
      <c r="G81" s="115"/>
      <c r="H81" s="116"/>
      <c r="I81" s="418"/>
      <c r="J81" s="394"/>
      <c r="K81" s="392"/>
      <c r="L81" s="392"/>
      <c r="M81" s="392"/>
      <c r="N81" s="392"/>
      <c r="O81" s="419"/>
      <c r="P81" s="134"/>
    </row>
    <row r="82" spans="1:16" ht="20.100000000000001" customHeight="1">
      <c r="A82" s="1069" t="s">
        <v>404</v>
      </c>
      <c r="B82" s="1070"/>
      <c r="C82" s="1070"/>
      <c r="D82" s="1070"/>
      <c r="E82" s="1070"/>
      <c r="F82" s="1070"/>
      <c r="G82" s="1070"/>
      <c r="H82" s="1070"/>
      <c r="I82" s="1071"/>
      <c r="J82" s="394"/>
      <c r="K82" s="392"/>
      <c r="L82" s="392"/>
      <c r="M82" s="392"/>
      <c r="N82" s="392"/>
      <c r="O82" s="419"/>
      <c r="P82" s="134"/>
    </row>
    <row r="83" spans="1:16" ht="25.5" customHeight="1">
      <c r="A83" s="1067" t="s">
        <v>391</v>
      </c>
      <c r="B83" s="1068"/>
      <c r="C83" s="1068"/>
      <c r="D83" s="416" t="s">
        <v>122</v>
      </c>
      <c r="E83" s="117" t="s">
        <v>394</v>
      </c>
      <c r="F83" s="1096" t="s">
        <v>405</v>
      </c>
      <c r="G83" s="1097"/>
      <c r="H83" s="117" t="s">
        <v>397</v>
      </c>
      <c r="I83" s="130" t="s">
        <v>398</v>
      </c>
      <c r="J83" s="394"/>
      <c r="K83" s="392"/>
      <c r="L83" s="392"/>
      <c r="M83" s="392"/>
      <c r="N83" s="392"/>
      <c r="O83" s="419"/>
      <c r="P83" s="134"/>
    </row>
    <row r="84" spans="1:16" ht="20.100000000000001" customHeight="1">
      <c r="A84" s="1039" t="s">
        <v>153</v>
      </c>
      <c r="B84" s="1040"/>
      <c r="C84" s="1040"/>
      <c r="D84" s="118" t="s">
        <v>154</v>
      </c>
      <c r="E84" s="694">
        <v>1</v>
      </c>
      <c r="F84" s="1041">
        <v>10204400</v>
      </c>
      <c r="G84" s="1042"/>
      <c r="H84" s="695">
        <f>+F84*E84</f>
        <v>10204400</v>
      </c>
      <c r="I84" s="131">
        <f>IFERROR(H84/$H$126,0)</f>
        <v>0.13028379340137278</v>
      </c>
      <c r="J84" s="693"/>
      <c r="K84" s="392"/>
      <c r="L84" s="392"/>
      <c r="M84" s="392"/>
      <c r="N84" s="392"/>
      <c r="O84" s="419"/>
      <c r="P84" s="833">
        <f t="shared" ref="P84:P125" si="15">H84-SUM(J84:O84)</f>
        <v>10204400</v>
      </c>
    </row>
    <row r="85" spans="1:16" ht="20.100000000000001" customHeight="1">
      <c r="A85" s="1039" t="s">
        <v>406</v>
      </c>
      <c r="B85" s="1040"/>
      <c r="C85" s="1040"/>
      <c r="D85" s="118" t="s">
        <v>187</v>
      </c>
      <c r="E85" s="696">
        <v>12</v>
      </c>
      <c r="F85" s="1041">
        <v>5676666.7000000002</v>
      </c>
      <c r="G85" s="1042"/>
      <c r="H85" s="695">
        <f>+F85*E85</f>
        <v>68120000.400000006</v>
      </c>
      <c r="I85" s="131">
        <f t="shared" ref="I85:I125" si="16">IFERROR(H85/$H$126,0)</f>
        <v>0.86971620659862725</v>
      </c>
      <c r="J85" s="394"/>
      <c r="K85" s="153"/>
      <c r="L85" s="392"/>
      <c r="M85" s="392"/>
      <c r="N85" s="392"/>
      <c r="O85" s="419"/>
      <c r="P85" s="833">
        <f t="shared" si="15"/>
        <v>68120000.400000006</v>
      </c>
    </row>
    <row r="86" spans="1:16" ht="27" customHeight="1">
      <c r="A86" s="1039"/>
      <c r="B86" s="1040"/>
      <c r="C86" s="1040"/>
      <c r="D86" s="118"/>
      <c r="E86" s="119"/>
      <c r="F86" s="1041"/>
      <c r="G86" s="1042"/>
      <c r="H86" s="695">
        <f>+F86*E86</f>
        <v>0</v>
      </c>
      <c r="I86" s="131">
        <f t="shared" si="16"/>
        <v>0</v>
      </c>
      <c r="J86" s="394"/>
      <c r="K86" s="392"/>
      <c r="L86" s="153"/>
      <c r="M86" s="392"/>
      <c r="N86" s="392"/>
      <c r="O86" s="419"/>
      <c r="P86" s="833">
        <f t="shared" si="15"/>
        <v>0</v>
      </c>
    </row>
    <row r="87" spans="1:16" ht="20.100000000000001" customHeight="1">
      <c r="A87" s="1039"/>
      <c r="B87" s="1040"/>
      <c r="C87" s="1040"/>
      <c r="D87" s="118"/>
      <c r="E87" s="119"/>
      <c r="F87" s="1041"/>
      <c r="G87" s="1042"/>
      <c r="H87" s="695">
        <f t="shared" ref="H87:H110" si="17">+F87*E87</f>
        <v>0</v>
      </c>
      <c r="I87" s="131">
        <f t="shared" ref="I87:I110" si="18">IFERROR(H87/$H$126,0)</f>
        <v>0</v>
      </c>
      <c r="J87" s="394"/>
      <c r="K87" s="392"/>
      <c r="L87" s="153"/>
      <c r="M87" s="392"/>
      <c r="N87" s="392"/>
      <c r="O87" s="419"/>
      <c r="P87" s="833">
        <f t="shared" si="15"/>
        <v>0</v>
      </c>
    </row>
    <row r="88" spans="1:16" ht="20.100000000000001" customHeight="1">
      <c r="A88" s="1039"/>
      <c r="B88" s="1040"/>
      <c r="C88" s="1040"/>
      <c r="D88" s="118"/>
      <c r="E88" s="119"/>
      <c r="F88" s="1041"/>
      <c r="G88" s="1042"/>
      <c r="H88" s="695">
        <f t="shared" si="17"/>
        <v>0</v>
      </c>
      <c r="I88" s="131">
        <f t="shared" si="18"/>
        <v>0</v>
      </c>
      <c r="J88" s="394"/>
      <c r="K88" s="392"/>
      <c r="L88" s="153"/>
      <c r="M88" s="392"/>
      <c r="N88" s="392"/>
      <c r="O88" s="419"/>
      <c r="P88" s="833">
        <f t="shared" si="15"/>
        <v>0</v>
      </c>
    </row>
    <row r="89" spans="1:16" ht="20.100000000000001" hidden="1" customHeight="1">
      <c r="A89" s="1039"/>
      <c r="B89" s="1040"/>
      <c r="C89" s="1040"/>
      <c r="D89" s="118"/>
      <c r="E89" s="119"/>
      <c r="F89" s="1041"/>
      <c r="G89" s="1042"/>
      <c r="H89" s="695">
        <f t="shared" si="17"/>
        <v>0</v>
      </c>
      <c r="I89" s="131">
        <f t="shared" si="18"/>
        <v>0</v>
      </c>
      <c r="J89" s="394"/>
      <c r="K89" s="392"/>
      <c r="L89" s="153"/>
      <c r="M89" s="392"/>
      <c r="N89" s="392"/>
      <c r="O89" s="419"/>
      <c r="P89" s="833">
        <f t="shared" si="15"/>
        <v>0</v>
      </c>
    </row>
    <row r="90" spans="1:16" ht="20.100000000000001" hidden="1" customHeight="1">
      <c r="A90" s="1039"/>
      <c r="B90" s="1040"/>
      <c r="C90" s="1040"/>
      <c r="D90" s="118"/>
      <c r="E90" s="119"/>
      <c r="F90" s="1041"/>
      <c r="G90" s="1042"/>
      <c r="H90" s="695">
        <f t="shared" si="17"/>
        <v>0</v>
      </c>
      <c r="I90" s="131">
        <f t="shared" si="18"/>
        <v>0</v>
      </c>
      <c r="J90" s="394"/>
      <c r="K90" s="392"/>
      <c r="L90" s="153"/>
      <c r="M90" s="392"/>
      <c r="N90" s="392"/>
      <c r="O90" s="419"/>
      <c r="P90" s="833">
        <f t="shared" si="15"/>
        <v>0</v>
      </c>
    </row>
    <row r="91" spans="1:16" ht="20.100000000000001" hidden="1" customHeight="1">
      <c r="A91" s="1039"/>
      <c r="B91" s="1040"/>
      <c r="C91" s="1040"/>
      <c r="D91" s="118"/>
      <c r="E91" s="119"/>
      <c r="F91" s="1041"/>
      <c r="G91" s="1042"/>
      <c r="H91" s="695">
        <f t="shared" si="17"/>
        <v>0</v>
      </c>
      <c r="I91" s="131">
        <f t="shared" si="18"/>
        <v>0</v>
      </c>
      <c r="J91" s="394"/>
      <c r="K91" s="392"/>
      <c r="L91" s="153"/>
      <c r="M91" s="392"/>
      <c r="N91" s="392"/>
      <c r="O91" s="419"/>
      <c r="P91" s="833">
        <f t="shared" si="15"/>
        <v>0</v>
      </c>
    </row>
    <row r="92" spans="1:16" ht="20.100000000000001" hidden="1" customHeight="1">
      <c r="A92" s="1039"/>
      <c r="B92" s="1040"/>
      <c r="C92" s="1040"/>
      <c r="D92" s="118"/>
      <c r="E92" s="119"/>
      <c r="F92" s="1041"/>
      <c r="G92" s="1042"/>
      <c r="H92" s="695">
        <f t="shared" si="17"/>
        <v>0</v>
      </c>
      <c r="I92" s="131">
        <f t="shared" si="18"/>
        <v>0</v>
      </c>
      <c r="J92" s="394"/>
      <c r="K92" s="392"/>
      <c r="L92" s="153"/>
      <c r="M92" s="392"/>
      <c r="N92" s="392"/>
      <c r="O92" s="419"/>
      <c r="P92" s="833">
        <f t="shared" si="15"/>
        <v>0</v>
      </c>
    </row>
    <row r="93" spans="1:16" ht="20.100000000000001" hidden="1" customHeight="1">
      <c r="A93" s="1039"/>
      <c r="B93" s="1040"/>
      <c r="C93" s="1040"/>
      <c r="D93" s="118"/>
      <c r="E93" s="119"/>
      <c r="F93" s="1041"/>
      <c r="G93" s="1042"/>
      <c r="H93" s="695">
        <f t="shared" si="17"/>
        <v>0</v>
      </c>
      <c r="I93" s="131">
        <f t="shared" si="18"/>
        <v>0</v>
      </c>
      <c r="J93" s="394"/>
      <c r="K93" s="392"/>
      <c r="L93" s="153"/>
      <c r="M93" s="392"/>
      <c r="N93" s="392"/>
      <c r="O93" s="419"/>
      <c r="P93" s="833">
        <f t="shared" si="15"/>
        <v>0</v>
      </c>
    </row>
    <row r="94" spans="1:16" ht="20.100000000000001" hidden="1" customHeight="1">
      <c r="A94" s="1039"/>
      <c r="B94" s="1040"/>
      <c r="C94" s="1040"/>
      <c r="D94" s="118"/>
      <c r="E94" s="119"/>
      <c r="F94" s="1041"/>
      <c r="G94" s="1042"/>
      <c r="H94" s="695">
        <f t="shared" si="17"/>
        <v>0</v>
      </c>
      <c r="I94" s="131">
        <f t="shared" si="18"/>
        <v>0</v>
      </c>
      <c r="J94" s="394"/>
      <c r="K94" s="392"/>
      <c r="L94" s="153"/>
      <c r="M94" s="392"/>
      <c r="N94" s="392"/>
      <c r="O94" s="419"/>
      <c r="P94" s="833">
        <f t="shared" si="15"/>
        <v>0</v>
      </c>
    </row>
    <row r="95" spans="1:16" ht="20.100000000000001" hidden="1" customHeight="1">
      <c r="A95" s="1039"/>
      <c r="B95" s="1040"/>
      <c r="C95" s="1040"/>
      <c r="D95" s="118"/>
      <c r="E95" s="119"/>
      <c r="F95" s="1041"/>
      <c r="G95" s="1042"/>
      <c r="H95" s="695">
        <f t="shared" si="17"/>
        <v>0</v>
      </c>
      <c r="I95" s="131">
        <f t="shared" si="18"/>
        <v>0</v>
      </c>
      <c r="J95" s="394"/>
      <c r="K95" s="392"/>
      <c r="L95" s="153"/>
      <c r="M95" s="392"/>
      <c r="N95" s="392"/>
      <c r="O95" s="419"/>
      <c r="P95" s="833">
        <f t="shared" si="15"/>
        <v>0</v>
      </c>
    </row>
    <row r="96" spans="1:16" ht="20.100000000000001" hidden="1" customHeight="1">
      <c r="A96" s="1039"/>
      <c r="B96" s="1040"/>
      <c r="C96" s="1040"/>
      <c r="D96" s="118"/>
      <c r="E96" s="119"/>
      <c r="F96" s="1041"/>
      <c r="G96" s="1042"/>
      <c r="H96" s="695">
        <f t="shared" si="17"/>
        <v>0</v>
      </c>
      <c r="I96" s="131">
        <f t="shared" si="18"/>
        <v>0</v>
      </c>
      <c r="J96" s="394"/>
      <c r="K96" s="392"/>
      <c r="L96" s="153"/>
      <c r="M96" s="392"/>
      <c r="N96" s="392"/>
      <c r="O96" s="419"/>
      <c r="P96" s="833">
        <f t="shared" si="15"/>
        <v>0</v>
      </c>
    </row>
    <row r="97" spans="1:16" ht="20.100000000000001" hidden="1" customHeight="1">
      <c r="A97" s="1039"/>
      <c r="B97" s="1040"/>
      <c r="C97" s="1040"/>
      <c r="D97" s="118"/>
      <c r="E97" s="119"/>
      <c r="F97" s="1041"/>
      <c r="G97" s="1042"/>
      <c r="H97" s="695">
        <f t="shared" si="17"/>
        <v>0</v>
      </c>
      <c r="I97" s="131">
        <f t="shared" si="18"/>
        <v>0</v>
      </c>
      <c r="J97" s="394"/>
      <c r="K97" s="392"/>
      <c r="L97" s="153"/>
      <c r="M97" s="392"/>
      <c r="N97" s="392"/>
      <c r="O97" s="419"/>
      <c r="P97" s="833">
        <f t="shared" si="15"/>
        <v>0</v>
      </c>
    </row>
    <row r="98" spans="1:16" ht="20.100000000000001" hidden="1" customHeight="1">
      <c r="A98" s="1039"/>
      <c r="B98" s="1040"/>
      <c r="C98" s="1040"/>
      <c r="D98" s="118"/>
      <c r="E98" s="119"/>
      <c r="F98" s="1041"/>
      <c r="G98" s="1042"/>
      <c r="H98" s="695">
        <f t="shared" si="17"/>
        <v>0</v>
      </c>
      <c r="I98" s="131">
        <f t="shared" si="18"/>
        <v>0</v>
      </c>
      <c r="J98" s="394"/>
      <c r="K98" s="392"/>
      <c r="L98" s="153"/>
      <c r="M98" s="392"/>
      <c r="N98" s="392"/>
      <c r="O98" s="419"/>
      <c r="P98" s="833">
        <f t="shared" si="15"/>
        <v>0</v>
      </c>
    </row>
    <row r="99" spans="1:16" ht="20.100000000000001" hidden="1" customHeight="1">
      <c r="A99" s="1039"/>
      <c r="B99" s="1040"/>
      <c r="C99" s="1040"/>
      <c r="D99" s="118"/>
      <c r="E99" s="119"/>
      <c r="F99" s="1041"/>
      <c r="G99" s="1042"/>
      <c r="H99" s="695">
        <f t="shared" si="17"/>
        <v>0</v>
      </c>
      <c r="I99" s="131">
        <f t="shared" si="18"/>
        <v>0</v>
      </c>
      <c r="J99" s="394"/>
      <c r="K99" s="392"/>
      <c r="L99" s="153"/>
      <c r="M99" s="392"/>
      <c r="N99" s="392"/>
      <c r="O99" s="419"/>
      <c r="P99" s="833">
        <f t="shared" si="15"/>
        <v>0</v>
      </c>
    </row>
    <row r="100" spans="1:16" ht="20.100000000000001" hidden="1" customHeight="1">
      <c r="A100" s="1039"/>
      <c r="B100" s="1040"/>
      <c r="C100" s="1040"/>
      <c r="D100" s="118"/>
      <c r="E100" s="119"/>
      <c r="F100" s="1041"/>
      <c r="G100" s="1042"/>
      <c r="H100" s="695">
        <f t="shared" si="17"/>
        <v>0</v>
      </c>
      <c r="I100" s="131">
        <f t="shared" si="18"/>
        <v>0</v>
      </c>
      <c r="J100" s="394"/>
      <c r="K100" s="392"/>
      <c r="L100" s="153"/>
      <c r="M100" s="392"/>
      <c r="N100" s="392"/>
      <c r="O100" s="419"/>
      <c r="P100" s="833">
        <f t="shared" si="15"/>
        <v>0</v>
      </c>
    </row>
    <row r="101" spans="1:16" ht="20.100000000000001" hidden="1" customHeight="1">
      <c r="A101" s="1039"/>
      <c r="B101" s="1040"/>
      <c r="C101" s="1040"/>
      <c r="D101" s="118"/>
      <c r="E101" s="119"/>
      <c r="F101" s="1041"/>
      <c r="G101" s="1042"/>
      <c r="H101" s="695">
        <f t="shared" si="17"/>
        <v>0</v>
      </c>
      <c r="I101" s="131">
        <f t="shared" si="18"/>
        <v>0</v>
      </c>
      <c r="J101" s="394"/>
      <c r="K101" s="392"/>
      <c r="L101" s="153"/>
      <c r="M101" s="392"/>
      <c r="N101" s="392"/>
      <c r="O101" s="419"/>
      <c r="P101" s="833">
        <f t="shared" si="15"/>
        <v>0</v>
      </c>
    </row>
    <row r="102" spans="1:16" ht="20.100000000000001" hidden="1" customHeight="1">
      <c r="A102" s="1039"/>
      <c r="B102" s="1040"/>
      <c r="C102" s="1040"/>
      <c r="D102" s="118"/>
      <c r="E102" s="119"/>
      <c r="F102" s="1041"/>
      <c r="G102" s="1042"/>
      <c r="H102" s="695">
        <f t="shared" si="17"/>
        <v>0</v>
      </c>
      <c r="I102" s="131">
        <f t="shared" si="18"/>
        <v>0</v>
      </c>
      <c r="J102" s="394"/>
      <c r="K102" s="392"/>
      <c r="L102" s="153"/>
      <c r="M102" s="392"/>
      <c r="N102" s="392"/>
      <c r="O102" s="419"/>
      <c r="P102" s="833">
        <f t="shared" si="15"/>
        <v>0</v>
      </c>
    </row>
    <row r="103" spans="1:16" ht="20.100000000000001" hidden="1" customHeight="1">
      <c r="A103" s="1039"/>
      <c r="B103" s="1040"/>
      <c r="C103" s="1040"/>
      <c r="D103" s="118"/>
      <c r="E103" s="119"/>
      <c r="F103" s="1041"/>
      <c r="G103" s="1042"/>
      <c r="H103" s="695">
        <f t="shared" si="17"/>
        <v>0</v>
      </c>
      <c r="I103" s="131">
        <f t="shared" si="18"/>
        <v>0</v>
      </c>
      <c r="J103" s="394"/>
      <c r="K103" s="392"/>
      <c r="L103" s="153"/>
      <c r="M103" s="392"/>
      <c r="N103" s="392"/>
      <c r="O103" s="419"/>
      <c r="P103" s="833">
        <f t="shared" si="15"/>
        <v>0</v>
      </c>
    </row>
    <row r="104" spans="1:16" ht="20.100000000000001" hidden="1" customHeight="1">
      <c r="A104" s="1039"/>
      <c r="B104" s="1040"/>
      <c r="C104" s="1040"/>
      <c r="D104" s="118"/>
      <c r="E104" s="119"/>
      <c r="F104" s="1041"/>
      <c r="G104" s="1042"/>
      <c r="H104" s="695">
        <f t="shared" si="17"/>
        <v>0</v>
      </c>
      <c r="I104" s="131">
        <f t="shared" si="18"/>
        <v>0</v>
      </c>
      <c r="J104" s="394"/>
      <c r="K104" s="392"/>
      <c r="L104" s="153"/>
      <c r="M104" s="392"/>
      <c r="N104" s="392"/>
      <c r="O104" s="419"/>
      <c r="P104" s="833">
        <f t="shared" si="15"/>
        <v>0</v>
      </c>
    </row>
    <row r="105" spans="1:16" ht="20.100000000000001" hidden="1" customHeight="1">
      <c r="A105" s="1039"/>
      <c r="B105" s="1040"/>
      <c r="C105" s="1040"/>
      <c r="D105" s="118"/>
      <c r="E105" s="119"/>
      <c r="F105" s="1041"/>
      <c r="G105" s="1042"/>
      <c r="H105" s="695">
        <f t="shared" si="17"/>
        <v>0</v>
      </c>
      <c r="I105" s="131">
        <f t="shared" si="18"/>
        <v>0</v>
      </c>
      <c r="J105" s="394"/>
      <c r="K105" s="392"/>
      <c r="L105" s="153"/>
      <c r="M105" s="392"/>
      <c r="N105" s="392"/>
      <c r="O105" s="419"/>
      <c r="P105" s="833">
        <f t="shared" si="15"/>
        <v>0</v>
      </c>
    </row>
    <row r="106" spans="1:16" ht="20.100000000000001" hidden="1" customHeight="1">
      <c r="A106" s="1039"/>
      <c r="B106" s="1040"/>
      <c r="C106" s="1040"/>
      <c r="D106" s="118"/>
      <c r="E106" s="119"/>
      <c r="F106" s="1041"/>
      <c r="G106" s="1042"/>
      <c r="H106" s="695">
        <f t="shared" si="17"/>
        <v>0</v>
      </c>
      <c r="I106" s="131">
        <f t="shared" si="18"/>
        <v>0</v>
      </c>
      <c r="J106" s="394"/>
      <c r="K106" s="392"/>
      <c r="L106" s="153"/>
      <c r="M106" s="392"/>
      <c r="N106" s="392"/>
      <c r="O106" s="419"/>
      <c r="P106" s="833">
        <f t="shared" si="15"/>
        <v>0</v>
      </c>
    </row>
    <row r="107" spans="1:16" ht="20.100000000000001" hidden="1" customHeight="1">
      <c r="A107" s="1039"/>
      <c r="B107" s="1040"/>
      <c r="C107" s="1040"/>
      <c r="D107" s="118"/>
      <c r="E107" s="119"/>
      <c r="F107" s="1041"/>
      <c r="G107" s="1042"/>
      <c r="H107" s="695">
        <f t="shared" si="17"/>
        <v>0</v>
      </c>
      <c r="I107" s="131">
        <f t="shared" si="18"/>
        <v>0</v>
      </c>
      <c r="J107" s="394"/>
      <c r="K107" s="392"/>
      <c r="L107" s="153"/>
      <c r="M107" s="392"/>
      <c r="N107" s="392"/>
      <c r="O107" s="419"/>
      <c r="P107" s="833">
        <f t="shared" si="15"/>
        <v>0</v>
      </c>
    </row>
    <row r="108" spans="1:16" ht="20.100000000000001" hidden="1" customHeight="1">
      <c r="A108" s="1039"/>
      <c r="B108" s="1040"/>
      <c r="C108" s="1040"/>
      <c r="D108" s="118"/>
      <c r="E108" s="119"/>
      <c r="F108" s="1041"/>
      <c r="G108" s="1042"/>
      <c r="H108" s="695">
        <f t="shared" si="17"/>
        <v>0</v>
      </c>
      <c r="I108" s="131">
        <f>IFERROR(H108/$H$126,0)</f>
        <v>0</v>
      </c>
      <c r="J108" s="394"/>
      <c r="K108" s="392"/>
      <c r="L108" s="153"/>
      <c r="M108" s="392"/>
      <c r="N108" s="392"/>
      <c r="O108" s="419"/>
      <c r="P108" s="833">
        <f t="shared" si="15"/>
        <v>0</v>
      </c>
    </row>
    <row r="109" spans="1:16" ht="20.100000000000001" hidden="1" customHeight="1">
      <c r="A109" s="1039"/>
      <c r="B109" s="1040"/>
      <c r="C109" s="1040"/>
      <c r="D109" s="118"/>
      <c r="E109" s="119"/>
      <c r="F109" s="1041"/>
      <c r="G109" s="1042"/>
      <c r="H109" s="695">
        <f t="shared" si="17"/>
        <v>0</v>
      </c>
      <c r="I109" s="131">
        <f t="shared" si="18"/>
        <v>0</v>
      </c>
      <c r="J109" s="394"/>
      <c r="K109" s="392"/>
      <c r="L109" s="153"/>
      <c r="M109" s="392"/>
      <c r="N109" s="392"/>
      <c r="O109" s="419"/>
      <c r="P109" s="833">
        <f t="shared" si="15"/>
        <v>0</v>
      </c>
    </row>
    <row r="110" spans="1:16" ht="20.100000000000001" hidden="1" customHeight="1">
      <c r="A110" s="1039"/>
      <c r="B110" s="1040"/>
      <c r="C110" s="1040"/>
      <c r="D110" s="118"/>
      <c r="E110" s="119"/>
      <c r="F110" s="1041"/>
      <c r="G110" s="1042"/>
      <c r="H110" s="695">
        <f t="shared" si="17"/>
        <v>0</v>
      </c>
      <c r="I110" s="131">
        <f t="shared" si="18"/>
        <v>0</v>
      </c>
      <c r="J110" s="394"/>
      <c r="K110" s="392"/>
      <c r="L110" s="153"/>
      <c r="M110" s="392"/>
      <c r="N110" s="392"/>
      <c r="O110" s="419"/>
      <c r="P110" s="833">
        <f t="shared" si="15"/>
        <v>0</v>
      </c>
    </row>
    <row r="111" spans="1:16" ht="20.100000000000001" hidden="1" customHeight="1">
      <c r="A111" s="1039"/>
      <c r="B111" s="1040"/>
      <c r="C111" s="1040"/>
      <c r="D111" s="118"/>
      <c r="E111" s="119"/>
      <c r="F111" s="1041"/>
      <c r="G111" s="1042"/>
      <c r="H111" s="120">
        <f t="shared" ref="H111" si="19">+F111*E111</f>
        <v>0</v>
      </c>
      <c r="I111" s="131">
        <f t="shared" si="16"/>
        <v>0</v>
      </c>
      <c r="J111" s="394"/>
      <c r="K111" s="392"/>
      <c r="L111" s="392"/>
      <c r="M111" s="392"/>
      <c r="N111" s="392"/>
      <c r="O111" s="419"/>
      <c r="P111" s="833">
        <f t="shared" si="15"/>
        <v>0</v>
      </c>
    </row>
    <row r="112" spans="1:16" ht="20.100000000000001" hidden="1" customHeight="1">
      <c r="A112" s="1039"/>
      <c r="B112" s="1040"/>
      <c r="C112" s="1040"/>
      <c r="D112" s="118"/>
      <c r="E112" s="119"/>
      <c r="F112" s="1041"/>
      <c r="G112" s="1042"/>
      <c r="H112" s="120">
        <f t="shared" ref="H112:H125" si="20">+F112*E112</f>
        <v>0</v>
      </c>
      <c r="I112" s="131">
        <f t="shared" si="16"/>
        <v>0</v>
      </c>
      <c r="J112" s="394"/>
      <c r="K112" s="392"/>
      <c r="L112" s="392"/>
      <c r="M112" s="392"/>
      <c r="N112" s="392"/>
      <c r="O112" s="419"/>
      <c r="P112" s="833">
        <f t="shared" si="15"/>
        <v>0</v>
      </c>
    </row>
    <row r="113" spans="1:16" ht="20.100000000000001" hidden="1" customHeight="1">
      <c r="A113" s="1039"/>
      <c r="B113" s="1040"/>
      <c r="C113" s="1040"/>
      <c r="D113" s="118"/>
      <c r="E113" s="119"/>
      <c r="F113" s="1041"/>
      <c r="G113" s="1042"/>
      <c r="H113" s="120">
        <f t="shared" si="20"/>
        <v>0</v>
      </c>
      <c r="I113" s="131">
        <f t="shared" si="16"/>
        <v>0</v>
      </c>
      <c r="J113" s="394"/>
      <c r="K113" s="392"/>
      <c r="L113" s="392"/>
      <c r="M113" s="392"/>
      <c r="N113" s="392"/>
      <c r="O113" s="419"/>
      <c r="P113" s="833">
        <f t="shared" si="15"/>
        <v>0</v>
      </c>
    </row>
    <row r="114" spans="1:16" ht="20.100000000000001" hidden="1" customHeight="1">
      <c r="A114" s="1039"/>
      <c r="B114" s="1040"/>
      <c r="C114" s="1040"/>
      <c r="D114" s="118"/>
      <c r="E114" s="119"/>
      <c r="F114" s="1041"/>
      <c r="G114" s="1042"/>
      <c r="H114" s="120">
        <f t="shared" si="20"/>
        <v>0</v>
      </c>
      <c r="I114" s="131">
        <f t="shared" si="16"/>
        <v>0</v>
      </c>
      <c r="J114" s="394"/>
      <c r="K114" s="392"/>
      <c r="L114" s="392"/>
      <c r="M114" s="392"/>
      <c r="N114" s="392"/>
      <c r="O114" s="419"/>
      <c r="P114" s="833">
        <f t="shared" si="15"/>
        <v>0</v>
      </c>
    </row>
    <row r="115" spans="1:16" ht="20.100000000000001" hidden="1" customHeight="1">
      <c r="A115" s="1039"/>
      <c r="B115" s="1040"/>
      <c r="C115" s="1040"/>
      <c r="D115" s="118"/>
      <c r="E115" s="119"/>
      <c r="F115" s="1041"/>
      <c r="G115" s="1042"/>
      <c r="H115" s="120">
        <f t="shared" si="20"/>
        <v>0</v>
      </c>
      <c r="I115" s="131">
        <f t="shared" si="16"/>
        <v>0</v>
      </c>
      <c r="J115" s="394"/>
      <c r="K115" s="392"/>
      <c r="L115" s="392"/>
      <c r="M115" s="392"/>
      <c r="N115" s="392"/>
      <c r="O115" s="419"/>
      <c r="P115" s="833">
        <f t="shared" si="15"/>
        <v>0</v>
      </c>
    </row>
    <row r="116" spans="1:16" ht="20.100000000000001" hidden="1" customHeight="1">
      <c r="A116" s="1039"/>
      <c r="B116" s="1040"/>
      <c r="C116" s="1040"/>
      <c r="D116" s="118"/>
      <c r="E116" s="119"/>
      <c r="F116" s="1041"/>
      <c r="G116" s="1042"/>
      <c r="H116" s="120">
        <f t="shared" si="20"/>
        <v>0</v>
      </c>
      <c r="I116" s="131">
        <f t="shared" si="16"/>
        <v>0</v>
      </c>
      <c r="J116" s="394"/>
      <c r="K116" s="392"/>
      <c r="L116" s="392"/>
      <c r="M116" s="392"/>
      <c r="N116" s="392"/>
      <c r="O116" s="419"/>
      <c r="P116" s="833">
        <f t="shared" si="15"/>
        <v>0</v>
      </c>
    </row>
    <row r="117" spans="1:16" ht="20.100000000000001" hidden="1" customHeight="1">
      <c r="A117" s="1039"/>
      <c r="B117" s="1040"/>
      <c r="C117" s="1040"/>
      <c r="D117" s="118"/>
      <c r="E117" s="119"/>
      <c r="F117" s="1041"/>
      <c r="G117" s="1042"/>
      <c r="H117" s="120">
        <f t="shared" si="20"/>
        <v>0</v>
      </c>
      <c r="I117" s="131">
        <f t="shared" si="16"/>
        <v>0</v>
      </c>
      <c r="J117" s="394"/>
      <c r="K117" s="392"/>
      <c r="L117" s="392"/>
      <c r="M117" s="392"/>
      <c r="N117" s="392"/>
      <c r="O117" s="419"/>
      <c r="P117" s="833">
        <f t="shared" si="15"/>
        <v>0</v>
      </c>
    </row>
    <row r="118" spans="1:16" ht="20.100000000000001" hidden="1" customHeight="1">
      <c r="A118" s="1039"/>
      <c r="B118" s="1040"/>
      <c r="C118" s="1040"/>
      <c r="D118" s="118"/>
      <c r="E118" s="119"/>
      <c r="F118" s="1041"/>
      <c r="G118" s="1042"/>
      <c r="H118" s="120">
        <f t="shared" si="20"/>
        <v>0</v>
      </c>
      <c r="I118" s="131">
        <f t="shared" si="16"/>
        <v>0</v>
      </c>
      <c r="J118" s="394"/>
      <c r="K118" s="392"/>
      <c r="L118" s="392"/>
      <c r="M118" s="392"/>
      <c r="N118" s="392"/>
      <c r="O118" s="419"/>
      <c r="P118" s="833">
        <f t="shared" si="15"/>
        <v>0</v>
      </c>
    </row>
    <row r="119" spans="1:16" ht="20.100000000000001" hidden="1" customHeight="1">
      <c r="A119" s="1039"/>
      <c r="B119" s="1040"/>
      <c r="C119" s="1040"/>
      <c r="D119" s="118"/>
      <c r="E119" s="119"/>
      <c r="F119" s="1041"/>
      <c r="G119" s="1042"/>
      <c r="H119" s="120">
        <f t="shared" si="20"/>
        <v>0</v>
      </c>
      <c r="I119" s="131">
        <f t="shared" si="16"/>
        <v>0</v>
      </c>
      <c r="J119" s="394"/>
      <c r="K119" s="392"/>
      <c r="L119" s="392"/>
      <c r="M119" s="392"/>
      <c r="N119" s="392"/>
      <c r="O119" s="419"/>
      <c r="P119" s="833">
        <f t="shared" si="15"/>
        <v>0</v>
      </c>
    </row>
    <row r="120" spans="1:16" ht="20.100000000000001" hidden="1" customHeight="1">
      <c r="A120" s="1039"/>
      <c r="B120" s="1040"/>
      <c r="C120" s="1040"/>
      <c r="D120" s="118"/>
      <c r="E120" s="119"/>
      <c r="F120" s="1041"/>
      <c r="G120" s="1042"/>
      <c r="H120" s="120">
        <f t="shared" si="20"/>
        <v>0</v>
      </c>
      <c r="I120" s="131">
        <f t="shared" si="16"/>
        <v>0</v>
      </c>
      <c r="J120" s="394"/>
      <c r="K120" s="392"/>
      <c r="L120" s="392"/>
      <c r="M120" s="392"/>
      <c r="N120" s="392"/>
      <c r="O120" s="419"/>
      <c r="P120" s="833">
        <f t="shared" si="15"/>
        <v>0</v>
      </c>
    </row>
    <row r="121" spans="1:16" ht="20.100000000000001" hidden="1" customHeight="1">
      <c r="A121" s="1039"/>
      <c r="B121" s="1040"/>
      <c r="C121" s="1040"/>
      <c r="D121" s="118"/>
      <c r="E121" s="119"/>
      <c r="F121" s="1041"/>
      <c r="G121" s="1042"/>
      <c r="H121" s="120">
        <f t="shared" si="20"/>
        <v>0</v>
      </c>
      <c r="I121" s="131">
        <f t="shared" si="16"/>
        <v>0</v>
      </c>
      <c r="J121" s="394"/>
      <c r="K121" s="392"/>
      <c r="L121" s="392"/>
      <c r="M121" s="392"/>
      <c r="N121" s="392"/>
      <c r="O121" s="419"/>
      <c r="P121" s="833">
        <f t="shared" si="15"/>
        <v>0</v>
      </c>
    </row>
    <row r="122" spans="1:16" ht="20.100000000000001" hidden="1" customHeight="1">
      <c r="A122" s="1039"/>
      <c r="B122" s="1040"/>
      <c r="C122" s="1040"/>
      <c r="D122" s="118"/>
      <c r="E122" s="119"/>
      <c r="F122" s="1041"/>
      <c r="G122" s="1042"/>
      <c r="H122" s="120">
        <f t="shared" si="20"/>
        <v>0</v>
      </c>
      <c r="I122" s="131">
        <f t="shared" si="16"/>
        <v>0</v>
      </c>
      <c r="J122" s="394"/>
      <c r="K122" s="392"/>
      <c r="L122" s="392"/>
      <c r="M122" s="392"/>
      <c r="N122" s="392"/>
      <c r="O122" s="419"/>
      <c r="P122" s="833">
        <f t="shared" si="15"/>
        <v>0</v>
      </c>
    </row>
    <row r="123" spans="1:16" ht="20.100000000000001" hidden="1" customHeight="1">
      <c r="A123" s="1039"/>
      <c r="B123" s="1040"/>
      <c r="C123" s="1040"/>
      <c r="D123" s="118"/>
      <c r="E123" s="119"/>
      <c r="F123" s="1041"/>
      <c r="G123" s="1042"/>
      <c r="H123" s="120">
        <f t="shared" si="20"/>
        <v>0</v>
      </c>
      <c r="I123" s="131">
        <f t="shared" si="16"/>
        <v>0</v>
      </c>
      <c r="J123" s="394"/>
      <c r="K123" s="392"/>
      <c r="L123" s="392"/>
      <c r="M123" s="392"/>
      <c r="N123" s="392"/>
      <c r="O123" s="419"/>
      <c r="P123" s="833">
        <f t="shared" si="15"/>
        <v>0</v>
      </c>
    </row>
    <row r="124" spans="1:16" ht="20.100000000000001" hidden="1" customHeight="1">
      <c r="A124" s="1039"/>
      <c r="B124" s="1040"/>
      <c r="C124" s="1040"/>
      <c r="D124" s="118"/>
      <c r="E124" s="119"/>
      <c r="F124" s="1041"/>
      <c r="G124" s="1042"/>
      <c r="H124" s="120">
        <f t="shared" si="20"/>
        <v>0</v>
      </c>
      <c r="I124" s="131">
        <f t="shared" si="16"/>
        <v>0</v>
      </c>
      <c r="J124" s="394"/>
      <c r="K124" s="392"/>
      <c r="L124" s="392"/>
      <c r="M124" s="392"/>
      <c r="N124" s="392"/>
      <c r="O124" s="419"/>
      <c r="P124" s="833">
        <f t="shared" si="15"/>
        <v>0</v>
      </c>
    </row>
    <row r="125" spans="1:16" ht="20.100000000000001" hidden="1" customHeight="1">
      <c r="A125" s="1039"/>
      <c r="B125" s="1040"/>
      <c r="C125" s="1040"/>
      <c r="D125" s="118"/>
      <c r="E125" s="119"/>
      <c r="F125" s="1041"/>
      <c r="G125" s="1042"/>
      <c r="H125" s="120">
        <f t="shared" si="20"/>
        <v>0</v>
      </c>
      <c r="I125" s="131">
        <f t="shared" si="16"/>
        <v>0</v>
      </c>
      <c r="J125" s="394"/>
      <c r="K125" s="392"/>
      <c r="L125" s="392"/>
      <c r="M125" s="392"/>
      <c r="N125" s="392"/>
      <c r="O125" s="419"/>
      <c r="P125" s="833">
        <f t="shared" si="15"/>
        <v>0</v>
      </c>
    </row>
    <row r="126" spans="1:16" ht="20.100000000000001" customHeight="1" thickBot="1">
      <c r="A126" s="1045" t="s">
        <v>407</v>
      </c>
      <c r="B126" s="1046"/>
      <c r="C126" s="1046"/>
      <c r="D126" s="1046"/>
      <c r="E126" s="1046"/>
      <c r="F126" s="1046"/>
      <c r="G126" s="1047"/>
      <c r="H126" s="121">
        <f>SUM(H84:H125)</f>
        <v>78324400.400000006</v>
      </c>
      <c r="I126" s="129">
        <f>SUM(I84:I125)</f>
        <v>1</v>
      </c>
      <c r="J126" s="395"/>
      <c r="K126" s="396"/>
      <c r="L126" s="396"/>
      <c r="M126" s="396"/>
      <c r="N126" s="396"/>
      <c r="O126" s="423"/>
      <c r="P126" s="134"/>
    </row>
    <row r="127" spans="1:16" ht="20.100000000000001" customHeight="1">
      <c r="A127" s="114"/>
      <c r="B127" s="114"/>
      <c r="C127" s="114"/>
      <c r="D127" s="114"/>
      <c r="E127" s="114"/>
      <c r="F127" s="114"/>
      <c r="G127" s="114"/>
      <c r="H127" s="146"/>
      <c r="I127" s="836"/>
      <c r="J127" s="837">
        <f>SUM(J10:J126)</f>
        <v>0</v>
      </c>
      <c r="K127" s="837">
        <f t="shared" ref="K127:O127" si="21">SUM(K10:K126)</f>
        <v>0</v>
      </c>
      <c r="L127" s="837">
        <f t="shared" si="21"/>
        <v>0</v>
      </c>
      <c r="M127" s="837">
        <f t="shared" si="21"/>
        <v>0</v>
      </c>
      <c r="N127" s="837">
        <f t="shared" si="21"/>
        <v>0</v>
      </c>
      <c r="O127" s="837">
        <f t="shared" si="21"/>
        <v>0</v>
      </c>
      <c r="P127" s="134"/>
    </row>
    <row r="128" spans="1:16" ht="20.100000000000001" customHeight="1" thickBot="1">
      <c r="A128" s="114"/>
      <c r="B128" s="114"/>
      <c r="C128" s="114"/>
      <c r="D128" s="115"/>
      <c r="E128" s="115"/>
      <c r="F128" s="115"/>
      <c r="G128" s="115"/>
      <c r="H128" s="122"/>
      <c r="I128" s="123"/>
      <c r="P128" s="134"/>
    </row>
    <row r="129" spans="1:16" ht="20.100000000000001" customHeight="1">
      <c r="A129" s="1043" t="s">
        <v>408</v>
      </c>
      <c r="B129" s="1044"/>
      <c r="C129" s="1044"/>
      <c r="D129" s="1044"/>
      <c r="E129" s="1044"/>
      <c r="F129" s="1044"/>
      <c r="G129" s="1044"/>
      <c r="H129" s="699">
        <f>H80+H126</f>
        <v>78324400.400000006</v>
      </c>
      <c r="P129" s="134"/>
    </row>
    <row r="130" spans="1:16" ht="20.100000000000001" customHeight="1">
      <c r="A130" s="1058" t="s">
        <v>409</v>
      </c>
      <c r="B130" s="1059"/>
      <c r="C130" s="1059"/>
      <c r="D130" s="1059"/>
      <c r="E130" s="1059"/>
      <c r="F130" s="1059"/>
      <c r="G130" s="702">
        <v>0</v>
      </c>
      <c r="H130" s="700">
        <f>H129*G130</f>
        <v>0</v>
      </c>
      <c r="I130" s="408" t="s">
        <v>410</v>
      </c>
      <c r="P130" s="134"/>
    </row>
    <row r="131" spans="1:16" ht="20.100000000000001" customHeight="1">
      <c r="A131" s="1058" t="s">
        <v>411</v>
      </c>
      <c r="B131" s="1059"/>
      <c r="C131" s="1059"/>
      <c r="D131" s="1059"/>
      <c r="E131" s="1059"/>
      <c r="F131" s="1059"/>
      <c r="G131" s="703">
        <v>0</v>
      </c>
      <c r="H131" s="700">
        <f>G131*H130</f>
        <v>0</v>
      </c>
      <c r="P131" s="134"/>
    </row>
    <row r="132" spans="1:16" ht="20.100000000000001" customHeight="1">
      <c r="A132" s="1058" t="s">
        <v>412</v>
      </c>
      <c r="B132" s="1059"/>
      <c r="C132" s="1059"/>
      <c r="D132" s="1059"/>
      <c r="E132" s="1059"/>
      <c r="F132" s="1059"/>
      <c r="G132" s="703">
        <v>0.19</v>
      </c>
      <c r="H132" s="700">
        <f>(H129+H130+H131)*G132</f>
        <v>14881636.076000001</v>
      </c>
      <c r="I132" s="408" t="s">
        <v>413</v>
      </c>
      <c r="P132" s="134"/>
    </row>
    <row r="133" spans="1:16" ht="20.100000000000001" customHeight="1" thickBot="1">
      <c r="A133" s="1045" t="s">
        <v>414</v>
      </c>
      <c r="B133" s="1046"/>
      <c r="C133" s="1046"/>
      <c r="D133" s="1046"/>
      <c r="E133" s="1046"/>
      <c r="F133" s="1046"/>
      <c r="G133" s="1047"/>
      <c r="H133" s="701">
        <f>SUM(H129:H132)</f>
        <v>93206036.476000011</v>
      </c>
      <c r="P133" s="134"/>
    </row>
    <row r="134" spans="1:16" ht="20.100000000000001" customHeight="1" thickBot="1">
      <c r="A134" s="114"/>
      <c r="B134" s="126"/>
      <c r="C134" s="126"/>
      <c r="D134" s="126"/>
      <c r="E134" s="126"/>
      <c r="F134" s="126"/>
      <c r="G134" s="126"/>
      <c r="H134" s="122"/>
      <c r="P134" s="134"/>
    </row>
    <row r="135" spans="1:16" ht="20.100000000000001" customHeight="1" thickBot="1">
      <c r="A135" s="1055" t="s">
        <v>415</v>
      </c>
      <c r="B135" s="1056"/>
      <c r="C135" s="1056"/>
      <c r="D135" s="1056"/>
      <c r="E135" s="1056"/>
      <c r="F135" s="1057"/>
      <c r="G135" s="126"/>
      <c r="H135" s="122"/>
      <c r="P135" s="134"/>
    </row>
    <row r="136" spans="1:16" ht="29.25" customHeight="1">
      <c r="A136" s="1060" t="s">
        <v>391</v>
      </c>
      <c r="B136" s="1061"/>
      <c r="C136" s="1061"/>
      <c r="D136" s="638" t="s">
        <v>397</v>
      </c>
      <c r="E136" s="402" t="s">
        <v>416</v>
      </c>
      <c r="F136" s="403" t="s">
        <v>417</v>
      </c>
      <c r="G136" s="126"/>
      <c r="H136" s="122"/>
    </row>
    <row r="137" spans="1:16" ht="28.5" customHeight="1">
      <c r="A137" s="1062" t="str">
        <f>A80</f>
        <v>SUBTOTAL PERSONAL (Mano de Obra Calificada + Mano de Obra no Calificada)</v>
      </c>
      <c r="B137" s="1063"/>
      <c r="C137" s="1063"/>
      <c r="D137" s="111">
        <f>H80</f>
        <v>0</v>
      </c>
      <c r="E137" s="704">
        <f>IFERROR(D137/$H$129,0)</f>
        <v>0</v>
      </c>
      <c r="F137" s="705">
        <f>IFERROR(D137/$H$133,0)</f>
        <v>0</v>
      </c>
      <c r="G137" s="126"/>
      <c r="H137" s="122"/>
    </row>
    <row r="138" spans="1:16" ht="20.100000000000001" customHeight="1">
      <c r="A138" s="1051" t="str">
        <f>A82</f>
        <v>COSTOS (Diferentes a los costos del personal)</v>
      </c>
      <c r="B138" s="1052"/>
      <c r="C138" s="1052"/>
      <c r="D138" s="111">
        <f>H126</f>
        <v>78324400.400000006</v>
      </c>
      <c r="E138" s="704">
        <f>IFERROR(D138/$H$129,0)</f>
        <v>1</v>
      </c>
      <c r="F138" s="705">
        <f t="shared" ref="F138:F141" si="22">IFERROR(D138/$H$133,0)</f>
        <v>0.84033613445378152</v>
      </c>
      <c r="G138" s="126"/>
      <c r="H138" s="122"/>
    </row>
    <row r="139" spans="1:16" ht="20.100000000000001" customHeight="1">
      <c r="A139" s="1051" t="str">
        <f>A130</f>
        <v>Administración</v>
      </c>
      <c r="B139" s="1052"/>
      <c r="C139" s="1052"/>
      <c r="D139" s="706">
        <f>H130</f>
        <v>0</v>
      </c>
      <c r="E139" s="707" t="s">
        <v>418</v>
      </c>
      <c r="F139" s="705">
        <f t="shared" si="22"/>
        <v>0</v>
      </c>
    </row>
    <row r="140" spans="1:16" ht="20.100000000000001" customHeight="1">
      <c r="A140" s="1051" t="str">
        <f>A131</f>
        <v>Utilidad</v>
      </c>
      <c r="B140" s="1052"/>
      <c r="C140" s="1052"/>
      <c r="D140" s="691">
        <f>H131</f>
        <v>0</v>
      </c>
      <c r="E140" s="707" t="s">
        <v>418</v>
      </c>
      <c r="F140" s="705">
        <f t="shared" si="22"/>
        <v>0</v>
      </c>
    </row>
    <row r="141" spans="1:16" ht="20.100000000000001" customHeight="1" thickBot="1">
      <c r="A141" s="1053" t="str">
        <f>A132</f>
        <v>IVA</v>
      </c>
      <c r="B141" s="1054"/>
      <c r="C141" s="1054"/>
      <c r="D141" s="708">
        <f>H132</f>
        <v>14881636.076000001</v>
      </c>
      <c r="E141" s="709" t="s">
        <v>418</v>
      </c>
      <c r="F141" s="710">
        <f t="shared" si="22"/>
        <v>0.15966386554621848</v>
      </c>
    </row>
    <row r="142" spans="1:16" ht="20.100000000000001" customHeight="1">
      <c r="E142" s="127">
        <f>SUM(E137:E138)</f>
        <v>1</v>
      </c>
      <c r="F142" s="127">
        <f>SUM(F137:F141)</f>
        <v>1</v>
      </c>
    </row>
    <row r="143" spans="1:16" ht="20.100000000000001" customHeight="1" thickBot="1">
      <c r="E143" s="127"/>
      <c r="F143" s="127"/>
    </row>
    <row r="144" spans="1:16" ht="20.100000000000001" customHeight="1" thickBot="1">
      <c r="A144" s="1048" t="s">
        <v>419</v>
      </c>
      <c r="B144" s="1049"/>
      <c r="C144" s="1049"/>
      <c r="D144" s="1049"/>
      <c r="E144" s="1049"/>
      <c r="F144" s="1049"/>
      <c r="G144" s="1050"/>
    </row>
    <row r="145" spans="1:7" ht="63" customHeight="1">
      <c r="A145" s="637" t="s">
        <v>420</v>
      </c>
      <c r="B145" s="638" t="s">
        <v>421</v>
      </c>
      <c r="C145" s="638" t="s">
        <v>422</v>
      </c>
      <c r="D145" s="638" t="s">
        <v>423</v>
      </c>
      <c r="E145" s="638" t="s">
        <v>424</v>
      </c>
      <c r="F145" s="638" t="s">
        <v>425</v>
      </c>
      <c r="G145" s="401" t="s">
        <v>417</v>
      </c>
    </row>
    <row r="146" spans="1:7" ht="20.100000000000001" customHeight="1">
      <c r="A146" s="394" t="str">
        <f>+A84</f>
        <v>Licenciamiento y actualización del Geoportal.</v>
      </c>
      <c r="B146" s="153">
        <f>+H84</f>
        <v>10204400</v>
      </c>
      <c r="C146" s="153"/>
      <c r="D146" s="153">
        <f>+B146*0.19</f>
        <v>1938836</v>
      </c>
      <c r="E146" s="153">
        <f>SUM(B146:D146)</f>
        <v>12143236</v>
      </c>
      <c r="F146" s="392"/>
      <c r="G146" s="697">
        <f>IFERROR(E146/$H$133,0)</f>
        <v>0.13028379340137278</v>
      </c>
    </row>
    <row r="147" spans="1:7" ht="20.100000000000001" customHeight="1">
      <c r="A147" s="394" t="s">
        <v>186</v>
      </c>
      <c r="B147" s="153">
        <f t="shared" ref="B147:B148" si="23">+H85</f>
        <v>68120000.400000006</v>
      </c>
      <c r="C147" s="153"/>
      <c r="D147" s="153">
        <f t="shared" ref="D147:D148" si="24">+B147*0.19</f>
        <v>12942800.076000001</v>
      </c>
      <c r="E147" s="153">
        <f t="shared" ref="E147:E164" si="25">SUM(B147:D147)</f>
        <v>81062800.476000011</v>
      </c>
      <c r="F147" s="392"/>
      <c r="G147" s="697">
        <f t="shared" ref="G147:G165" si="26">IFERROR(E147/$H$133,0)</f>
        <v>0.86971620659862725</v>
      </c>
    </row>
    <row r="148" spans="1:7" ht="20.100000000000001" customHeight="1">
      <c r="A148" s="394">
        <f t="shared" ref="A148" si="27">+A86</f>
        <v>0</v>
      </c>
      <c r="B148" s="153">
        <f t="shared" si="23"/>
        <v>0</v>
      </c>
      <c r="C148" s="153"/>
      <c r="D148" s="153">
        <f t="shared" si="24"/>
        <v>0</v>
      </c>
      <c r="E148" s="153">
        <f t="shared" si="25"/>
        <v>0</v>
      </c>
      <c r="F148" s="392"/>
      <c r="G148" s="697">
        <f t="shared" si="26"/>
        <v>0</v>
      </c>
    </row>
    <row r="149" spans="1:7" ht="20.100000000000001" customHeight="1">
      <c r="A149" s="394"/>
      <c r="B149" s="153"/>
      <c r="C149" s="153"/>
      <c r="D149" s="153"/>
      <c r="E149" s="153">
        <f t="shared" si="25"/>
        <v>0</v>
      </c>
      <c r="F149" s="392"/>
      <c r="G149" s="697">
        <f t="shared" si="26"/>
        <v>0</v>
      </c>
    </row>
    <row r="150" spans="1:7" ht="20.100000000000001" customHeight="1">
      <c r="A150" s="394"/>
      <c r="B150" s="153"/>
      <c r="C150" s="153"/>
      <c r="D150" s="153"/>
      <c r="E150" s="153">
        <f t="shared" ref="E150:E159" si="28">SUM(B150:D150)</f>
        <v>0</v>
      </c>
      <c r="F150" s="392"/>
      <c r="G150" s="697">
        <f t="shared" ref="G150:G159" si="29">IFERROR(E150/$H$133,0)</f>
        <v>0</v>
      </c>
    </row>
    <row r="151" spans="1:7" ht="20.100000000000001" customHeight="1">
      <c r="A151" s="394"/>
      <c r="B151" s="153"/>
      <c r="C151" s="153"/>
      <c r="D151" s="153"/>
      <c r="E151" s="153">
        <f t="shared" si="28"/>
        <v>0</v>
      </c>
      <c r="F151" s="392"/>
      <c r="G151" s="697">
        <f t="shared" si="29"/>
        <v>0</v>
      </c>
    </row>
    <row r="152" spans="1:7" ht="20.100000000000001" customHeight="1">
      <c r="A152" s="394"/>
      <c r="B152" s="153"/>
      <c r="C152" s="153"/>
      <c r="D152" s="153"/>
      <c r="E152" s="153">
        <f t="shared" si="28"/>
        <v>0</v>
      </c>
      <c r="F152" s="392"/>
      <c r="G152" s="697">
        <f t="shared" si="29"/>
        <v>0</v>
      </c>
    </row>
    <row r="153" spans="1:7" ht="20.100000000000001" customHeight="1">
      <c r="A153" s="394"/>
      <c r="B153" s="153"/>
      <c r="C153" s="153"/>
      <c r="D153" s="153"/>
      <c r="E153" s="153">
        <f t="shared" si="28"/>
        <v>0</v>
      </c>
      <c r="F153" s="392"/>
      <c r="G153" s="697">
        <f t="shared" si="29"/>
        <v>0</v>
      </c>
    </row>
    <row r="154" spans="1:7" ht="20.100000000000001" customHeight="1">
      <c r="A154" s="394"/>
      <c r="B154" s="153"/>
      <c r="C154" s="153"/>
      <c r="D154" s="153"/>
      <c r="E154" s="153">
        <f t="shared" si="28"/>
        <v>0</v>
      </c>
      <c r="F154" s="392"/>
      <c r="G154" s="697">
        <f t="shared" si="29"/>
        <v>0</v>
      </c>
    </row>
    <row r="155" spans="1:7" ht="20.100000000000001" hidden="1" customHeight="1">
      <c r="A155" s="394"/>
      <c r="B155" s="153"/>
      <c r="C155" s="153"/>
      <c r="D155" s="153"/>
      <c r="E155" s="153">
        <f t="shared" si="28"/>
        <v>0</v>
      </c>
      <c r="F155" s="392"/>
      <c r="G155" s="697">
        <f t="shared" si="29"/>
        <v>0</v>
      </c>
    </row>
    <row r="156" spans="1:7" ht="20.100000000000001" hidden="1" customHeight="1">
      <c r="A156" s="394"/>
      <c r="B156" s="153"/>
      <c r="C156" s="153"/>
      <c r="D156" s="153"/>
      <c r="E156" s="153">
        <f t="shared" si="28"/>
        <v>0</v>
      </c>
      <c r="F156" s="392"/>
      <c r="G156" s="697">
        <f t="shared" si="29"/>
        <v>0</v>
      </c>
    </row>
    <row r="157" spans="1:7" ht="20.100000000000001" hidden="1" customHeight="1">
      <c r="A157" s="394"/>
      <c r="B157" s="153"/>
      <c r="C157" s="153"/>
      <c r="D157" s="153"/>
      <c r="E157" s="153">
        <f t="shared" si="28"/>
        <v>0</v>
      </c>
      <c r="F157" s="392"/>
      <c r="G157" s="697">
        <f>IFERROR(E157/$H$133,0)</f>
        <v>0</v>
      </c>
    </row>
    <row r="158" spans="1:7" ht="20.100000000000001" hidden="1" customHeight="1">
      <c r="A158" s="394"/>
      <c r="B158" s="153"/>
      <c r="C158" s="153"/>
      <c r="D158" s="153"/>
      <c r="E158" s="153">
        <f t="shared" ref="E158" si="30">SUM(B158:D158)</f>
        <v>0</v>
      </c>
      <c r="F158" s="392"/>
      <c r="G158" s="697">
        <f>IFERROR(E158/$H$133,0)</f>
        <v>0</v>
      </c>
    </row>
    <row r="159" spans="1:7" ht="20.100000000000001" hidden="1" customHeight="1">
      <c r="A159" s="394"/>
      <c r="B159" s="153"/>
      <c r="C159" s="153"/>
      <c r="D159" s="153"/>
      <c r="E159" s="153">
        <f t="shared" si="28"/>
        <v>0</v>
      </c>
      <c r="F159" s="392"/>
      <c r="G159" s="697">
        <f t="shared" si="29"/>
        <v>0</v>
      </c>
    </row>
    <row r="160" spans="1:7" ht="20.100000000000001" hidden="1" customHeight="1">
      <c r="A160" s="394"/>
      <c r="B160" s="153"/>
      <c r="C160" s="153"/>
      <c r="D160" s="153"/>
      <c r="E160" s="153">
        <f t="shared" si="25"/>
        <v>0</v>
      </c>
      <c r="F160" s="392"/>
      <c r="G160" s="697">
        <f t="shared" si="26"/>
        <v>0</v>
      </c>
    </row>
    <row r="161" spans="1:7" ht="20.100000000000001" hidden="1" customHeight="1">
      <c r="A161" s="394"/>
      <c r="B161" s="153"/>
      <c r="C161" s="153"/>
      <c r="D161" s="153"/>
      <c r="E161" s="153">
        <f t="shared" si="25"/>
        <v>0</v>
      </c>
      <c r="F161" s="392"/>
      <c r="G161" s="697">
        <f t="shared" si="26"/>
        <v>0</v>
      </c>
    </row>
    <row r="162" spans="1:7" ht="20.100000000000001" hidden="1" customHeight="1">
      <c r="A162" s="394"/>
      <c r="B162" s="153"/>
      <c r="C162" s="153"/>
      <c r="D162" s="153"/>
      <c r="E162" s="153">
        <f t="shared" si="25"/>
        <v>0</v>
      </c>
      <c r="F162" s="392"/>
      <c r="G162" s="697">
        <f t="shared" si="26"/>
        <v>0</v>
      </c>
    </row>
    <row r="163" spans="1:7" ht="20.100000000000001" hidden="1" customHeight="1">
      <c r="A163" s="394"/>
      <c r="B163" s="153"/>
      <c r="C163" s="153"/>
      <c r="D163" s="153"/>
      <c r="E163" s="153">
        <f t="shared" si="25"/>
        <v>0</v>
      </c>
      <c r="F163" s="392"/>
      <c r="G163" s="697">
        <f t="shared" si="26"/>
        <v>0</v>
      </c>
    </row>
    <row r="164" spans="1:7" ht="20.100000000000001" hidden="1" customHeight="1">
      <c r="A164" s="394"/>
      <c r="B164" s="153"/>
      <c r="C164" s="153"/>
      <c r="D164" s="153"/>
      <c r="E164" s="153">
        <f t="shared" si="25"/>
        <v>0</v>
      </c>
      <c r="F164" s="392"/>
      <c r="G164" s="697">
        <f t="shared" si="26"/>
        <v>0</v>
      </c>
    </row>
    <row r="165" spans="1:7" ht="20.100000000000001" customHeight="1" thickBot="1">
      <c r="A165" s="395"/>
      <c r="B165" s="397"/>
      <c r="C165" s="397"/>
      <c r="D165" s="397"/>
      <c r="E165" s="397">
        <f t="shared" ref="E165" si="31">SUM(B165:D165)</f>
        <v>0</v>
      </c>
      <c r="F165" s="396"/>
      <c r="G165" s="698">
        <f t="shared" si="26"/>
        <v>0</v>
      </c>
    </row>
    <row r="166" spans="1:7" ht="20.100000000000001" customHeight="1">
      <c r="B166" s="834">
        <f>SUM(B146:B165)</f>
        <v>78324400.400000006</v>
      </c>
      <c r="C166" s="834">
        <f>SUM(C146:C165)</f>
        <v>0</v>
      </c>
      <c r="D166" s="834">
        <f>SUM(D146:D165)</f>
        <v>14881636.076000001</v>
      </c>
      <c r="E166" s="834">
        <f>SUM(E146:E165)</f>
        <v>93206036.476000011</v>
      </c>
      <c r="F166" s="393"/>
      <c r="G166" s="400">
        <f>SUM(G146:G165)</f>
        <v>1</v>
      </c>
    </row>
    <row r="167" spans="1:7" ht="20.100000000000001" customHeight="1">
      <c r="B167" s="835">
        <f>B166-H129</f>
        <v>0</v>
      </c>
      <c r="C167" s="134">
        <f>C166-(H130+H131)</f>
        <v>0</v>
      </c>
      <c r="D167" s="835">
        <f>D166-H132</f>
        <v>0</v>
      </c>
      <c r="E167" s="835">
        <f>E166-H133</f>
        <v>0</v>
      </c>
    </row>
  </sheetData>
  <sheetProtection algorithmName="SHA-512" hashValue="CSdTIIu7WsOrhGmfm1hxgtFfthdEfMXAaLQ1Ed3nY1hTXeXT+T3Ss2XHFBzv0MacyqaouTecnLe55d4gWygnrQ==" saltValue="RDLDtsPoohzIhFg64Nw4cw==" spinCount="100000" sheet="1" objects="1" scenarios="1" formatCells="0" formatColumns="0" formatRows="0" insertColumns="0" insertRows="0" insertHyperlinks="0" deleteColumns="0" deleteRows="0" sort="0" autoFilter="0" pivotTables="0"/>
  <mergeCells count="118">
    <mergeCell ref="A85:C85"/>
    <mergeCell ref="A86:C86"/>
    <mergeCell ref="F85:G85"/>
    <mergeCell ref="F86:G86"/>
    <mergeCell ref="A111:C111"/>
    <mergeCell ref="F111:G111"/>
    <mergeCell ref="F83:G83"/>
    <mergeCell ref="F84:G84"/>
    <mergeCell ref="A119:C119"/>
    <mergeCell ref="A87:C87"/>
    <mergeCell ref="F87:G87"/>
    <mergeCell ref="A88:C88"/>
    <mergeCell ref="F88:G88"/>
    <mergeCell ref="A89:C89"/>
    <mergeCell ref="F89:G89"/>
    <mergeCell ref="A90:C90"/>
    <mergeCell ref="F90:G90"/>
    <mergeCell ref="A91:C91"/>
    <mergeCell ref="F91:G91"/>
    <mergeCell ref="A92:C92"/>
    <mergeCell ref="F92:G92"/>
    <mergeCell ref="A93:C93"/>
    <mergeCell ref="F93:G93"/>
    <mergeCell ref="A94:C94"/>
    <mergeCell ref="F123:G123"/>
    <mergeCell ref="F121:G121"/>
    <mergeCell ref="A125:C125"/>
    <mergeCell ref="A124:C124"/>
    <mergeCell ref="F125:G125"/>
    <mergeCell ref="F124:G124"/>
    <mergeCell ref="F120:G120"/>
    <mergeCell ref="A120:C120"/>
    <mergeCell ref="F112:G112"/>
    <mergeCell ref="F113:G113"/>
    <mergeCell ref="F114:G114"/>
    <mergeCell ref="F115:G115"/>
    <mergeCell ref="F116:G116"/>
    <mergeCell ref="A112:C112"/>
    <mergeCell ref="A113:C113"/>
    <mergeCell ref="A114:C114"/>
    <mergeCell ref="A115:C115"/>
    <mergeCell ref="A117:C117"/>
    <mergeCell ref="A118:C118"/>
    <mergeCell ref="A116:C116"/>
    <mergeCell ref="F117:G117"/>
    <mergeCell ref="F118:G118"/>
    <mergeCell ref="F119:G119"/>
    <mergeCell ref="A79:G79"/>
    <mergeCell ref="A83:C83"/>
    <mergeCell ref="A84:C84"/>
    <mergeCell ref="A82:I82"/>
    <mergeCell ref="A1:B3"/>
    <mergeCell ref="C1:O1"/>
    <mergeCell ref="C2:O2"/>
    <mergeCell ref="C3:G3"/>
    <mergeCell ref="H3:O3"/>
    <mergeCell ref="A4:I4"/>
    <mergeCell ref="A8:I8"/>
    <mergeCell ref="A10:I10"/>
    <mergeCell ref="A53:I53"/>
    <mergeCell ref="A52:G52"/>
    <mergeCell ref="A5:B5"/>
    <mergeCell ref="A6:B6"/>
    <mergeCell ref="C5:O5"/>
    <mergeCell ref="C6:O6"/>
    <mergeCell ref="J8:O8"/>
    <mergeCell ref="A80:G80"/>
    <mergeCell ref="A144:G144"/>
    <mergeCell ref="A140:C140"/>
    <mergeCell ref="A141:C141"/>
    <mergeCell ref="A135:F135"/>
    <mergeCell ref="A130:F130"/>
    <mergeCell ref="A131:F131"/>
    <mergeCell ref="A132:F132"/>
    <mergeCell ref="A133:G133"/>
    <mergeCell ref="A139:C139"/>
    <mergeCell ref="A136:C136"/>
    <mergeCell ref="A137:C137"/>
    <mergeCell ref="A138:C138"/>
    <mergeCell ref="A129:G129"/>
    <mergeCell ref="A126:G126"/>
    <mergeCell ref="A121:C121"/>
    <mergeCell ref="A122:C122"/>
    <mergeCell ref="A123:C123"/>
    <mergeCell ref="F122:G122"/>
    <mergeCell ref="A95:C95"/>
    <mergeCell ref="F95:G95"/>
    <mergeCell ref="A96:C96"/>
    <mergeCell ref="F96:G96"/>
    <mergeCell ref="A97:C97"/>
    <mergeCell ref="F97:G97"/>
    <mergeCell ref="A110:C110"/>
    <mergeCell ref="F110:G110"/>
    <mergeCell ref="A107:C107"/>
    <mergeCell ref="F107:G107"/>
    <mergeCell ref="A108:C108"/>
    <mergeCell ref="F108:G108"/>
    <mergeCell ref="A109:C109"/>
    <mergeCell ref="F109:G109"/>
    <mergeCell ref="A104:C104"/>
    <mergeCell ref="F104:G104"/>
    <mergeCell ref="A105:C105"/>
    <mergeCell ref="F105:G105"/>
    <mergeCell ref="A106:C106"/>
    <mergeCell ref="F106:G106"/>
    <mergeCell ref="F94:G94"/>
    <mergeCell ref="A101:C101"/>
    <mergeCell ref="F101:G101"/>
    <mergeCell ref="A102:C102"/>
    <mergeCell ref="F102:G102"/>
    <mergeCell ref="A103:C103"/>
    <mergeCell ref="F103:G103"/>
    <mergeCell ref="A98:C98"/>
    <mergeCell ref="F98:G98"/>
    <mergeCell ref="A99:C99"/>
    <mergeCell ref="F99:G99"/>
    <mergeCell ref="A100:C100"/>
    <mergeCell ref="F100:G100"/>
  </mergeCells>
  <dataValidations xWindow="814" yWindow="711" count="7">
    <dataValidation allowBlank="1" showInputMessage="1" showErrorMessage="1" prompt="diligencie la dedicación del personal relacionado." sqref="WUU983143:WUU983151 II11:II51 SE11:SE51 ACA11:ACA51 ALW11:ALW51 AVS11:AVS51 BFO11:BFO51 BPK11:BPK51 BZG11:BZG51 CJC11:CJC51 CSY11:CSY51 DCU11:DCU51 DMQ11:DMQ51 DWM11:DWM51 EGI11:EGI51 EQE11:EQE51 FAA11:FAA51 FJW11:FJW51 FTS11:FTS51 GDO11:GDO51 GNK11:GNK51 GXG11:GXG51 HHC11:HHC51 HQY11:HQY51 IAU11:IAU51 IKQ11:IKQ51 IUM11:IUM51 JEI11:JEI51 JOE11:JOE51 JYA11:JYA51 KHW11:KHW51 KRS11:KRS51 LBO11:LBO51 LLK11:LLK51 LVG11:LVG51 MFC11:MFC51 MOY11:MOY51 MYU11:MYU51 NIQ11:NIQ51 NSM11:NSM51 OCI11:OCI51 OME11:OME51 OWA11:OWA51 PFW11:PFW51 PPS11:PPS51 PZO11:PZO51 QJK11:QJK51 QTG11:QTG51 RDC11:RDC51 RMY11:RMY51 RWU11:RWU51 SGQ11:SGQ51 SQM11:SQM51 TAI11:TAI51 TKE11:TKE51 TUA11:TUA51 UDW11:UDW51 UNS11:UNS51 UXO11:UXO51 VHK11:VHK51 VRG11:VRG51 WBC11:WBC51 WKY11:WKY51 WUU11:WUU51 C65628:C65636 II65628:II65636 SE65628:SE65636 ACA65628:ACA65636 ALW65628:ALW65636 AVS65628:AVS65636 BFO65628:BFO65636 BPK65628:BPK65636 BZG65628:BZG65636 CJC65628:CJC65636 CSY65628:CSY65636 DCU65628:DCU65636 DMQ65628:DMQ65636 DWM65628:DWM65636 EGI65628:EGI65636 EQE65628:EQE65636 FAA65628:FAA65636 FJW65628:FJW65636 FTS65628:FTS65636 GDO65628:GDO65636 GNK65628:GNK65636 GXG65628:GXG65636 HHC65628:HHC65636 HQY65628:HQY65636 IAU65628:IAU65636 IKQ65628:IKQ65636 IUM65628:IUM65636 JEI65628:JEI65636 JOE65628:JOE65636 JYA65628:JYA65636 KHW65628:KHW65636 KRS65628:KRS65636 LBO65628:LBO65636 LLK65628:LLK65636 LVG65628:LVG65636 MFC65628:MFC65636 MOY65628:MOY65636 MYU65628:MYU65636 NIQ65628:NIQ65636 NSM65628:NSM65636 OCI65628:OCI65636 OME65628:OME65636 OWA65628:OWA65636 PFW65628:PFW65636 PPS65628:PPS65636 PZO65628:PZO65636 QJK65628:QJK65636 QTG65628:QTG65636 RDC65628:RDC65636 RMY65628:RMY65636 RWU65628:RWU65636 SGQ65628:SGQ65636 SQM65628:SQM65636 TAI65628:TAI65636 TKE65628:TKE65636 TUA65628:TUA65636 UDW65628:UDW65636 UNS65628:UNS65636 UXO65628:UXO65636 VHK65628:VHK65636 VRG65628:VRG65636 WBC65628:WBC65636 WKY65628:WKY65636 WUU65628:WUU65636 C131164:C131172 II131164:II131172 SE131164:SE131172 ACA131164:ACA131172 ALW131164:ALW131172 AVS131164:AVS131172 BFO131164:BFO131172 BPK131164:BPK131172 BZG131164:BZG131172 CJC131164:CJC131172 CSY131164:CSY131172 DCU131164:DCU131172 DMQ131164:DMQ131172 DWM131164:DWM131172 EGI131164:EGI131172 EQE131164:EQE131172 FAA131164:FAA131172 FJW131164:FJW131172 FTS131164:FTS131172 GDO131164:GDO131172 GNK131164:GNK131172 GXG131164:GXG131172 HHC131164:HHC131172 HQY131164:HQY131172 IAU131164:IAU131172 IKQ131164:IKQ131172 IUM131164:IUM131172 JEI131164:JEI131172 JOE131164:JOE131172 JYA131164:JYA131172 KHW131164:KHW131172 KRS131164:KRS131172 LBO131164:LBO131172 LLK131164:LLK131172 LVG131164:LVG131172 MFC131164:MFC131172 MOY131164:MOY131172 MYU131164:MYU131172 NIQ131164:NIQ131172 NSM131164:NSM131172 OCI131164:OCI131172 OME131164:OME131172 OWA131164:OWA131172 PFW131164:PFW131172 PPS131164:PPS131172 PZO131164:PZO131172 QJK131164:QJK131172 QTG131164:QTG131172 RDC131164:RDC131172 RMY131164:RMY131172 RWU131164:RWU131172 SGQ131164:SGQ131172 SQM131164:SQM131172 TAI131164:TAI131172 TKE131164:TKE131172 TUA131164:TUA131172 UDW131164:UDW131172 UNS131164:UNS131172 UXO131164:UXO131172 VHK131164:VHK131172 VRG131164:VRG131172 WBC131164:WBC131172 WKY131164:WKY131172 WUU131164:WUU131172 C196700:C196708 II196700:II196708 SE196700:SE196708 ACA196700:ACA196708 ALW196700:ALW196708 AVS196700:AVS196708 BFO196700:BFO196708 BPK196700:BPK196708 BZG196700:BZG196708 CJC196700:CJC196708 CSY196700:CSY196708 DCU196700:DCU196708 DMQ196700:DMQ196708 DWM196700:DWM196708 EGI196700:EGI196708 EQE196700:EQE196708 FAA196700:FAA196708 FJW196700:FJW196708 FTS196700:FTS196708 GDO196700:GDO196708 GNK196700:GNK196708 GXG196700:GXG196708 HHC196700:HHC196708 HQY196700:HQY196708 IAU196700:IAU196708 IKQ196700:IKQ196708 IUM196700:IUM196708 JEI196700:JEI196708 JOE196700:JOE196708 JYA196700:JYA196708 KHW196700:KHW196708 KRS196700:KRS196708 LBO196700:LBO196708 LLK196700:LLK196708 LVG196700:LVG196708 MFC196700:MFC196708 MOY196700:MOY196708 MYU196700:MYU196708 NIQ196700:NIQ196708 NSM196700:NSM196708 OCI196700:OCI196708 OME196700:OME196708 OWA196700:OWA196708 PFW196700:PFW196708 PPS196700:PPS196708 PZO196700:PZO196708 QJK196700:QJK196708 QTG196700:QTG196708 RDC196700:RDC196708 RMY196700:RMY196708 RWU196700:RWU196708 SGQ196700:SGQ196708 SQM196700:SQM196708 TAI196700:TAI196708 TKE196700:TKE196708 TUA196700:TUA196708 UDW196700:UDW196708 UNS196700:UNS196708 UXO196700:UXO196708 VHK196700:VHK196708 VRG196700:VRG196708 WBC196700:WBC196708 WKY196700:WKY196708 WUU196700:WUU196708 C262236:C262244 II262236:II262244 SE262236:SE262244 ACA262236:ACA262244 ALW262236:ALW262244 AVS262236:AVS262244 BFO262236:BFO262244 BPK262236:BPK262244 BZG262236:BZG262244 CJC262236:CJC262244 CSY262236:CSY262244 DCU262236:DCU262244 DMQ262236:DMQ262244 DWM262236:DWM262244 EGI262236:EGI262244 EQE262236:EQE262244 FAA262236:FAA262244 FJW262236:FJW262244 FTS262236:FTS262244 GDO262236:GDO262244 GNK262236:GNK262244 GXG262236:GXG262244 HHC262236:HHC262244 HQY262236:HQY262244 IAU262236:IAU262244 IKQ262236:IKQ262244 IUM262236:IUM262244 JEI262236:JEI262244 JOE262236:JOE262244 JYA262236:JYA262244 KHW262236:KHW262244 KRS262236:KRS262244 LBO262236:LBO262244 LLK262236:LLK262244 LVG262236:LVG262244 MFC262236:MFC262244 MOY262236:MOY262244 MYU262236:MYU262244 NIQ262236:NIQ262244 NSM262236:NSM262244 OCI262236:OCI262244 OME262236:OME262244 OWA262236:OWA262244 PFW262236:PFW262244 PPS262236:PPS262244 PZO262236:PZO262244 QJK262236:QJK262244 QTG262236:QTG262244 RDC262236:RDC262244 RMY262236:RMY262244 RWU262236:RWU262244 SGQ262236:SGQ262244 SQM262236:SQM262244 TAI262236:TAI262244 TKE262236:TKE262244 TUA262236:TUA262244 UDW262236:UDW262244 UNS262236:UNS262244 UXO262236:UXO262244 VHK262236:VHK262244 VRG262236:VRG262244 WBC262236:WBC262244 WKY262236:WKY262244 WUU262236:WUU262244 C327772:C327780 II327772:II327780 SE327772:SE327780 ACA327772:ACA327780 ALW327772:ALW327780 AVS327772:AVS327780 BFO327772:BFO327780 BPK327772:BPK327780 BZG327772:BZG327780 CJC327772:CJC327780 CSY327772:CSY327780 DCU327772:DCU327780 DMQ327772:DMQ327780 DWM327772:DWM327780 EGI327772:EGI327780 EQE327772:EQE327780 FAA327772:FAA327780 FJW327772:FJW327780 FTS327772:FTS327780 GDO327772:GDO327780 GNK327772:GNK327780 GXG327772:GXG327780 HHC327772:HHC327780 HQY327772:HQY327780 IAU327772:IAU327780 IKQ327772:IKQ327780 IUM327772:IUM327780 JEI327772:JEI327780 JOE327772:JOE327780 JYA327772:JYA327780 KHW327772:KHW327780 KRS327772:KRS327780 LBO327772:LBO327780 LLK327772:LLK327780 LVG327772:LVG327780 MFC327772:MFC327780 MOY327772:MOY327780 MYU327772:MYU327780 NIQ327772:NIQ327780 NSM327772:NSM327780 OCI327772:OCI327780 OME327772:OME327780 OWA327772:OWA327780 PFW327772:PFW327780 PPS327772:PPS327780 PZO327772:PZO327780 QJK327772:QJK327780 QTG327772:QTG327780 RDC327772:RDC327780 RMY327772:RMY327780 RWU327772:RWU327780 SGQ327772:SGQ327780 SQM327772:SQM327780 TAI327772:TAI327780 TKE327772:TKE327780 TUA327772:TUA327780 UDW327772:UDW327780 UNS327772:UNS327780 UXO327772:UXO327780 VHK327772:VHK327780 VRG327772:VRG327780 WBC327772:WBC327780 WKY327772:WKY327780 WUU327772:WUU327780 C393308:C393316 II393308:II393316 SE393308:SE393316 ACA393308:ACA393316 ALW393308:ALW393316 AVS393308:AVS393316 BFO393308:BFO393316 BPK393308:BPK393316 BZG393308:BZG393316 CJC393308:CJC393316 CSY393308:CSY393316 DCU393308:DCU393316 DMQ393308:DMQ393316 DWM393308:DWM393316 EGI393308:EGI393316 EQE393308:EQE393316 FAA393308:FAA393316 FJW393308:FJW393316 FTS393308:FTS393316 GDO393308:GDO393316 GNK393308:GNK393316 GXG393308:GXG393316 HHC393308:HHC393316 HQY393308:HQY393316 IAU393308:IAU393316 IKQ393308:IKQ393316 IUM393308:IUM393316 JEI393308:JEI393316 JOE393308:JOE393316 JYA393308:JYA393316 KHW393308:KHW393316 KRS393308:KRS393316 LBO393308:LBO393316 LLK393308:LLK393316 LVG393308:LVG393316 MFC393308:MFC393316 MOY393308:MOY393316 MYU393308:MYU393316 NIQ393308:NIQ393316 NSM393308:NSM393316 OCI393308:OCI393316 OME393308:OME393316 OWA393308:OWA393316 PFW393308:PFW393316 PPS393308:PPS393316 PZO393308:PZO393316 QJK393308:QJK393316 QTG393308:QTG393316 RDC393308:RDC393316 RMY393308:RMY393316 RWU393308:RWU393316 SGQ393308:SGQ393316 SQM393308:SQM393316 TAI393308:TAI393316 TKE393308:TKE393316 TUA393308:TUA393316 UDW393308:UDW393316 UNS393308:UNS393316 UXO393308:UXO393316 VHK393308:VHK393316 VRG393308:VRG393316 WBC393308:WBC393316 WKY393308:WKY393316 WUU393308:WUU393316 C458844:C458852 II458844:II458852 SE458844:SE458852 ACA458844:ACA458852 ALW458844:ALW458852 AVS458844:AVS458852 BFO458844:BFO458852 BPK458844:BPK458852 BZG458844:BZG458852 CJC458844:CJC458852 CSY458844:CSY458852 DCU458844:DCU458852 DMQ458844:DMQ458852 DWM458844:DWM458852 EGI458844:EGI458852 EQE458844:EQE458852 FAA458844:FAA458852 FJW458844:FJW458852 FTS458844:FTS458852 GDO458844:GDO458852 GNK458844:GNK458852 GXG458844:GXG458852 HHC458844:HHC458852 HQY458844:HQY458852 IAU458844:IAU458852 IKQ458844:IKQ458852 IUM458844:IUM458852 JEI458844:JEI458852 JOE458844:JOE458852 JYA458844:JYA458852 KHW458844:KHW458852 KRS458844:KRS458852 LBO458844:LBO458852 LLK458844:LLK458852 LVG458844:LVG458852 MFC458844:MFC458852 MOY458844:MOY458852 MYU458844:MYU458852 NIQ458844:NIQ458852 NSM458844:NSM458852 OCI458844:OCI458852 OME458844:OME458852 OWA458844:OWA458852 PFW458844:PFW458852 PPS458844:PPS458852 PZO458844:PZO458852 QJK458844:QJK458852 QTG458844:QTG458852 RDC458844:RDC458852 RMY458844:RMY458852 RWU458844:RWU458852 SGQ458844:SGQ458852 SQM458844:SQM458852 TAI458844:TAI458852 TKE458844:TKE458852 TUA458844:TUA458852 UDW458844:UDW458852 UNS458844:UNS458852 UXO458844:UXO458852 VHK458844:VHK458852 VRG458844:VRG458852 WBC458844:WBC458852 WKY458844:WKY458852 WUU458844:WUU458852 C524380:C524388 II524380:II524388 SE524380:SE524388 ACA524380:ACA524388 ALW524380:ALW524388 AVS524380:AVS524388 BFO524380:BFO524388 BPK524380:BPK524388 BZG524380:BZG524388 CJC524380:CJC524388 CSY524380:CSY524388 DCU524380:DCU524388 DMQ524380:DMQ524388 DWM524380:DWM524388 EGI524380:EGI524388 EQE524380:EQE524388 FAA524380:FAA524388 FJW524380:FJW524388 FTS524380:FTS524388 GDO524380:GDO524388 GNK524380:GNK524388 GXG524380:GXG524388 HHC524380:HHC524388 HQY524380:HQY524388 IAU524380:IAU524388 IKQ524380:IKQ524388 IUM524380:IUM524388 JEI524380:JEI524388 JOE524380:JOE524388 JYA524380:JYA524388 KHW524380:KHW524388 KRS524380:KRS524388 LBO524380:LBO524388 LLK524380:LLK524388 LVG524380:LVG524388 MFC524380:MFC524388 MOY524380:MOY524388 MYU524380:MYU524388 NIQ524380:NIQ524388 NSM524380:NSM524388 OCI524380:OCI524388 OME524380:OME524388 OWA524380:OWA524388 PFW524380:PFW524388 PPS524380:PPS524388 PZO524380:PZO524388 QJK524380:QJK524388 QTG524380:QTG524388 RDC524380:RDC524388 RMY524380:RMY524388 RWU524380:RWU524388 SGQ524380:SGQ524388 SQM524380:SQM524388 TAI524380:TAI524388 TKE524380:TKE524388 TUA524380:TUA524388 UDW524380:UDW524388 UNS524380:UNS524388 UXO524380:UXO524388 VHK524380:VHK524388 VRG524380:VRG524388 WBC524380:WBC524388 WKY524380:WKY524388 WUU524380:WUU524388 C589916:C589924 II589916:II589924 SE589916:SE589924 ACA589916:ACA589924 ALW589916:ALW589924 AVS589916:AVS589924 BFO589916:BFO589924 BPK589916:BPK589924 BZG589916:BZG589924 CJC589916:CJC589924 CSY589916:CSY589924 DCU589916:DCU589924 DMQ589916:DMQ589924 DWM589916:DWM589924 EGI589916:EGI589924 EQE589916:EQE589924 FAA589916:FAA589924 FJW589916:FJW589924 FTS589916:FTS589924 GDO589916:GDO589924 GNK589916:GNK589924 GXG589916:GXG589924 HHC589916:HHC589924 HQY589916:HQY589924 IAU589916:IAU589924 IKQ589916:IKQ589924 IUM589916:IUM589924 JEI589916:JEI589924 JOE589916:JOE589924 JYA589916:JYA589924 KHW589916:KHW589924 KRS589916:KRS589924 LBO589916:LBO589924 LLK589916:LLK589924 LVG589916:LVG589924 MFC589916:MFC589924 MOY589916:MOY589924 MYU589916:MYU589924 NIQ589916:NIQ589924 NSM589916:NSM589924 OCI589916:OCI589924 OME589916:OME589924 OWA589916:OWA589924 PFW589916:PFW589924 PPS589916:PPS589924 PZO589916:PZO589924 QJK589916:QJK589924 QTG589916:QTG589924 RDC589916:RDC589924 RMY589916:RMY589924 RWU589916:RWU589924 SGQ589916:SGQ589924 SQM589916:SQM589924 TAI589916:TAI589924 TKE589916:TKE589924 TUA589916:TUA589924 UDW589916:UDW589924 UNS589916:UNS589924 UXO589916:UXO589924 VHK589916:VHK589924 VRG589916:VRG589924 WBC589916:WBC589924 WKY589916:WKY589924 WUU589916:WUU589924 C655452:C655460 II655452:II655460 SE655452:SE655460 ACA655452:ACA655460 ALW655452:ALW655460 AVS655452:AVS655460 BFO655452:BFO655460 BPK655452:BPK655460 BZG655452:BZG655460 CJC655452:CJC655460 CSY655452:CSY655460 DCU655452:DCU655460 DMQ655452:DMQ655460 DWM655452:DWM655460 EGI655452:EGI655460 EQE655452:EQE655460 FAA655452:FAA655460 FJW655452:FJW655460 FTS655452:FTS655460 GDO655452:GDO655460 GNK655452:GNK655460 GXG655452:GXG655460 HHC655452:HHC655460 HQY655452:HQY655460 IAU655452:IAU655460 IKQ655452:IKQ655460 IUM655452:IUM655460 JEI655452:JEI655460 JOE655452:JOE655460 JYA655452:JYA655460 KHW655452:KHW655460 KRS655452:KRS655460 LBO655452:LBO655460 LLK655452:LLK655460 LVG655452:LVG655460 MFC655452:MFC655460 MOY655452:MOY655460 MYU655452:MYU655460 NIQ655452:NIQ655460 NSM655452:NSM655460 OCI655452:OCI655460 OME655452:OME655460 OWA655452:OWA655460 PFW655452:PFW655460 PPS655452:PPS655460 PZO655452:PZO655460 QJK655452:QJK655460 QTG655452:QTG655460 RDC655452:RDC655460 RMY655452:RMY655460 RWU655452:RWU655460 SGQ655452:SGQ655460 SQM655452:SQM655460 TAI655452:TAI655460 TKE655452:TKE655460 TUA655452:TUA655460 UDW655452:UDW655460 UNS655452:UNS655460 UXO655452:UXO655460 VHK655452:VHK655460 VRG655452:VRG655460 WBC655452:WBC655460 WKY655452:WKY655460 WUU655452:WUU655460 C720988:C720996 II720988:II720996 SE720988:SE720996 ACA720988:ACA720996 ALW720988:ALW720996 AVS720988:AVS720996 BFO720988:BFO720996 BPK720988:BPK720996 BZG720988:BZG720996 CJC720988:CJC720996 CSY720988:CSY720996 DCU720988:DCU720996 DMQ720988:DMQ720996 DWM720988:DWM720996 EGI720988:EGI720996 EQE720988:EQE720996 FAA720988:FAA720996 FJW720988:FJW720996 FTS720988:FTS720996 GDO720988:GDO720996 GNK720988:GNK720996 GXG720988:GXG720996 HHC720988:HHC720996 HQY720988:HQY720996 IAU720988:IAU720996 IKQ720988:IKQ720996 IUM720988:IUM720996 JEI720988:JEI720996 JOE720988:JOE720996 JYA720988:JYA720996 KHW720988:KHW720996 KRS720988:KRS720996 LBO720988:LBO720996 LLK720988:LLK720996 LVG720988:LVG720996 MFC720988:MFC720996 MOY720988:MOY720996 MYU720988:MYU720996 NIQ720988:NIQ720996 NSM720988:NSM720996 OCI720988:OCI720996 OME720988:OME720996 OWA720988:OWA720996 PFW720988:PFW720996 PPS720988:PPS720996 PZO720988:PZO720996 QJK720988:QJK720996 QTG720988:QTG720996 RDC720988:RDC720996 RMY720988:RMY720996 RWU720988:RWU720996 SGQ720988:SGQ720996 SQM720988:SQM720996 TAI720988:TAI720996 TKE720988:TKE720996 TUA720988:TUA720996 UDW720988:UDW720996 UNS720988:UNS720996 UXO720988:UXO720996 VHK720988:VHK720996 VRG720988:VRG720996 WBC720988:WBC720996 WKY720988:WKY720996 WUU720988:WUU720996 C786524:C786532 II786524:II786532 SE786524:SE786532 ACA786524:ACA786532 ALW786524:ALW786532 AVS786524:AVS786532 BFO786524:BFO786532 BPK786524:BPK786532 BZG786524:BZG786532 CJC786524:CJC786532 CSY786524:CSY786532 DCU786524:DCU786532 DMQ786524:DMQ786532 DWM786524:DWM786532 EGI786524:EGI786532 EQE786524:EQE786532 FAA786524:FAA786532 FJW786524:FJW786532 FTS786524:FTS786532 GDO786524:GDO786532 GNK786524:GNK786532 GXG786524:GXG786532 HHC786524:HHC786532 HQY786524:HQY786532 IAU786524:IAU786532 IKQ786524:IKQ786532 IUM786524:IUM786532 JEI786524:JEI786532 JOE786524:JOE786532 JYA786524:JYA786532 KHW786524:KHW786532 KRS786524:KRS786532 LBO786524:LBO786532 LLK786524:LLK786532 LVG786524:LVG786532 MFC786524:MFC786532 MOY786524:MOY786532 MYU786524:MYU786532 NIQ786524:NIQ786532 NSM786524:NSM786532 OCI786524:OCI786532 OME786524:OME786532 OWA786524:OWA786532 PFW786524:PFW786532 PPS786524:PPS786532 PZO786524:PZO786532 QJK786524:QJK786532 QTG786524:QTG786532 RDC786524:RDC786532 RMY786524:RMY786532 RWU786524:RWU786532 SGQ786524:SGQ786532 SQM786524:SQM786532 TAI786524:TAI786532 TKE786524:TKE786532 TUA786524:TUA786532 UDW786524:UDW786532 UNS786524:UNS786532 UXO786524:UXO786532 VHK786524:VHK786532 VRG786524:VRG786532 WBC786524:WBC786532 WKY786524:WKY786532 WUU786524:WUU786532 C852060:C852068 II852060:II852068 SE852060:SE852068 ACA852060:ACA852068 ALW852060:ALW852068 AVS852060:AVS852068 BFO852060:BFO852068 BPK852060:BPK852068 BZG852060:BZG852068 CJC852060:CJC852068 CSY852060:CSY852068 DCU852060:DCU852068 DMQ852060:DMQ852068 DWM852060:DWM852068 EGI852060:EGI852068 EQE852060:EQE852068 FAA852060:FAA852068 FJW852060:FJW852068 FTS852060:FTS852068 GDO852060:GDO852068 GNK852060:GNK852068 GXG852060:GXG852068 HHC852060:HHC852068 HQY852060:HQY852068 IAU852060:IAU852068 IKQ852060:IKQ852068 IUM852060:IUM852068 JEI852060:JEI852068 JOE852060:JOE852068 JYA852060:JYA852068 KHW852060:KHW852068 KRS852060:KRS852068 LBO852060:LBO852068 LLK852060:LLK852068 LVG852060:LVG852068 MFC852060:MFC852068 MOY852060:MOY852068 MYU852060:MYU852068 NIQ852060:NIQ852068 NSM852060:NSM852068 OCI852060:OCI852068 OME852060:OME852068 OWA852060:OWA852068 PFW852060:PFW852068 PPS852060:PPS852068 PZO852060:PZO852068 QJK852060:QJK852068 QTG852060:QTG852068 RDC852060:RDC852068 RMY852060:RMY852068 RWU852060:RWU852068 SGQ852060:SGQ852068 SQM852060:SQM852068 TAI852060:TAI852068 TKE852060:TKE852068 TUA852060:TUA852068 UDW852060:UDW852068 UNS852060:UNS852068 UXO852060:UXO852068 VHK852060:VHK852068 VRG852060:VRG852068 WBC852060:WBC852068 WKY852060:WKY852068 WUU852060:WUU852068 C917596:C917604 II917596:II917604 SE917596:SE917604 ACA917596:ACA917604 ALW917596:ALW917604 AVS917596:AVS917604 BFO917596:BFO917604 BPK917596:BPK917604 BZG917596:BZG917604 CJC917596:CJC917604 CSY917596:CSY917604 DCU917596:DCU917604 DMQ917596:DMQ917604 DWM917596:DWM917604 EGI917596:EGI917604 EQE917596:EQE917604 FAA917596:FAA917604 FJW917596:FJW917604 FTS917596:FTS917604 GDO917596:GDO917604 GNK917596:GNK917604 GXG917596:GXG917604 HHC917596:HHC917604 HQY917596:HQY917604 IAU917596:IAU917604 IKQ917596:IKQ917604 IUM917596:IUM917604 JEI917596:JEI917604 JOE917596:JOE917604 JYA917596:JYA917604 KHW917596:KHW917604 KRS917596:KRS917604 LBO917596:LBO917604 LLK917596:LLK917604 LVG917596:LVG917604 MFC917596:MFC917604 MOY917596:MOY917604 MYU917596:MYU917604 NIQ917596:NIQ917604 NSM917596:NSM917604 OCI917596:OCI917604 OME917596:OME917604 OWA917596:OWA917604 PFW917596:PFW917604 PPS917596:PPS917604 PZO917596:PZO917604 QJK917596:QJK917604 QTG917596:QTG917604 RDC917596:RDC917604 RMY917596:RMY917604 RWU917596:RWU917604 SGQ917596:SGQ917604 SQM917596:SQM917604 TAI917596:TAI917604 TKE917596:TKE917604 TUA917596:TUA917604 UDW917596:UDW917604 UNS917596:UNS917604 UXO917596:UXO917604 VHK917596:VHK917604 VRG917596:VRG917604 WBC917596:WBC917604 WKY917596:WKY917604 WUU917596:WUU917604 C983132:C983140 II983132:II983140 SE983132:SE983140 ACA983132:ACA983140 ALW983132:ALW983140 AVS983132:AVS983140 BFO983132:BFO983140 BPK983132:BPK983140 BZG983132:BZG983140 CJC983132:CJC983140 CSY983132:CSY983140 DCU983132:DCU983140 DMQ983132:DMQ983140 DWM983132:DWM983140 EGI983132:EGI983140 EQE983132:EQE983140 FAA983132:FAA983140 FJW983132:FJW983140 FTS983132:FTS983140 GDO983132:GDO983140 GNK983132:GNK983140 GXG983132:GXG983140 HHC983132:HHC983140 HQY983132:HQY983140 IAU983132:IAU983140 IKQ983132:IKQ983140 IUM983132:IUM983140 JEI983132:JEI983140 JOE983132:JOE983140 JYA983132:JYA983140 KHW983132:KHW983140 KRS983132:KRS983140 LBO983132:LBO983140 LLK983132:LLK983140 LVG983132:LVG983140 MFC983132:MFC983140 MOY983132:MOY983140 MYU983132:MYU983140 NIQ983132:NIQ983140 NSM983132:NSM983140 OCI983132:OCI983140 OME983132:OME983140 OWA983132:OWA983140 PFW983132:PFW983140 PPS983132:PPS983140 PZO983132:PZO983140 QJK983132:QJK983140 QTG983132:QTG983140 RDC983132:RDC983140 RMY983132:RMY983140 RWU983132:RWU983140 SGQ983132:SGQ983140 SQM983132:SQM983140 TAI983132:TAI983140 TKE983132:TKE983140 TUA983132:TUA983140 UDW983132:UDW983140 UNS983132:UNS983140 UXO983132:UXO983140 VHK983132:VHK983140 VRG983132:VRG983140 WBC983132:WBC983140 WKY983132:WKY983140 WUU983132:WUU983140 C11:C51 II54:II78 SE54:SE78 ACA54:ACA78 ALW54:ALW78 AVS54:AVS78 BFO54:BFO78 BPK54:BPK78 BZG54:BZG78 CJC54:CJC78 CSY54:CSY78 DCU54:DCU78 DMQ54:DMQ78 DWM54:DWM78 EGI54:EGI78 EQE54:EQE78 FAA54:FAA78 FJW54:FJW78 FTS54:FTS78 GDO54:GDO78 GNK54:GNK78 GXG54:GXG78 HHC54:HHC78 HQY54:HQY78 IAU54:IAU78 IKQ54:IKQ78 IUM54:IUM78 JEI54:JEI78 JOE54:JOE78 JYA54:JYA78 KHW54:KHW78 KRS54:KRS78 LBO54:LBO78 LLK54:LLK78 LVG54:LVG78 MFC54:MFC78 MOY54:MOY78 MYU54:MYU78 NIQ54:NIQ78 NSM54:NSM78 OCI54:OCI78 OME54:OME78 OWA54:OWA78 PFW54:PFW78 PPS54:PPS78 PZO54:PZO78 QJK54:QJK78 QTG54:QTG78 RDC54:RDC78 RMY54:RMY78 RWU54:RWU78 SGQ54:SGQ78 SQM54:SQM78 TAI54:TAI78 TKE54:TKE78 TUA54:TUA78 UDW54:UDW78 UNS54:UNS78 UXO54:UXO78 VHK54:VHK78 VRG54:VRG78 WBC54:WBC78 WKY54:WKY78 WUU54:WUU78 C65639:C65647 II65639:II65647 SE65639:SE65647 ACA65639:ACA65647 ALW65639:ALW65647 AVS65639:AVS65647 BFO65639:BFO65647 BPK65639:BPK65647 BZG65639:BZG65647 CJC65639:CJC65647 CSY65639:CSY65647 DCU65639:DCU65647 DMQ65639:DMQ65647 DWM65639:DWM65647 EGI65639:EGI65647 EQE65639:EQE65647 FAA65639:FAA65647 FJW65639:FJW65647 FTS65639:FTS65647 GDO65639:GDO65647 GNK65639:GNK65647 GXG65639:GXG65647 HHC65639:HHC65647 HQY65639:HQY65647 IAU65639:IAU65647 IKQ65639:IKQ65647 IUM65639:IUM65647 JEI65639:JEI65647 JOE65639:JOE65647 JYA65639:JYA65647 KHW65639:KHW65647 KRS65639:KRS65647 LBO65639:LBO65647 LLK65639:LLK65647 LVG65639:LVG65647 MFC65639:MFC65647 MOY65639:MOY65647 MYU65639:MYU65647 NIQ65639:NIQ65647 NSM65639:NSM65647 OCI65639:OCI65647 OME65639:OME65647 OWA65639:OWA65647 PFW65639:PFW65647 PPS65639:PPS65647 PZO65639:PZO65647 QJK65639:QJK65647 QTG65639:QTG65647 RDC65639:RDC65647 RMY65639:RMY65647 RWU65639:RWU65647 SGQ65639:SGQ65647 SQM65639:SQM65647 TAI65639:TAI65647 TKE65639:TKE65647 TUA65639:TUA65647 UDW65639:UDW65647 UNS65639:UNS65647 UXO65639:UXO65647 VHK65639:VHK65647 VRG65639:VRG65647 WBC65639:WBC65647 WKY65639:WKY65647 WUU65639:WUU65647 C131175:C131183 II131175:II131183 SE131175:SE131183 ACA131175:ACA131183 ALW131175:ALW131183 AVS131175:AVS131183 BFO131175:BFO131183 BPK131175:BPK131183 BZG131175:BZG131183 CJC131175:CJC131183 CSY131175:CSY131183 DCU131175:DCU131183 DMQ131175:DMQ131183 DWM131175:DWM131183 EGI131175:EGI131183 EQE131175:EQE131183 FAA131175:FAA131183 FJW131175:FJW131183 FTS131175:FTS131183 GDO131175:GDO131183 GNK131175:GNK131183 GXG131175:GXG131183 HHC131175:HHC131183 HQY131175:HQY131183 IAU131175:IAU131183 IKQ131175:IKQ131183 IUM131175:IUM131183 JEI131175:JEI131183 JOE131175:JOE131183 JYA131175:JYA131183 KHW131175:KHW131183 KRS131175:KRS131183 LBO131175:LBO131183 LLK131175:LLK131183 LVG131175:LVG131183 MFC131175:MFC131183 MOY131175:MOY131183 MYU131175:MYU131183 NIQ131175:NIQ131183 NSM131175:NSM131183 OCI131175:OCI131183 OME131175:OME131183 OWA131175:OWA131183 PFW131175:PFW131183 PPS131175:PPS131183 PZO131175:PZO131183 QJK131175:QJK131183 QTG131175:QTG131183 RDC131175:RDC131183 RMY131175:RMY131183 RWU131175:RWU131183 SGQ131175:SGQ131183 SQM131175:SQM131183 TAI131175:TAI131183 TKE131175:TKE131183 TUA131175:TUA131183 UDW131175:UDW131183 UNS131175:UNS131183 UXO131175:UXO131183 VHK131175:VHK131183 VRG131175:VRG131183 WBC131175:WBC131183 WKY131175:WKY131183 WUU131175:WUU131183 C196711:C196719 II196711:II196719 SE196711:SE196719 ACA196711:ACA196719 ALW196711:ALW196719 AVS196711:AVS196719 BFO196711:BFO196719 BPK196711:BPK196719 BZG196711:BZG196719 CJC196711:CJC196719 CSY196711:CSY196719 DCU196711:DCU196719 DMQ196711:DMQ196719 DWM196711:DWM196719 EGI196711:EGI196719 EQE196711:EQE196719 FAA196711:FAA196719 FJW196711:FJW196719 FTS196711:FTS196719 GDO196711:GDO196719 GNK196711:GNK196719 GXG196711:GXG196719 HHC196711:HHC196719 HQY196711:HQY196719 IAU196711:IAU196719 IKQ196711:IKQ196719 IUM196711:IUM196719 JEI196711:JEI196719 JOE196711:JOE196719 JYA196711:JYA196719 KHW196711:KHW196719 KRS196711:KRS196719 LBO196711:LBO196719 LLK196711:LLK196719 LVG196711:LVG196719 MFC196711:MFC196719 MOY196711:MOY196719 MYU196711:MYU196719 NIQ196711:NIQ196719 NSM196711:NSM196719 OCI196711:OCI196719 OME196711:OME196719 OWA196711:OWA196719 PFW196711:PFW196719 PPS196711:PPS196719 PZO196711:PZO196719 QJK196711:QJK196719 QTG196711:QTG196719 RDC196711:RDC196719 RMY196711:RMY196719 RWU196711:RWU196719 SGQ196711:SGQ196719 SQM196711:SQM196719 TAI196711:TAI196719 TKE196711:TKE196719 TUA196711:TUA196719 UDW196711:UDW196719 UNS196711:UNS196719 UXO196711:UXO196719 VHK196711:VHK196719 VRG196711:VRG196719 WBC196711:WBC196719 WKY196711:WKY196719 WUU196711:WUU196719 C262247:C262255 II262247:II262255 SE262247:SE262255 ACA262247:ACA262255 ALW262247:ALW262255 AVS262247:AVS262255 BFO262247:BFO262255 BPK262247:BPK262255 BZG262247:BZG262255 CJC262247:CJC262255 CSY262247:CSY262255 DCU262247:DCU262255 DMQ262247:DMQ262255 DWM262247:DWM262255 EGI262247:EGI262255 EQE262247:EQE262255 FAA262247:FAA262255 FJW262247:FJW262255 FTS262247:FTS262255 GDO262247:GDO262255 GNK262247:GNK262255 GXG262247:GXG262255 HHC262247:HHC262255 HQY262247:HQY262255 IAU262247:IAU262255 IKQ262247:IKQ262255 IUM262247:IUM262255 JEI262247:JEI262255 JOE262247:JOE262255 JYA262247:JYA262255 KHW262247:KHW262255 KRS262247:KRS262255 LBO262247:LBO262255 LLK262247:LLK262255 LVG262247:LVG262255 MFC262247:MFC262255 MOY262247:MOY262255 MYU262247:MYU262255 NIQ262247:NIQ262255 NSM262247:NSM262255 OCI262247:OCI262255 OME262247:OME262255 OWA262247:OWA262255 PFW262247:PFW262255 PPS262247:PPS262255 PZO262247:PZO262255 QJK262247:QJK262255 QTG262247:QTG262255 RDC262247:RDC262255 RMY262247:RMY262255 RWU262247:RWU262255 SGQ262247:SGQ262255 SQM262247:SQM262255 TAI262247:TAI262255 TKE262247:TKE262255 TUA262247:TUA262255 UDW262247:UDW262255 UNS262247:UNS262255 UXO262247:UXO262255 VHK262247:VHK262255 VRG262247:VRG262255 WBC262247:WBC262255 WKY262247:WKY262255 WUU262247:WUU262255 C327783:C327791 II327783:II327791 SE327783:SE327791 ACA327783:ACA327791 ALW327783:ALW327791 AVS327783:AVS327791 BFO327783:BFO327791 BPK327783:BPK327791 BZG327783:BZG327791 CJC327783:CJC327791 CSY327783:CSY327791 DCU327783:DCU327791 DMQ327783:DMQ327791 DWM327783:DWM327791 EGI327783:EGI327791 EQE327783:EQE327791 FAA327783:FAA327791 FJW327783:FJW327791 FTS327783:FTS327791 GDO327783:GDO327791 GNK327783:GNK327791 GXG327783:GXG327791 HHC327783:HHC327791 HQY327783:HQY327791 IAU327783:IAU327791 IKQ327783:IKQ327791 IUM327783:IUM327791 JEI327783:JEI327791 JOE327783:JOE327791 JYA327783:JYA327791 KHW327783:KHW327791 KRS327783:KRS327791 LBO327783:LBO327791 LLK327783:LLK327791 LVG327783:LVG327791 MFC327783:MFC327791 MOY327783:MOY327791 MYU327783:MYU327791 NIQ327783:NIQ327791 NSM327783:NSM327791 OCI327783:OCI327791 OME327783:OME327791 OWA327783:OWA327791 PFW327783:PFW327791 PPS327783:PPS327791 PZO327783:PZO327791 QJK327783:QJK327791 QTG327783:QTG327791 RDC327783:RDC327791 RMY327783:RMY327791 RWU327783:RWU327791 SGQ327783:SGQ327791 SQM327783:SQM327791 TAI327783:TAI327791 TKE327783:TKE327791 TUA327783:TUA327791 UDW327783:UDW327791 UNS327783:UNS327791 UXO327783:UXO327791 VHK327783:VHK327791 VRG327783:VRG327791 WBC327783:WBC327791 WKY327783:WKY327791 WUU327783:WUU327791 C393319:C393327 II393319:II393327 SE393319:SE393327 ACA393319:ACA393327 ALW393319:ALW393327 AVS393319:AVS393327 BFO393319:BFO393327 BPK393319:BPK393327 BZG393319:BZG393327 CJC393319:CJC393327 CSY393319:CSY393327 DCU393319:DCU393327 DMQ393319:DMQ393327 DWM393319:DWM393327 EGI393319:EGI393327 EQE393319:EQE393327 FAA393319:FAA393327 FJW393319:FJW393327 FTS393319:FTS393327 GDO393319:GDO393327 GNK393319:GNK393327 GXG393319:GXG393327 HHC393319:HHC393327 HQY393319:HQY393327 IAU393319:IAU393327 IKQ393319:IKQ393327 IUM393319:IUM393327 JEI393319:JEI393327 JOE393319:JOE393327 JYA393319:JYA393327 KHW393319:KHW393327 KRS393319:KRS393327 LBO393319:LBO393327 LLK393319:LLK393327 LVG393319:LVG393327 MFC393319:MFC393327 MOY393319:MOY393327 MYU393319:MYU393327 NIQ393319:NIQ393327 NSM393319:NSM393327 OCI393319:OCI393327 OME393319:OME393327 OWA393319:OWA393327 PFW393319:PFW393327 PPS393319:PPS393327 PZO393319:PZO393327 QJK393319:QJK393327 QTG393319:QTG393327 RDC393319:RDC393327 RMY393319:RMY393327 RWU393319:RWU393327 SGQ393319:SGQ393327 SQM393319:SQM393327 TAI393319:TAI393327 TKE393319:TKE393327 TUA393319:TUA393327 UDW393319:UDW393327 UNS393319:UNS393327 UXO393319:UXO393327 VHK393319:VHK393327 VRG393319:VRG393327 WBC393319:WBC393327 WKY393319:WKY393327 WUU393319:WUU393327 C458855:C458863 II458855:II458863 SE458855:SE458863 ACA458855:ACA458863 ALW458855:ALW458863 AVS458855:AVS458863 BFO458855:BFO458863 BPK458855:BPK458863 BZG458855:BZG458863 CJC458855:CJC458863 CSY458855:CSY458863 DCU458855:DCU458863 DMQ458855:DMQ458863 DWM458855:DWM458863 EGI458855:EGI458863 EQE458855:EQE458863 FAA458855:FAA458863 FJW458855:FJW458863 FTS458855:FTS458863 GDO458855:GDO458863 GNK458855:GNK458863 GXG458855:GXG458863 HHC458855:HHC458863 HQY458855:HQY458863 IAU458855:IAU458863 IKQ458855:IKQ458863 IUM458855:IUM458863 JEI458855:JEI458863 JOE458855:JOE458863 JYA458855:JYA458863 KHW458855:KHW458863 KRS458855:KRS458863 LBO458855:LBO458863 LLK458855:LLK458863 LVG458855:LVG458863 MFC458855:MFC458863 MOY458855:MOY458863 MYU458855:MYU458863 NIQ458855:NIQ458863 NSM458855:NSM458863 OCI458855:OCI458863 OME458855:OME458863 OWA458855:OWA458863 PFW458855:PFW458863 PPS458855:PPS458863 PZO458855:PZO458863 QJK458855:QJK458863 QTG458855:QTG458863 RDC458855:RDC458863 RMY458855:RMY458863 RWU458855:RWU458863 SGQ458855:SGQ458863 SQM458855:SQM458863 TAI458855:TAI458863 TKE458855:TKE458863 TUA458855:TUA458863 UDW458855:UDW458863 UNS458855:UNS458863 UXO458855:UXO458863 VHK458855:VHK458863 VRG458855:VRG458863 WBC458855:WBC458863 WKY458855:WKY458863 WUU458855:WUU458863 C524391:C524399 II524391:II524399 SE524391:SE524399 ACA524391:ACA524399 ALW524391:ALW524399 AVS524391:AVS524399 BFO524391:BFO524399 BPK524391:BPK524399 BZG524391:BZG524399 CJC524391:CJC524399 CSY524391:CSY524399 DCU524391:DCU524399 DMQ524391:DMQ524399 DWM524391:DWM524399 EGI524391:EGI524399 EQE524391:EQE524399 FAA524391:FAA524399 FJW524391:FJW524399 FTS524391:FTS524399 GDO524391:GDO524399 GNK524391:GNK524399 GXG524391:GXG524399 HHC524391:HHC524399 HQY524391:HQY524399 IAU524391:IAU524399 IKQ524391:IKQ524399 IUM524391:IUM524399 JEI524391:JEI524399 JOE524391:JOE524399 JYA524391:JYA524399 KHW524391:KHW524399 KRS524391:KRS524399 LBO524391:LBO524399 LLK524391:LLK524399 LVG524391:LVG524399 MFC524391:MFC524399 MOY524391:MOY524399 MYU524391:MYU524399 NIQ524391:NIQ524399 NSM524391:NSM524399 OCI524391:OCI524399 OME524391:OME524399 OWA524391:OWA524399 PFW524391:PFW524399 PPS524391:PPS524399 PZO524391:PZO524399 QJK524391:QJK524399 QTG524391:QTG524399 RDC524391:RDC524399 RMY524391:RMY524399 RWU524391:RWU524399 SGQ524391:SGQ524399 SQM524391:SQM524399 TAI524391:TAI524399 TKE524391:TKE524399 TUA524391:TUA524399 UDW524391:UDW524399 UNS524391:UNS524399 UXO524391:UXO524399 VHK524391:VHK524399 VRG524391:VRG524399 WBC524391:WBC524399 WKY524391:WKY524399 WUU524391:WUU524399 C589927:C589935 II589927:II589935 SE589927:SE589935 ACA589927:ACA589935 ALW589927:ALW589935 AVS589927:AVS589935 BFO589927:BFO589935 BPK589927:BPK589935 BZG589927:BZG589935 CJC589927:CJC589935 CSY589927:CSY589935 DCU589927:DCU589935 DMQ589927:DMQ589935 DWM589927:DWM589935 EGI589927:EGI589935 EQE589927:EQE589935 FAA589927:FAA589935 FJW589927:FJW589935 FTS589927:FTS589935 GDO589927:GDO589935 GNK589927:GNK589935 GXG589927:GXG589935 HHC589927:HHC589935 HQY589927:HQY589935 IAU589927:IAU589935 IKQ589927:IKQ589935 IUM589927:IUM589935 JEI589927:JEI589935 JOE589927:JOE589935 JYA589927:JYA589935 KHW589927:KHW589935 KRS589927:KRS589935 LBO589927:LBO589935 LLK589927:LLK589935 LVG589927:LVG589935 MFC589927:MFC589935 MOY589927:MOY589935 MYU589927:MYU589935 NIQ589927:NIQ589935 NSM589927:NSM589935 OCI589927:OCI589935 OME589927:OME589935 OWA589927:OWA589935 PFW589927:PFW589935 PPS589927:PPS589935 PZO589927:PZO589935 QJK589927:QJK589935 QTG589927:QTG589935 RDC589927:RDC589935 RMY589927:RMY589935 RWU589927:RWU589935 SGQ589927:SGQ589935 SQM589927:SQM589935 TAI589927:TAI589935 TKE589927:TKE589935 TUA589927:TUA589935 UDW589927:UDW589935 UNS589927:UNS589935 UXO589927:UXO589935 VHK589927:VHK589935 VRG589927:VRG589935 WBC589927:WBC589935 WKY589927:WKY589935 WUU589927:WUU589935 C655463:C655471 II655463:II655471 SE655463:SE655471 ACA655463:ACA655471 ALW655463:ALW655471 AVS655463:AVS655471 BFO655463:BFO655471 BPK655463:BPK655471 BZG655463:BZG655471 CJC655463:CJC655471 CSY655463:CSY655471 DCU655463:DCU655471 DMQ655463:DMQ655471 DWM655463:DWM655471 EGI655463:EGI655471 EQE655463:EQE655471 FAA655463:FAA655471 FJW655463:FJW655471 FTS655463:FTS655471 GDO655463:GDO655471 GNK655463:GNK655471 GXG655463:GXG655471 HHC655463:HHC655471 HQY655463:HQY655471 IAU655463:IAU655471 IKQ655463:IKQ655471 IUM655463:IUM655471 JEI655463:JEI655471 JOE655463:JOE655471 JYA655463:JYA655471 KHW655463:KHW655471 KRS655463:KRS655471 LBO655463:LBO655471 LLK655463:LLK655471 LVG655463:LVG655471 MFC655463:MFC655471 MOY655463:MOY655471 MYU655463:MYU655471 NIQ655463:NIQ655471 NSM655463:NSM655471 OCI655463:OCI655471 OME655463:OME655471 OWA655463:OWA655471 PFW655463:PFW655471 PPS655463:PPS655471 PZO655463:PZO655471 QJK655463:QJK655471 QTG655463:QTG655471 RDC655463:RDC655471 RMY655463:RMY655471 RWU655463:RWU655471 SGQ655463:SGQ655471 SQM655463:SQM655471 TAI655463:TAI655471 TKE655463:TKE655471 TUA655463:TUA655471 UDW655463:UDW655471 UNS655463:UNS655471 UXO655463:UXO655471 VHK655463:VHK655471 VRG655463:VRG655471 WBC655463:WBC655471 WKY655463:WKY655471 WUU655463:WUU655471 C720999:C721007 II720999:II721007 SE720999:SE721007 ACA720999:ACA721007 ALW720999:ALW721007 AVS720999:AVS721007 BFO720999:BFO721007 BPK720999:BPK721007 BZG720999:BZG721007 CJC720999:CJC721007 CSY720999:CSY721007 DCU720999:DCU721007 DMQ720999:DMQ721007 DWM720999:DWM721007 EGI720999:EGI721007 EQE720999:EQE721007 FAA720999:FAA721007 FJW720999:FJW721007 FTS720999:FTS721007 GDO720999:GDO721007 GNK720999:GNK721007 GXG720999:GXG721007 HHC720999:HHC721007 HQY720999:HQY721007 IAU720999:IAU721007 IKQ720999:IKQ721007 IUM720999:IUM721007 JEI720999:JEI721007 JOE720999:JOE721007 JYA720999:JYA721007 KHW720999:KHW721007 KRS720999:KRS721007 LBO720999:LBO721007 LLK720999:LLK721007 LVG720999:LVG721007 MFC720999:MFC721007 MOY720999:MOY721007 MYU720999:MYU721007 NIQ720999:NIQ721007 NSM720999:NSM721007 OCI720999:OCI721007 OME720999:OME721007 OWA720999:OWA721007 PFW720999:PFW721007 PPS720999:PPS721007 PZO720999:PZO721007 QJK720999:QJK721007 QTG720999:QTG721007 RDC720999:RDC721007 RMY720999:RMY721007 RWU720999:RWU721007 SGQ720999:SGQ721007 SQM720999:SQM721007 TAI720999:TAI721007 TKE720999:TKE721007 TUA720999:TUA721007 UDW720999:UDW721007 UNS720999:UNS721007 UXO720999:UXO721007 VHK720999:VHK721007 VRG720999:VRG721007 WBC720999:WBC721007 WKY720999:WKY721007 WUU720999:WUU721007 C786535:C786543 II786535:II786543 SE786535:SE786543 ACA786535:ACA786543 ALW786535:ALW786543 AVS786535:AVS786543 BFO786535:BFO786543 BPK786535:BPK786543 BZG786535:BZG786543 CJC786535:CJC786543 CSY786535:CSY786543 DCU786535:DCU786543 DMQ786535:DMQ786543 DWM786535:DWM786543 EGI786535:EGI786543 EQE786535:EQE786543 FAA786535:FAA786543 FJW786535:FJW786543 FTS786535:FTS786543 GDO786535:GDO786543 GNK786535:GNK786543 GXG786535:GXG786543 HHC786535:HHC786543 HQY786535:HQY786543 IAU786535:IAU786543 IKQ786535:IKQ786543 IUM786535:IUM786543 JEI786535:JEI786543 JOE786535:JOE786543 JYA786535:JYA786543 KHW786535:KHW786543 KRS786535:KRS786543 LBO786535:LBO786543 LLK786535:LLK786543 LVG786535:LVG786543 MFC786535:MFC786543 MOY786535:MOY786543 MYU786535:MYU786543 NIQ786535:NIQ786543 NSM786535:NSM786543 OCI786535:OCI786543 OME786535:OME786543 OWA786535:OWA786543 PFW786535:PFW786543 PPS786535:PPS786543 PZO786535:PZO786543 QJK786535:QJK786543 QTG786535:QTG786543 RDC786535:RDC786543 RMY786535:RMY786543 RWU786535:RWU786543 SGQ786535:SGQ786543 SQM786535:SQM786543 TAI786535:TAI786543 TKE786535:TKE786543 TUA786535:TUA786543 UDW786535:UDW786543 UNS786535:UNS786543 UXO786535:UXO786543 VHK786535:VHK786543 VRG786535:VRG786543 WBC786535:WBC786543 WKY786535:WKY786543 WUU786535:WUU786543 C852071:C852079 II852071:II852079 SE852071:SE852079 ACA852071:ACA852079 ALW852071:ALW852079 AVS852071:AVS852079 BFO852071:BFO852079 BPK852071:BPK852079 BZG852071:BZG852079 CJC852071:CJC852079 CSY852071:CSY852079 DCU852071:DCU852079 DMQ852071:DMQ852079 DWM852071:DWM852079 EGI852071:EGI852079 EQE852071:EQE852079 FAA852071:FAA852079 FJW852071:FJW852079 FTS852071:FTS852079 GDO852071:GDO852079 GNK852071:GNK852079 GXG852071:GXG852079 HHC852071:HHC852079 HQY852071:HQY852079 IAU852071:IAU852079 IKQ852071:IKQ852079 IUM852071:IUM852079 JEI852071:JEI852079 JOE852071:JOE852079 JYA852071:JYA852079 KHW852071:KHW852079 KRS852071:KRS852079 LBO852071:LBO852079 LLK852071:LLK852079 LVG852071:LVG852079 MFC852071:MFC852079 MOY852071:MOY852079 MYU852071:MYU852079 NIQ852071:NIQ852079 NSM852071:NSM852079 OCI852071:OCI852079 OME852071:OME852079 OWA852071:OWA852079 PFW852071:PFW852079 PPS852071:PPS852079 PZO852071:PZO852079 QJK852071:QJK852079 QTG852071:QTG852079 RDC852071:RDC852079 RMY852071:RMY852079 RWU852071:RWU852079 SGQ852071:SGQ852079 SQM852071:SQM852079 TAI852071:TAI852079 TKE852071:TKE852079 TUA852071:TUA852079 UDW852071:UDW852079 UNS852071:UNS852079 UXO852071:UXO852079 VHK852071:VHK852079 VRG852071:VRG852079 WBC852071:WBC852079 WKY852071:WKY852079 WUU852071:WUU852079 C917607:C917615 II917607:II917615 SE917607:SE917615 ACA917607:ACA917615 ALW917607:ALW917615 AVS917607:AVS917615 BFO917607:BFO917615 BPK917607:BPK917615 BZG917607:BZG917615 CJC917607:CJC917615 CSY917607:CSY917615 DCU917607:DCU917615 DMQ917607:DMQ917615 DWM917607:DWM917615 EGI917607:EGI917615 EQE917607:EQE917615 FAA917607:FAA917615 FJW917607:FJW917615 FTS917607:FTS917615 GDO917607:GDO917615 GNK917607:GNK917615 GXG917607:GXG917615 HHC917607:HHC917615 HQY917607:HQY917615 IAU917607:IAU917615 IKQ917607:IKQ917615 IUM917607:IUM917615 JEI917607:JEI917615 JOE917607:JOE917615 JYA917607:JYA917615 KHW917607:KHW917615 KRS917607:KRS917615 LBO917607:LBO917615 LLK917607:LLK917615 LVG917607:LVG917615 MFC917607:MFC917615 MOY917607:MOY917615 MYU917607:MYU917615 NIQ917607:NIQ917615 NSM917607:NSM917615 OCI917607:OCI917615 OME917607:OME917615 OWA917607:OWA917615 PFW917607:PFW917615 PPS917607:PPS917615 PZO917607:PZO917615 QJK917607:QJK917615 QTG917607:QTG917615 RDC917607:RDC917615 RMY917607:RMY917615 RWU917607:RWU917615 SGQ917607:SGQ917615 SQM917607:SQM917615 TAI917607:TAI917615 TKE917607:TKE917615 TUA917607:TUA917615 UDW917607:UDW917615 UNS917607:UNS917615 UXO917607:UXO917615 VHK917607:VHK917615 VRG917607:VRG917615 WBC917607:WBC917615 WKY917607:WKY917615 WUU917607:WUU917615 C983143:C983151 II983143:II983151 SE983143:SE983151 ACA983143:ACA983151 ALW983143:ALW983151 AVS983143:AVS983151 BFO983143:BFO983151 BPK983143:BPK983151 BZG983143:BZG983151 CJC983143:CJC983151 CSY983143:CSY983151 DCU983143:DCU983151 DMQ983143:DMQ983151 DWM983143:DWM983151 EGI983143:EGI983151 EQE983143:EQE983151 FAA983143:FAA983151 FJW983143:FJW983151 FTS983143:FTS983151 GDO983143:GDO983151 GNK983143:GNK983151 GXG983143:GXG983151 HHC983143:HHC983151 HQY983143:HQY983151 IAU983143:IAU983151 IKQ983143:IKQ983151 IUM983143:IUM983151 JEI983143:JEI983151 JOE983143:JOE983151 JYA983143:JYA983151 KHW983143:KHW983151 KRS983143:KRS983151 LBO983143:LBO983151 LLK983143:LLK983151 LVG983143:LVG983151 MFC983143:MFC983151 MOY983143:MOY983151 MYU983143:MYU983151 NIQ983143:NIQ983151 NSM983143:NSM983151 OCI983143:OCI983151 OME983143:OME983151 OWA983143:OWA983151 PFW983143:PFW983151 PPS983143:PPS983151 PZO983143:PZO983151 QJK983143:QJK983151 QTG983143:QTG983151 RDC983143:RDC983151 RMY983143:RMY983151 RWU983143:RWU983151 SGQ983143:SGQ983151 SQM983143:SQM983151 TAI983143:TAI983151 TKE983143:TKE983151 TUA983143:TUA983151 UDW983143:UDW983151 UNS983143:UNS983151 UXO983143:UXO983151 VHK983143:VHK983151 VRG983143:VRG983151 WBC983143:WBC983151 WKY983143:WKY983151 C54:C78" xr:uid="{00000000-0002-0000-0300-000000000000}"/>
    <dataValidation allowBlank="1" showInputMessage="1" showErrorMessage="1" prompt="ingrese el valor del Factor Prestacional asignado para el personal." sqref="WUY983143:WUY983151 IM11:IM51 SI11:SI51 ACE11:ACE51 AMA11:AMA51 AVW11:AVW51 BFS11:BFS51 BPO11:BPO51 BZK11:BZK51 CJG11:CJG51 CTC11:CTC51 DCY11:DCY51 DMU11:DMU51 DWQ11:DWQ51 EGM11:EGM51 EQI11:EQI51 FAE11:FAE51 FKA11:FKA51 FTW11:FTW51 GDS11:GDS51 GNO11:GNO51 GXK11:GXK51 HHG11:HHG51 HRC11:HRC51 IAY11:IAY51 IKU11:IKU51 IUQ11:IUQ51 JEM11:JEM51 JOI11:JOI51 JYE11:JYE51 KIA11:KIA51 KRW11:KRW51 LBS11:LBS51 LLO11:LLO51 LVK11:LVK51 MFG11:MFG51 MPC11:MPC51 MYY11:MYY51 NIU11:NIU51 NSQ11:NSQ51 OCM11:OCM51 OMI11:OMI51 OWE11:OWE51 PGA11:PGA51 PPW11:PPW51 PZS11:PZS51 QJO11:QJO51 QTK11:QTK51 RDG11:RDG51 RNC11:RNC51 RWY11:RWY51 SGU11:SGU51 SQQ11:SQQ51 TAM11:TAM51 TKI11:TKI51 TUE11:TUE51 UEA11:UEA51 UNW11:UNW51 UXS11:UXS51 VHO11:VHO51 VRK11:VRK51 WBG11:WBG51 WLC11:WLC51 WUY11:WUY51 F65628:G65636 IM65628:IM65636 SI65628:SI65636 ACE65628:ACE65636 AMA65628:AMA65636 AVW65628:AVW65636 BFS65628:BFS65636 BPO65628:BPO65636 BZK65628:BZK65636 CJG65628:CJG65636 CTC65628:CTC65636 DCY65628:DCY65636 DMU65628:DMU65636 DWQ65628:DWQ65636 EGM65628:EGM65636 EQI65628:EQI65636 FAE65628:FAE65636 FKA65628:FKA65636 FTW65628:FTW65636 GDS65628:GDS65636 GNO65628:GNO65636 GXK65628:GXK65636 HHG65628:HHG65636 HRC65628:HRC65636 IAY65628:IAY65636 IKU65628:IKU65636 IUQ65628:IUQ65636 JEM65628:JEM65636 JOI65628:JOI65636 JYE65628:JYE65636 KIA65628:KIA65636 KRW65628:KRW65636 LBS65628:LBS65636 LLO65628:LLO65636 LVK65628:LVK65636 MFG65628:MFG65636 MPC65628:MPC65636 MYY65628:MYY65636 NIU65628:NIU65636 NSQ65628:NSQ65636 OCM65628:OCM65636 OMI65628:OMI65636 OWE65628:OWE65636 PGA65628:PGA65636 PPW65628:PPW65636 PZS65628:PZS65636 QJO65628:QJO65636 QTK65628:QTK65636 RDG65628:RDG65636 RNC65628:RNC65636 RWY65628:RWY65636 SGU65628:SGU65636 SQQ65628:SQQ65636 TAM65628:TAM65636 TKI65628:TKI65636 TUE65628:TUE65636 UEA65628:UEA65636 UNW65628:UNW65636 UXS65628:UXS65636 VHO65628:VHO65636 VRK65628:VRK65636 WBG65628:WBG65636 WLC65628:WLC65636 WUY65628:WUY65636 F131164:G131172 IM131164:IM131172 SI131164:SI131172 ACE131164:ACE131172 AMA131164:AMA131172 AVW131164:AVW131172 BFS131164:BFS131172 BPO131164:BPO131172 BZK131164:BZK131172 CJG131164:CJG131172 CTC131164:CTC131172 DCY131164:DCY131172 DMU131164:DMU131172 DWQ131164:DWQ131172 EGM131164:EGM131172 EQI131164:EQI131172 FAE131164:FAE131172 FKA131164:FKA131172 FTW131164:FTW131172 GDS131164:GDS131172 GNO131164:GNO131172 GXK131164:GXK131172 HHG131164:HHG131172 HRC131164:HRC131172 IAY131164:IAY131172 IKU131164:IKU131172 IUQ131164:IUQ131172 JEM131164:JEM131172 JOI131164:JOI131172 JYE131164:JYE131172 KIA131164:KIA131172 KRW131164:KRW131172 LBS131164:LBS131172 LLO131164:LLO131172 LVK131164:LVK131172 MFG131164:MFG131172 MPC131164:MPC131172 MYY131164:MYY131172 NIU131164:NIU131172 NSQ131164:NSQ131172 OCM131164:OCM131172 OMI131164:OMI131172 OWE131164:OWE131172 PGA131164:PGA131172 PPW131164:PPW131172 PZS131164:PZS131172 QJO131164:QJO131172 QTK131164:QTK131172 RDG131164:RDG131172 RNC131164:RNC131172 RWY131164:RWY131172 SGU131164:SGU131172 SQQ131164:SQQ131172 TAM131164:TAM131172 TKI131164:TKI131172 TUE131164:TUE131172 UEA131164:UEA131172 UNW131164:UNW131172 UXS131164:UXS131172 VHO131164:VHO131172 VRK131164:VRK131172 WBG131164:WBG131172 WLC131164:WLC131172 WUY131164:WUY131172 F196700:G196708 IM196700:IM196708 SI196700:SI196708 ACE196700:ACE196708 AMA196700:AMA196708 AVW196700:AVW196708 BFS196700:BFS196708 BPO196700:BPO196708 BZK196700:BZK196708 CJG196700:CJG196708 CTC196700:CTC196708 DCY196700:DCY196708 DMU196700:DMU196708 DWQ196700:DWQ196708 EGM196700:EGM196708 EQI196700:EQI196708 FAE196700:FAE196708 FKA196700:FKA196708 FTW196700:FTW196708 GDS196700:GDS196708 GNO196700:GNO196708 GXK196700:GXK196708 HHG196700:HHG196708 HRC196700:HRC196708 IAY196700:IAY196708 IKU196700:IKU196708 IUQ196700:IUQ196708 JEM196700:JEM196708 JOI196700:JOI196708 JYE196700:JYE196708 KIA196700:KIA196708 KRW196700:KRW196708 LBS196700:LBS196708 LLO196700:LLO196708 LVK196700:LVK196708 MFG196700:MFG196708 MPC196700:MPC196708 MYY196700:MYY196708 NIU196700:NIU196708 NSQ196700:NSQ196708 OCM196700:OCM196708 OMI196700:OMI196708 OWE196700:OWE196708 PGA196700:PGA196708 PPW196700:PPW196708 PZS196700:PZS196708 QJO196700:QJO196708 QTK196700:QTK196708 RDG196700:RDG196708 RNC196700:RNC196708 RWY196700:RWY196708 SGU196700:SGU196708 SQQ196700:SQQ196708 TAM196700:TAM196708 TKI196700:TKI196708 TUE196700:TUE196708 UEA196700:UEA196708 UNW196700:UNW196708 UXS196700:UXS196708 VHO196700:VHO196708 VRK196700:VRK196708 WBG196700:WBG196708 WLC196700:WLC196708 WUY196700:WUY196708 F262236:G262244 IM262236:IM262244 SI262236:SI262244 ACE262236:ACE262244 AMA262236:AMA262244 AVW262236:AVW262244 BFS262236:BFS262244 BPO262236:BPO262244 BZK262236:BZK262244 CJG262236:CJG262244 CTC262236:CTC262244 DCY262236:DCY262244 DMU262236:DMU262244 DWQ262236:DWQ262244 EGM262236:EGM262244 EQI262236:EQI262244 FAE262236:FAE262244 FKA262236:FKA262244 FTW262236:FTW262244 GDS262236:GDS262244 GNO262236:GNO262244 GXK262236:GXK262244 HHG262236:HHG262244 HRC262236:HRC262244 IAY262236:IAY262244 IKU262236:IKU262244 IUQ262236:IUQ262244 JEM262236:JEM262244 JOI262236:JOI262244 JYE262236:JYE262244 KIA262236:KIA262244 KRW262236:KRW262244 LBS262236:LBS262244 LLO262236:LLO262244 LVK262236:LVK262244 MFG262236:MFG262244 MPC262236:MPC262244 MYY262236:MYY262244 NIU262236:NIU262244 NSQ262236:NSQ262244 OCM262236:OCM262244 OMI262236:OMI262244 OWE262236:OWE262244 PGA262236:PGA262244 PPW262236:PPW262244 PZS262236:PZS262244 QJO262236:QJO262244 QTK262236:QTK262244 RDG262236:RDG262244 RNC262236:RNC262244 RWY262236:RWY262244 SGU262236:SGU262244 SQQ262236:SQQ262244 TAM262236:TAM262244 TKI262236:TKI262244 TUE262236:TUE262244 UEA262236:UEA262244 UNW262236:UNW262244 UXS262236:UXS262244 VHO262236:VHO262244 VRK262236:VRK262244 WBG262236:WBG262244 WLC262236:WLC262244 WUY262236:WUY262244 F327772:G327780 IM327772:IM327780 SI327772:SI327780 ACE327772:ACE327780 AMA327772:AMA327780 AVW327772:AVW327780 BFS327772:BFS327780 BPO327772:BPO327780 BZK327772:BZK327780 CJG327772:CJG327780 CTC327772:CTC327780 DCY327772:DCY327780 DMU327772:DMU327780 DWQ327772:DWQ327780 EGM327772:EGM327780 EQI327772:EQI327780 FAE327772:FAE327780 FKA327772:FKA327780 FTW327772:FTW327780 GDS327772:GDS327780 GNO327772:GNO327780 GXK327772:GXK327780 HHG327772:HHG327780 HRC327772:HRC327780 IAY327772:IAY327780 IKU327772:IKU327780 IUQ327772:IUQ327780 JEM327772:JEM327780 JOI327772:JOI327780 JYE327772:JYE327780 KIA327772:KIA327780 KRW327772:KRW327780 LBS327772:LBS327780 LLO327772:LLO327780 LVK327772:LVK327780 MFG327772:MFG327780 MPC327772:MPC327780 MYY327772:MYY327780 NIU327772:NIU327780 NSQ327772:NSQ327780 OCM327772:OCM327780 OMI327772:OMI327780 OWE327772:OWE327780 PGA327772:PGA327780 PPW327772:PPW327780 PZS327772:PZS327780 QJO327772:QJO327780 QTK327772:QTK327780 RDG327772:RDG327780 RNC327772:RNC327780 RWY327772:RWY327780 SGU327772:SGU327780 SQQ327772:SQQ327780 TAM327772:TAM327780 TKI327772:TKI327780 TUE327772:TUE327780 UEA327772:UEA327780 UNW327772:UNW327780 UXS327772:UXS327780 VHO327772:VHO327780 VRK327772:VRK327780 WBG327772:WBG327780 WLC327772:WLC327780 WUY327772:WUY327780 F393308:G393316 IM393308:IM393316 SI393308:SI393316 ACE393308:ACE393316 AMA393308:AMA393316 AVW393308:AVW393316 BFS393308:BFS393316 BPO393308:BPO393316 BZK393308:BZK393316 CJG393308:CJG393316 CTC393308:CTC393316 DCY393308:DCY393316 DMU393308:DMU393316 DWQ393308:DWQ393316 EGM393308:EGM393316 EQI393308:EQI393316 FAE393308:FAE393316 FKA393308:FKA393316 FTW393308:FTW393316 GDS393308:GDS393316 GNO393308:GNO393316 GXK393308:GXK393316 HHG393308:HHG393316 HRC393308:HRC393316 IAY393308:IAY393316 IKU393308:IKU393316 IUQ393308:IUQ393316 JEM393308:JEM393316 JOI393308:JOI393316 JYE393308:JYE393316 KIA393308:KIA393316 KRW393308:KRW393316 LBS393308:LBS393316 LLO393308:LLO393316 LVK393308:LVK393316 MFG393308:MFG393316 MPC393308:MPC393316 MYY393308:MYY393316 NIU393308:NIU393316 NSQ393308:NSQ393316 OCM393308:OCM393316 OMI393308:OMI393316 OWE393308:OWE393316 PGA393308:PGA393316 PPW393308:PPW393316 PZS393308:PZS393316 QJO393308:QJO393316 QTK393308:QTK393316 RDG393308:RDG393316 RNC393308:RNC393316 RWY393308:RWY393316 SGU393308:SGU393316 SQQ393308:SQQ393316 TAM393308:TAM393316 TKI393308:TKI393316 TUE393308:TUE393316 UEA393308:UEA393316 UNW393308:UNW393316 UXS393308:UXS393316 VHO393308:VHO393316 VRK393308:VRK393316 WBG393308:WBG393316 WLC393308:WLC393316 WUY393308:WUY393316 F458844:G458852 IM458844:IM458852 SI458844:SI458852 ACE458844:ACE458852 AMA458844:AMA458852 AVW458844:AVW458852 BFS458844:BFS458852 BPO458844:BPO458852 BZK458844:BZK458852 CJG458844:CJG458852 CTC458844:CTC458852 DCY458844:DCY458852 DMU458844:DMU458852 DWQ458844:DWQ458852 EGM458844:EGM458852 EQI458844:EQI458852 FAE458844:FAE458852 FKA458844:FKA458852 FTW458844:FTW458852 GDS458844:GDS458852 GNO458844:GNO458852 GXK458844:GXK458852 HHG458844:HHG458852 HRC458844:HRC458852 IAY458844:IAY458852 IKU458844:IKU458852 IUQ458844:IUQ458852 JEM458844:JEM458852 JOI458844:JOI458852 JYE458844:JYE458852 KIA458844:KIA458852 KRW458844:KRW458852 LBS458844:LBS458852 LLO458844:LLO458852 LVK458844:LVK458852 MFG458844:MFG458852 MPC458844:MPC458852 MYY458844:MYY458852 NIU458844:NIU458852 NSQ458844:NSQ458852 OCM458844:OCM458852 OMI458844:OMI458852 OWE458844:OWE458852 PGA458844:PGA458852 PPW458844:PPW458852 PZS458844:PZS458852 QJO458844:QJO458852 QTK458844:QTK458852 RDG458844:RDG458852 RNC458844:RNC458852 RWY458844:RWY458852 SGU458844:SGU458852 SQQ458844:SQQ458852 TAM458844:TAM458852 TKI458844:TKI458852 TUE458844:TUE458852 UEA458844:UEA458852 UNW458844:UNW458852 UXS458844:UXS458852 VHO458844:VHO458852 VRK458844:VRK458852 WBG458844:WBG458852 WLC458844:WLC458852 WUY458844:WUY458852 F524380:G524388 IM524380:IM524388 SI524380:SI524388 ACE524380:ACE524388 AMA524380:AMA524388 AVW524380:AVW524388 BFS524380:BFS524388 BPO524380:BPO524388 BZK524380:BZK524388 CJG524380:CJG524388 CTC524380:CTC524388 DCY524380:DCY524388 DMU524380:DMU524388 DWQ524380:DWQ524388 EGM524380:EGM524388 EQI524380:EQI524388 FAE524380:FAE524388 FKA524380:FKA524388 FTW524380:FTW524388 GDS524380:GDS524388 GNO524380:GNO524388 GXK524380:GXK524388 HHG524380:HHG524388 HRC524380:HRC524388 IAY524380:IAY524388 IKU524380:IKU524388 IUQ524380:IUQ524388 JEM524380:JEM524388 JOI524380:JOI524388 JYE524380:JYE524388 KIA524380:KIA524388 KRW524380:KRW524388 LBS524380:LBS524388 LLO524380:LLO524388 LVK524380:LVK524388 MFG524380:MFG524388 MPC524380:MPC524388 MYY524380:MYY524388 NIU524380:NIU524388 NSQ524380:NSQ524388 OCM524380:OCM524388 OMI524380:OMI524388 OWE524380:OWE524388 PGA524380:PGA524388 PPW524380:PPW524388 PZS524380:PZS524388 QJO524380:QJO524388 QTK524380:QTK524388 RDG524380:RDG524388 RNC524380:RNC524388 RWY524380:RWY524388 SGU524380:SGU524388 SQQ524380:SQQ524388 TAM524380:TAM524388 TKI524380:TKI524388 TUE524380:TUE524388 UEA524380:UEA524388 UNW524380:UNW524388 UXS524380:UXS524388 VHO524380:VHO524388 VRK524380:VRK524388 WBG524380:WBG524388 WLC524380:WLC524388 WUY524380:WUY524388 F589916:G589924 IM589916:IM589924 SI589916:SI589924 ACE589916:ACE589924 AMA589916:AMA589924 AVW589916:AVW589924 BFS589916:BFS589924 BPO589916:BPO589924 BZK589916:BZK589924 CJG589916:CJG589924 CTC589916:CTC589924 DCY589916:DCY589924 DMU589916:DMU589924 DWQ589916:DWQ589924 EGM589916:EGM589924 EQI589916:EQI589924 FAE589916:FAE589924 FKA589916:FKA589924 FTW589916:FTW589924 GDS589916:GDS589924 GNO589916:GNO589924 GXK589916:GXK589924 HHG589916:HHG589924 HRC589916:HRC589924 IAY589916:IAY589924 IKU589916:IKU589924 IUQ589916:IUQ589924 JEM589916:JEM589924 JOI589916:JOI589924 JYE589916:JYE589924 KIA589916:KIA589924 KRW589916:KRW589924 LBS589916:LBS589924 LLO589916:LLO589924 LVK589916:LVK589924 MFG589916:MFG589924 MPC589916:MPC589924 MYY589916:MYY589924 NIU589916:NIU589924 NSQ589916:NSQ589924 OCM589916:OCM589924 OMI589916:OMI589924 OWE589916:OWE589924 PGA589916:PGA589924 PPW589916:PPW589924 PZS589916:PZS589924 QJO589916:QJO589924 QTK589916:QTK589924 RDG589916:RDG589924 RNC589916:RNC589924 RWY589916:RWY589924 SGU589916:SGU589924 SQQ589916:SQQ589924 TAM589916:TAM589924 TKI589916:TKI589924 TUE589916:TUE589924 UEA589916:UEA589924 UNW589916:UNW589924 UXS589916:UXS589924 VHO589916:VHO589924 VRK589916:VRK589924 WBG589916:WBG589924 WLC589916:WLC589924 WUY589916:WUY589924 F655452:G655460 IM655452:IM655460 SI655452:SI655460 ACE655452:ACE655460 AMA655452:AMA655460 AVW655452:AVW655460 BFS655452:BFS655460 BPO655452:BPO655460 BZK655452:BZK655460 CJG655452:CJG655460 CTC655452:CTC655460 DCY655452:DCY655460 DMU655452:DMU655460 DWQ655452:DWQ655460 EGM655452:EGM655460 EQI655452:EQI655460 FAE655452:FAE655460 FKA655452:FKA655460 FTW655452:FTW655460 GDS655452:GDS655460 GNO655452:GNO655460 GXK655452:GXK655460 HHG655452:HHG655460 HRC655452:HRC655460 IAY655452:IAY655460 IKU655452:IKU655460 IUQ655452:IUQ655460 JEM655452:JEM655460 JOI655452:JOI655460 JYE655452:JYE655460 KIA655452:KIA655460 KRW655452:KRW655460 LBS655452:LBS655460 LLO655452:LLO655460 LVK655452:LVK655460 MFG655452:MFG655460 MPC655452:MPC655460 MYY655452:MYY655460 NIU655452:NIU655460 NSQ655452:NSQ655460 OCM655452:OCM655460 OMI655452:OMI655460 OWE655452:OWE655460 PGA655452:PGA655460 PPW655452:PPW655460 PZS655452:PZS655460 QJO655452:QJO655460 QTK655452:QTK655460 RDG655452:RDG655460 RNC655452:RNC655460 RWY655452:RWY655460 SGU655452:SGU655460 SQQ655452:SQQ655460 TAM655452:TAM655460 TKI655452:TKI655460 TUE655452:TUE655460 UEA655452:UEA655460 UNW655452:UNW655460 UXS655452:UXS655460 VHO655452:VHO655460 VRK655452:VRK655460 WBG655452:WBG655460 WLC655452:WLC655460 WUY655452:WUY655460 F720988:G720996 IM720988:IM720996 SI720988:SI720996 ACE720988:ACE720996 AMA720988:AMA720996 AVW720988:AVW720996 BFS720988:BFS720996 BPO720988:BPO720996 BZK720988:BZK720996 CJG720988:CJG720996 CTC720988:CTC720996 DCY720988:DCY720996 DMU720988:DMU720996 DWQ720988:DWQ720996 EGM720988:EGM720996 EQI720988:EQI720996 FAE720988:FAE720996 FKA720988:FKA720996 FTW720988:FTW720996 GDS720988:GDS720996 GNO720988:GNO720996 GXK720988:GXK720996 HHG720988:HHG720996 HRC720988:HRC720996 IAY720988:IAY720996 IKU720988:IKU720996 IUQ720988:IUQ720996 JEM720988:JEM720996 JOI720988:JOI720996 JYE720988:JYE720996 KIA720988:KIA720996 KRW720988:KRW720996 LBS720988:LBS720996 LLO720988:LLO720996 LVK720988:LVK720996 MFG720988:MFG720996 MPC720988:MPC720996 MYY720988:MYY720996 NIU720988:NIU720996 NSQ720988:NSQ720996 OCM720988:OCM720996 OMI720988:OMI720996 OWE720988:OWE720996 PGA720988:PGA720996 PPW720988:PPW720996 PZS720988:PZS720996 QJO720988:QJO720996 QTK720988:QTK720996 RDG720988:RDG720996 RNC720988:RNC720996 RWY720988:RWY720996 SGU720988:SGU720996 SQQ720988:SQQ720996 TAM720988:TAM720996 TKI720988:TKI720996 TUE720988:TUE720996 UEA720988:UEA720996 UNW720988:UNW720996 UXS720988:UXS720996 VHO720988:VHO720996 VRK720988:VRK720996 WBG720988:WBG720996 WLC720988:WLC720996 WUY720988:WUY720996 F786524:G786532 IM786524:IM786532 SI786524:SI786532 ACE786524:ACE786532 AMA786524:AMA786532 AVW786524:AVW786532 BFS786524:BFS786532 BPO786524:BPO786532 BZK786524:BZK786532 CJG786524:CJG786532 CTC786524:CTC786532 DCY786524:DCY786532 DMU786524:DMU786532 DWQ786524:DWQ786532 EGM786524:EGM786532 EQI786524:EQI786532 FAE786524:FAE786532 FKA786524:FKA786532 FTW786524:FTW786532 GDS786524:GDS786532 GNO786524:GNO786532 GXK786524:GXK786532 HHG786524:HHG786532 HRC786524:HRC786532 IAY786524:IAY786532 IKU786524:IKU786532 IUQ786524:IUQ786532 JEM786524:JEM786532 JOI786524:JOI786532 JYE786524:JYE786532 KIA786524:KIA786532 KRW786524:KRW786532 LBS786524:LBS786532 LLO786524:LLO786532 LVK786524:LVK786532 MFG786524:MFG786532 MPC786524:MPC786532 MYY786524:MYY786532 NIU786524:NIU786532 NSQ786524:NSQ786532 OCM786524:OCM786532 OMI786524:OMI786532 OWE786524:OWE786532 PGA786524:PGA786532 PPW786524:PPW786532 PZS786524:PZS786532 QJO786524:QJO786532 QTK786524:QTK786532 RDG786524:RDG786532 RNC786524:RNC786532 RWY786524:RWY786532 SGU786524:SGU786532 SQQ786524:SQQ786532 TAM786524:TAM786532 TKI786524:TKI786532 TUE786524:TUE786532 UEA786524:UEA786532 UNW786524:UNW786532 UXS786524:UXS786532 VHO786524:VHO786532 VRK786524:VRK786532 WBG786524:WBG786532 WLC786524:WLC786532 WUY786524:WUY786532 F852060:G852068 IM852060:IM852068 SI852060:SI852068 ACE852060:ACE852068 AMA852060:AMA852068 AVW852060:AVW852068 BFS852060:BFS852068 BPO852060:BPO852068 BZK852060:BZK852068 CJG852060:CJG852068 CTC852060:CTC852068 DCY852060:DCY852068 DMU852060:DMU852068 DWQ852060:DWQ852068 EGM852060:EGM852068 EQI852060:EQI852068 FAE852060:FAE852068 FKA852060:FKA852068 FTW852060:FTW852068 GDS852060:GDS852068 GNO852060:GNO852068 GXK852060:GXK852068 HHG852060:HHG852068 HRC852060:HRC852068 IAY852060:IAY852068 IKU852060:IKU852068 IUQ852060:IUQ852068 JEM852060:JEM852068 JOI852060:JOI852068 JYE852060:JYE852068 KIA852060:KIA852068 KRW852060:KRW852068 LBS852060:LBS852068 LLO852060:LLO852068 LVK852060:LVK852068 MFG852060:MFG852068 MPC852060:MPC852068 MYY852060:MYY852068 NIU852060:NIU852068 NSQ852060:NSQ852068 OCM852060:OCM852068 OMI852060:OMI852068 OWE852060:OWE852068 PGA852060:PGA852068 PPW852060:PPW852068 PZS852060:PZS852068 QJO852060:QJO852068 QTK852060:QTK852068 RDG852060:RDG852068 RNC852060:RNC852068 RWY852060:RWY852068 SGU852060:SGU852068 SQQ852060:SQQ852068 TAM852060:TAM852068 TKI852060:TKI852068 TUE852060:TUE852068 UEA852060:UEA852068 UNW852060:UNW852068 UXS852060:UXS852068 VHO852060:VHO852068 VRK852060:VRK852068 WBG852060:WBG852068 WLC852060:WLC852068 WUY852060:WUY852068 F917596:G917604 IM917596:IM917604 SI917596:SI917604 ACE917596:ACE917604 AMA917596:AMA917604 AVW917596:AVW917604 BFS917596:BFS917604 BPO917596:BPO917604 BZK917596:BZK917604 CJG917596:CJG917604 CTC917596:CTC917604 DCY917596:DCY917604 DMU917596:DMU917604 DWQ917596:DWQ917604 EGM917596:EGM917604 EQI917596:EQI917604 FAE917596:FAE917604 FKA917596:FKA917604 FTW917596:FTW917604 GDS917596:GDS917604 GNO917596:GNO917604 GXK917596:GXK917604 HHG917596:HHG917604 HRC917596:HRC917604 IAY917596:IAY917604 IKU917596:IKU917604 IUQ917596:IUQ917604 JEM917596:JEM917604 JOI917596:JOI917604 JYE917596:JYE917604 KIA917596:KIA917604 KRW917596:KRW917604 LBS917596:LBS917604 LLO917596:LLO917604 LVK917596:LVK917604 MFG917596:MFG917604 MPC917596:MPC917604 MYY917596:MYY917604 NIU917596:NIU917604 NSQ917596:NSQ917604 OCM917596:OCM917604 OMI917596:OMI917604 OWE917596:OWE917604 PGA917596:PGA917604 PPW917596:PPW917604 PZS917596:PZS917604 QJO917596:QJO917604 QTK917596:QTK917604 RDG917596:RDG917604 RNC917596:RNC917604 RWY917596:RWY917604 SGU917596:SGU917604 SQQ917596:SQQ917604 TAM917596:TAM917604 TKI917596:TKI917604 TUE917596:TUE917604 UEA917596:UEA917604 UNW917596:UNW917604 UXS917596:UXS917604 VHO917596:VHO917604 VRK917596:VRK917604 WBG917596:WBG917604 WLC917596:WLC917604 WUY917596:WUY917604 F983132:G983140 IM983132:IM983140 SI983132:SI983140 ACE983132:ACE983140 AMA983132:AMA983140 AVW983132:AVW983140 BFS983132:BFS983140 BPO983132:BPO983140 BZK983132:BZK983140 CJG983132:CJG983140 CTC983132:CTC983140 DCY983132:DCY983140 DMU983132:DMU983140 DWQ983132:DWQ983140 EGM983132:EGM983140 EQI983132:EQI983140 FAE983132:FAE983140 FKA983132:FKA983140 FTW983132:FTW983140 GDS983132:GDS983140 GNO983132:GNO983140 GXK983132:GXK983140 HHG983132:HHG983140 HRC983132:HRC983140 IAY983132:IAY983140 IKU983132:IKU983140 IUQ983132:IUQ983140 JEM983132:JEM983140 JOI983132:JOI983140 JYE983132:JYE983140 KIA983132:KIA983140 KRW983132:KRW983140 LBS983132:LBS983140 LLO983132:LLO983140 LVK983132:LVK983140 MFG983132:MFG983140 MPC983132:MPC983140 MYY983132:MYY983140 NIU983132:NIU983140 NSQ983132:NSQ983140 OCM983132:OCM983140 OMI983132:OMI983140 OWE983132:OWE983140 PGA983132:PGA983140 PPW983132:PPW983140 PZS983132:PZS983140 QJO983132:QJO983140 QTK983132:QTK983140 RDG983132:RDG983140 RNC983132:RNC983140 RWY983132:RWY983140 SGU983132:SGU983140 SQQ983132:SQQ983140 TAM983132:TAM983140 TKI983132:TKI983140 TUE983132:TUE983140 UEA983132:UEA983140 UNW983132:UNW983140 UXS983132:UXS983140 VHO983132:VHO983140 VRK983132:VRK983140 WBG983132:WBG983140 WLC983132:WLC983140 WUY983132:WUY983140 F11:G51 IM54:IM78 SI54:SI78 ACE54:ACE78 AMA54:AMA78 AVW54:AVW78 BFS54:BFS78 BPO54:BPO78 BZK54:BZK78 CJG54:CJG78 CTC54:CTC78 DCY54:DCY78 DMU54:DMU78 DWQ54:DWQ78 EGM54:EGM78 EQI54:EQI78 FAE54:FAE78 FKA54:FKA78 FTW54:FTW78 GDS54:GDS78 GNO54:GNO78 GXK54:GXK78 HHG54:HHG78 HRC54:HRC78 IAY54:IAY78 IKU54:IKU78 IUQ54:IUQ78 JEM54:JEM78 JOI54:JOI78 JYE54:JYE78 KIA54:KIA78 KRW54:KRW78 LBS54:LBS78 LLO54:LLO78 LVK54:LVK78 MFG54:MFG78 MPC54:MPC78 MYY54:MYY78 NIU54:NIU78 NSQ54:NSQ78 OCM54:OCM78 OMI54:OMI78 OWE54:OWE78 PGA54:PGA78 PPW54:PPW78 PZS54:PZS78 QJO54:QJO78 QTK54:QTK78 RDG54:RDG78 RNC54:RNC78 RWY54:RWY78 SGU54:SGU78 SQQ54:SQQ78 TAM54:TAM78 TKI54:TKI78 TUE54:TUE78 UEA54:UEA78 UNW54:UNW78 UXS54:UXS78 VHO54:VHO78 VRK54:VRK78 WBG54:WBG78 WLC54:WLC78 WUY54:WUY78 F65639:G65647 IM65639:IM65647 SI65639:SI65647 ACE65639:ACE65647 AMA65639:AMA65647 AVW65639:AVW65647 BFS65639:BFS65647 BPO65639:BPO65647 BZK65639:BZK65647 CJG65639:CJG65647 CTC65639:CTC65647 DCY65639:DCY65647 DMU65639:DMU65647 DWQ65639:DWQ65647 EGM65639:EGM65647 EQI65639:EQI65647 FAE65639:FAE65647 FKA65639:FKA65647 FTW65639:FTW65647 GDS65639:GDS65647 GNO65639:GNO65647 GXK65639:GXK65647 HHG65639:HHG65647 HRC65639:HRC65647 IAY65639:IAY65647 IKU65639:IKU65647 IUQ65639:IUQ65647 JEM65639:JEM65647 JOI65639:JOI65647 JYE65639:JYE65647 KIA65639:KIA65647 KRW65639:KRW65647 LBS65639:LBS65647 LLO65639:LLO65647 LVK65639:LVK65647 MFG65639:MFG65647 MPC65639:MPC65647 MYY65639:MYY65647 NIU65639:NIU65647 NSQ65639:NSQ65647 OCM65639:OCM65647 OMI65639:OMI65647 OWE65639:OWE65647 PGA65639:PGA65647 PPW65639:PPW65647 PZS65639:PZS65647 QJO65639:QJO65647 QTK65639:QTK65647 RDG65639:RDG65647 RNC65639:RNC65647 RWY65639:RWY65647 SGU65639:SGU65647 SQQ65639:SQQ65647 TAM65639:TAM65647 TKI65639:TKI65647 TUE65639:TUE65647 UEA65639:UEA65647 UNW65639:UNW65647 UXS65639:UXS65647 VHO65639:VHO65647 VRK65639:VRK65647 WBG65639:WBG65647 WLC65639:WLC65647 WUY65639:WUY65647 F131175:G131183 IM131175:IM131183 SI131175:SI131183 ACE131175:ACE131183 AMA131175:AMA131183 AVW131175:AVW131183 BFS131175:BFS131183 BPO131175:BPO131183 BZK131175:BZK131183 CJG131175:CJG131183 CTC131175:CTC131183 DCY131175:DCY131183 DMU131175:DMU131183 DWQ131175:DWQ131183 EGM131175:EGM131183 EQI131175:EQI131183 FAE131175:FAE131183 FKA131175:FKA131183 FTW131175:FTW131183 GDS131175:GDS131183 GNO131175:GNO131183 GXK131175:GXK131183 HHG131175:HHG131183 HRC131175:HRC131183 IAY131175:IAY131183 IKU131175:IKU131183 IUQ131175:IUQ131183 JEM131175:JEM131183 JOI131175:JOI131183 JYE131175:JYE131183 KIA131175:KIA131183 KRW131175:KRW131183 LBS131175:LBS131183 LLO131175:LLO131183 LVK131175:LVK131183 MFG131175:MFG131183 MPC131175:MPC131183 MYY131175:MYY131183 NIU131175:NIU131183 NSQ131175:NSQ131183 OCM131175:OCM131183 OMI131175:OMI131183 OWE131175:OWE131183 PGA131175:PGA131183 PPW131175:PPW131183 PZS131175:PZS131183 QJO131175:QJO131183 QTK131175:QTK131183 RDG131175:RDG131183 RNC131175:RNC131183 RWY131175:RWY131183 SGU131175:SGU131183 SQQ131175:SQQ131183 TAM131175:TAM131183 TKI131175:TKI131183 TUE131175:TUE131183 UEA131175:UEA131183 UNW131175:UNW131183 UXS131175:UXS131183 VHO131175:VHO131183 VRK131175:VRK131183 WBG131175:WBG131183 WLC131175:WLC131183 WUY131175:WUY131183 F196711:G196719 IM196711:IM196719 SI196711:SI196719 ACE196711:ACE196719 AMA196711:AMA196719 AVW196711:AVW196719 BFS196711:BFS196719 BPO196711:BPO196719 BZK196711:BZK196719 CJG196711:CJG196719 CTC196711:CTC196719 DCY196711:DCY196719 DMU196711:DMU196719 DWQ196711:DWQ196719 EGM196711:EGM196719 EQI196711:EQI196719 FAE196711:FAE196719 FKA196711:FKA196719 FTW196711:FTW196719 GDS196711:GDS196719 GNO196711:GNO196719 GXK196711:GXK196719 HHG196711:HHG196719 HRC196711:HRC196719 IAY196711:IAY196719 IKU196711:IKU196719 IUQ196711:IUQ196719 JEM196711:JEM196719 JOI196711:JOI196719 JYE196711:JYE196719 KIA196711:KIA196719 KRW196711:KRW196719 LBS196711:LBS196719 LLO196711:LLO196719 LVK196711:LVK196719 MFG196711:MFG196719 MPC196711:MPC196719 MYY196711:MYY196719 NIU196711:NIU196719 NSQ196711:NSQ196719 OCM196711:OCM196719 OMI196711:OMI196719 OWE196711:OWE196719 PGA196711:PGA196719 PPW196711:PPW196719 PZS196711:PZS196719 QJO196711:QJO196719 QTK196711:QTK196719 RDG196711:RDG196719 RNC196711:RNC196719 RWY196711:RWY196719 SGU196711:SGU196719 SQQ196711:SQQ196719 TAM196711:TAM196719 TKI196711:TKI196719 TUE196711:TUE196719 UEA196711:UEA196719 UNW196711:UNW196719 UXS196711:UXS196719 VHO196711:VHO196719 VRK196711:VRK196719 WBG196711:WBG196719 WLC196711:WLC196719 WUY196711:WUY196719 F262247:G262255 IM262247:IM262255 SI262247:SI262255 ACE262247:ACE262255 AMA262247:AMA262255 AVW262247:AVW262255 BFS262247:BFS262255 BPO262247:BPO262255 BZK262247:BZK262255 CJG262247:CJG262255 CTC262247:CTC262255 DCY262247:DCY262255 DMU262247:DMU262255 DWQ262247:DWQ262255 EGM262247:EGM262255 EQI262247:EQI262255 FAE262247:FAE262255 FKA262247:FKA262255 FTW262247:FTW262255 GDS262247:GDS262255 GNO262247:GNO262255 GXK262247:GXK262255 HHG262247:HHG262255 HRC262247:HRC262255 IAY262247:IAY262255 IKU262247:IKU262255 IUQ262247:IUQ262255 JEM262247:JEM262255 JOI262247:JOI262255 JYE262247:JYE262255 KIA262247:KIA262255 KRW262247:KRW262255 LBS262247:LBS262255 LLO262247:LLO262255 LVK262247:LVK262255 MFG262247:MFG262255 MPC262247:MPC262255 MYY262247:MYY262255 NIU262247:NIU262255 NSQ262247:NSQ262255 OCM262247:OCM262255 OMI262247:OMI262255 OWE262247:OWE262255 PGA262247:PGA262255 PPW262247:PPW262255 PZS262247:PZS262255 QJO262247:QJO262255 QTK262247:QTK262255 RDG262247:RDG262255 RNC262247:RNC262255 RWY262247:RWY262255 SGU262247:SGU262255 SQQ262247:SQQ262255 TAM262247:TAM262255 TKI262247:TKI262255 TUE262247:TUE262255 UEA262247:UEA262255 UNW262247:UNW262255 UXS262247:UXS262255 VHO262247:VHO262255 VRK262247:VRK262255 WBG262247:WBG262255 WLC262247:WLC262255 WUY262247:WUY262255 F327783:G327791 IM327783:IM327791 SI327783:SI327791 ACE327783:ACE327791 AMA327783:AMA327791 AVW327783:AVW327791 BFS327783:BFS327791 BPO327783:BPO327791 BZK327783:BZK327791 CJG327783:CJG327791 CTC327783:CTC327791 DCY327783:DCY327791 DMU327783:DMU327791 DWQ327783:DWQ327791 EGM327783:EGM327791 EQI327783:EQI327791 FAE327783:FAE327791 FKA327783:FKA327791 FTW327783:FTW327791 GDS327783:GDS327791 GNO327783:GNO327791 GXK327783:GXK327791 HHG327783:HHG327791 HRC327783:HRC327791 IAY327783:IAY327791 IKU327783:IKU327791 IUQ327783:IUQ327791 JEM327783:JEM327791 JOI327783:JOI327791 JYE327783:JYE327791 KIA327783:KIA327791 KRW327783:KRW327791 LBS327783:LBS327791 LLO327783:LLO327791 LVK327783:LVK327791 MFG327783:MFG327791 MPC327783:MPC327791 MYY327783:MYY327791 NIU327783:NIU327791 NSQ327783:NSQ327791 OCM327783:OCM327791 OMI327783:OMI327791 OWE327783:OWE327791 PGA327783:PGA327791 PPW327783:PPW327791 PZS327783:PZS327791 QJO327783:QJO327791 QTK327783:QTK327791 RDG327783:RDG327791 RNC327783:RNC327791 RWY327783:RWY327791 SGU327783:SGU327791 SQQ327783:SQQ327791 TAM327783:TAM327791 TKI327783:TKI327791 TUE327783:TUE327791 UEA327783:UEA327791 UNW327783:UNW327791 UXS327783:UXS327791 VHO327783:VHO327791 VRK327783:VRK327791 WBG327783:WBG327791 WLC327783:WLC327791 WUY327783:WUY327791 F393319:G393327 IM393319:IM393327 SI393319:SI393327 ACE393319:ACE393327 AMA393319:AMA393327 AVW393319:AVW393327 BFS393319:BFS393327 BPO393319:BPO393327 BZK393319:BZK393327 CJG393319:CJG393327 CTC393319:CTC393327 DCY393319:DCY393327 DMU393319:DMU393327 DWQ393319:DWQ393327 EGM393319:EGM393327 EQI393319:EQI393327 FAE393319:FAE393327 FKA393319:FKA393327 FTW393319:FTW393327 GDS393319:GDS393327 GNO393319:GNO393327 GXK393319:GXK393327 HHG393319:HHG393327 HRC393319:HRC393327 IAY393319:IAY393327 IKU393319:IKU393327 IUQ393319:IUQ393327 JEM393319:JEM393327 JOI393319:JOI393327 JYE393319:JYE393327 KIA393319:KIA393327 KRW393319:KRW393327 LBS393319:LBS393327 LLO393319:LLO393327 LVK393319:LVK393327 MFG393319:MFG393327 MPC393319:MPC393327 MYY393319:MYY393327 NIU393319:NIU393327 NSQ393319:NSQ393327 OCM393319:OCM393327 OMI393319:OMI393327 OWE393319:OWE393327 PGA393319:PGA393327 PPW393319:PPW393327 PZS393319:PZS393327 QJO393319:QJO393327 QTK393319:QTK393327 RDG393319:RDG393327 RNC393319:RNC393327 RWY393319:RWY393327 SGU393319:SGU393327 SQQ393319:SQQ393327 TAM393319:TAM393327 TKI393319:TKI393327 TUE393319:TUE393327 UEA393319:UEA393327 UNW393319:UNW393327 UXS393319:UXS393327 VHO393319:VHO393327 VRK393319:VRK393327 WBG393319:WBG393327 WLC393319:WLC393327 WUY393319:WUY393327 F458855:G458863 IM458855:IM458863 SI458855:SI458863 ACE458855:ACE458863 AMA458855:AMA458863 AVW458855:AVW458863 BFS458855:BFS458863 BPO458855:BPO458863 BZK458855:BZK458863 CJG458855:CJG458863 CTC458855:CTC458863 DCY458855:DCY458863 DMU458855:DMU458863 DWQ458855:DWQ458863 EGM458855:EGM458863 EQI458855:EQI458863 FAE458855:FAE458863 FKA458855:FKA458863 FTW458855:FTW458863 GDS458855:GDS458863 GNO458855:GNO458863 GXK458855:GXK458863 HHG458855:HHG458863 HRC458855:HRC458863 IAY458855:IAY458863 IKU458855:IKU458863 IUQ458855:IUQ458863 JEM458855:JEM458863 JOI458855:JOI458863 JYE458855:JYE458863 KIA458855:KIA458863 KRW458855:KRW458863 LBS458855:LBS458863 LLO458855:LLO458863 LVK458855:LVK458863 MFG458855:MFG458863 MPC458855:MPC458863 MYY458855:MYY458863 NIU458855:NIU458863 NSQ458855:NSQ458863 OCM458855:OCM458863 OMI458855:OMI458863 OWE458855:OWE458863 PGA458855:PGA458863 PPW458855:PPW458863 PZS458855:PZS458863 QJO458855:QJO458863 QTK458855:QTK458863 RDG458855:RDG458863 RNC458855:RNC458863 RWY458855:RWY458863 SGU458855:SGU458863 SQQ458855:SQQ458863 TAM458855:TAM458863 TKI458855:TKI458863 TUE458855:TUE458863 UEA458855:UEA458863 UNW458855:UNW458863 UXS458855:UXS458863 VHO458855:VHO458863 VRK458855:VRK458863 WBG458855:WBG458863 WLC458855:WLC458863 WUY458855:WUY458863 F524391:G524399 IM524391:IM524399 SI524391:SI524399 ACE524391:ACE524399 AMA524391:AMA524399 AVW524391:AVW524399 BFS524391:BFS524399 BPO524391:BPO524399 BZK524391:BZK524399 CJG524391:CJG524399 CTC524391:CTC524399 DCY524391:DCY524399 DMU524391:DMU524399 DWQ524391:DWQ524399 EGM524391:EGM524399 EQI524391:EQI524399 FAE524391:FAE524399 FKA524391:FKA524399 FTW524391:FTW524399 GDS524391:GDS524399 GNO524391:GNO524399 GXK524391:GXK524399 HHG524391:HHG524399 HRC524391:HRC524399 IAY524391:IAY524399 IKU524391:IKU524399 IUQ524391:IUQ524399 JEM524391:JEM524399 JOI524391:JOI524399 JYE524391:JYE524399 KIA524391:KIA524399 KRW524391:KRW524399 LBS524391:LBS524399 LLO524391:LLO524399 LVK524391:LVK524399 MFG524391:MFG524399 MPC524391:MPC524399 MYY524391:MYY524399 NIU524391:NIU524399 NSQ524391:NSQ524399 OCM524391:OCM524399 OMI524391:OMI524399 OWE524391:OWE524399 PGA524391:PGA524399 PPW524391:PPW524399 PZS524391:PZS524399 QJO524391:QJO524399 QTK524391:QTK524399 RDG524391:RDG524399 RNC524391:RNC524399 RWY524391:RWY524399 SGU524391:SGU524399 SQQ524391:SQQ524399 TAM524391:TAM524399 TKI524391:TKI524399 TUE524391:TUE524399 UEA524391:UEA524399 UNW524391:UNW524399 UXS524391:UXS524399 VHO524391:VHO524399 VRK524391:VRK524399 WBG524391:WBG524399 WLC524391:WLC524399 WUY524391:WUY524399 F589927:G589935 IM589927:IM589935 SI589927:SI589935 ACE589927:ACE589935 AMA589927:AMA589935 AVW589927:AVW589935 BFS589927:BFS589935 BPO589927:BPO589935 BZK589927:BZK589935 CJG589927:CJG589935 CTC589927:CTC589935 DCY589927:DCY589935 DMU589927:DMU589935 DWQ589927:DWQ589935 EGM589927:EGM589935 EQI589927:EQI589935 FAE589927:FAE589935 FKA589927:FKA589935 FTW589927:FTW589935 GDS589927:GDS589935 GNO589927:GNO589935 GXK589927:GXK589935 HHG589927:HHG589935 HRC589927:HRC589935 IAY589927:IAY589935 IKU589927:IKU589935 IUQ589927:IUQ589935 JEM589927:JEM589935 JOI589927:JOI589935 JYE589927:JYE589935 KIA589927:KIA589935 KRW589927:KRW589935 LBS589927:LBS589935 LLO589927:LLO589935 LVK589927:LVK589935 MFG589927:MFG589935 MPC589927:MPC589935 MYY589927:MYY589935 NIU589927:NIU589935 NSQ589927:NSQ589935 OCM589927:OCM589935 OMI589927:OMI589935 OWE589927:OWE589935 PGA589927:PGA589935 PPW589927:PPW589935 PZS589927:PZS589935 QJO589927:QJO589935 QTK589927:QTK589935 RDG589927:RDG589935 RNC589927:RNC589935 RWY589927:RWY589935 SGU589927:SGU589935 SQQ589927:SQQ589935 TAM589927:TAM589935 TKI589927:TKI589935 TUE589927:TUE589935 UEA589927:UEA589935 UNW589927:UNW589935 UXS589927:UXS589935 VHO589927:VHO589935 VRK589927:VRK589935 WBG589927:WBG589935 WLC589927:WLC589935 WUY589927:WUY589935 F655463:G655471 IM655463:IM655471 SI655463:SI655471 ACE655463:ACE655471 AMA655463:AMA655471 AVW655463:AVW655471 BFS655463:BFS655471 BPO655463:BPO655471 BZK655463:BZK655471 CJG655463:CJG655471 CTC655463:CTC655471 DCY655463:DCY655471 DMU655463:DMU655471 DWQ655463:DWQ655471 EGM655463:EGM655471 EQI655463:EQI655471 FAE655463:FAE655471 FKA655463:FKA655471 FTW655463:FTW655471 GDS655463:GDS655471 GNO655463:GNO655471 GXK655463:GXK655471 HHG655463:HHG655471 HRC655463:HRC655471 IAY655463:IAY655471 IKU655463:IKU655471 IUQ655463:IUQ655471 JEM655463:JEM655471 JOI655463:JOI655471 JYE655463:JYE655471 KIA655463:KIA655471 KRW655463:KRW655471 LBS655463:LBS655471 LLO655463:LLO655471 LVK655463:LVK655471 MFG655463:MFG655471 MPC655463:MPC655471 MYY655463:MYY655471 NIU655463:NIU655471 NSQ655463:NSQ655471 OCM655463:OCM655471 OMI655463:OMI655471 OWE655463:OWE655471 PGA655463:PGA655471 PPW655463:PPW655471 PZS655463:PZS655471 QJO655463:QJO655471 QTK655463:QTK655471 RDG655463:RDG655471 RNC655463:RNC655471 RWY655463:RWY655471 SGU655463:SGU655471 SQQ655463:SQQ655471 TAM655463:TAM655471 TKI655463:TKI655471 TUE655463:TUE655471 UEA655463:UEA655471 UNW655463:UNW655471 UXS655463:UXS655471 VHO655463:VHO655471 VRK655463:VRK655471 WBG655463:WBG655471 WLC655463:WLC655471 WUY655463:WUY655471 F720999:G721007 IM720999:IM721007 SI720999:SI721007 ACE720999:ACE721007 AMA720999:AMA721007 AVW720999:AVW721007 BFS720999:BFS721007 BPO720999:BPO721007 BZK720999:BZK721007 CJG720999:CJG721007 CTC720999:CTC721007 DCY720999:DCY721007 DMU720999:DMU721007 DWQ720999:DWQ721007 EGM720999:EGM721007 EQI720999:EQI721007 FAE720999:FAE721007 FKA720999:FKA721007 FTW720999:FTW721007 GDS720999:GDS721007 GNO720999:GNO721007 GXK720999:GXK721007 HHG720999:HHG721007 HRC720999:HRC721007 IAY720999:IAY721007 IKU720999:IKU721007 IUQ720999:IUQ721007 JEM720999:JEM721007 JOI720999:JOI721007 JYE720999:JYE721007 KIA720999:KIA721007 KRW720999:KRW721007 LBS720999:LBS721007 LLO720999:LLO721007 LVK720999:LVK721007 MFG720999:MFG721007 MPC720999:MPC721007 MYY720999:MYY721007 NIU720999:NIU721007 NSQ720999:NSQ721007 OCM720999:OCM721007 OMI720999:OMI721007 OWE720999:OWE721007 PGA720999:PGA721007 PPW720999:PPW721007 PZS720999:PZS721007 QJO720999:QJO721007 QTK720999:QTK721007 RDG720999:RDG721007 RNC720999:RNC721007 RWY720999:RWY721007 SGU720999:SGU721007 SQQ720999:SQQ721007 TAM720999:TAM721007 TKI720999:TKI721007 TUE720999:TUE721007 UEA720999:UEA721007 UNW720999:UNW721007 UXS720999:UXS721007 VHO720999:VHO721007 VRK720999:VRK721007 WBG720999:WBG721007 WLC720999:WLC721007 WUY720999:WUY721007 F786535:G786543 IM786535:IM786543 SI786535:SI786543 ACE786535:ACE786543 AMA786535:AMA786543 AVW786535:AVW786543 BFS786535:BFS786543 BPO786535:BPO786543 BZK786535:BZK786543 CJG786535:CJG786543 CTC786535:CTC786543 DCY786535:DCY786543 DMU786535:DMU786543 DWQ786535:DWQ786543 EGM786535:EGM786543 EQI786535:EQI786543 FAE786535:FAE786543 FKA786535:FKA786543 FTW786535:FTW786543 GDS786535:GDS786543 GNO786535:GNO786543 GXK786535:GXK786543 HHG786535:HHG786543 HRC786535:HRC786543 IAY786535:IAY786543 IKU786535:IKU786543 IUQ786535:IUQ786543 JEM786535:JEM786543 JOI786535:JOI786543 JYE786535:JYE786543 KIA786535:KIA786543 KRW786535:KRW786543 LBS786535:LBS786543 LLO786535:LLO786543 LVK786535:LVK786543 MFG786535:MFG786543 MPC786535:MPC786543 MYY786535:MYY786543 NIU786535:NIU786543 NSQ786535:NSQ786543 OCM786535:OCM786543 OMI786535:OMI786543 OWE786535:OWE786543 PGA786535:PGA786543 PPW786535:PPW786543 PZS786535:PZS786543 QJO786535:QJO786543 QTK786535:QTK786543 RDG786535:RDG786543 RNC786535:RNC786543 RWY786535:RWY786543 SGU786535:SGU786543 SQQ786535:SQQ786543 TAM786535:TAM786543 TKI786535:TKI786543 TUE786535:TUE786543 UEA786535:UEA786543 UNW786535:UNW786543 UXS786535:UXS786543 VHO786535:VHO786543 VRK786535:VRK786543 WBG786535:WBG786543 WLC786535:WLC786543 WUY786535:WUY786543 F852071:G852079 IM852071:IM852079 SI852071:SI852079 ACE852071:ACE852079 AMA852071:AMA852079 AVW852071:AVW852079 BFS852071:BFS852079 BPO852071:BPO852079 BZK852071:BZK852079 CJG852071:CJG852079 CTC852071:CTC852079 DCY852071:DCY852079 DMU852071:DMU852079 DWQ852071:DWQ852079 EGM852071:EGM852079 EQI852071:EQI852079 FAE852071:FAE852079 FKA852071:FKA852079 FTW852071:FTW852079 GDS852071:GDS852079 GNO852071:GNO852079 GXK852071:GXK852079 HHG852071:HHG852079 HRC852071:HRC852079 IAY852071:IAY852079 IKU852071:IKU852079 IUQ852071:IUQ852079 JEM852071:JEM852079 JOI852071:JOI852079 JYE852071:JYE852079 KIA852071:KIA852079 KRW852071:KRW852079 LBS852071:LBS852079 LLO852071:LLO852079 LVK852071:LVK852079 MFG852071:MFG852079 MPC852071:MPC852079 MYY852071:MYY852079 NIU852071:NIU852079 NSQ852071:NSQ852079 OCM852071:OCM852079 OMI852071:OMI852079 OWE852071:OWE852079 PGA852071:PGA852079 PPW852071:PPW852079 PZS852071:PZS852079 QJO852071:QJO852079 QTK852071:QTK852079 RDG852071:RDG852079 RNC852071:RNC852079 RWY852071:RWY852079 SGU852071:SGU852079 SQQ852071:SQQ852079 TAM852071:TAM852079 TKI852071:TKI852079 TUE852071:TUE852079 UEA852071:UEA852079 UNW852071:UNW852079 UXS852071:UXS852079 VHO852071:VHO852079 VRK852071:VRK852079 WBG852071:WBG852079 WLC852071:WLC852079 WUY852071:WUY852079 F917607:G917615 IM917607:IM917615 SI917607:SI917615 ACE917607:ACE917615 AMA917607:AMA917615 AVW917607:AVW917615 BFS917607:BFS917615 BPO917607:BPO917615 BZK917607:BZK917615 CJG917607:CJG917615 CTC917607:CTC917615 DCY917607:DCY917615 DMU917607:DMU917615 DWQ917607:DWQ917615 EGM917607:EGM917615 EQI917607:EQI917615 FAE917607:FAE917615 FKA917607:FKA917615 FTW917607:FTW917615 GDS917607:GDS917615 GNO917607:GNO917615 GXK917607:GXK917615 HHG917607:HHG917615 HRC917607:HRC917615 IAY917607:IAY917615 IKU917607:IKU917615 IUQ917607:IUQ917615 JEM917607:JEM917615 JOI917607:JOI917615 JYE917607:JYE917615 KIA917607:KIA917615 KRW917607:KRW917615 LBS917607:LBS917615 LLO917607:LLO917615 LVK917607:LVK917615 MFG917607:MFG917615 MPC917607:MPC917615 MYY917607:MYY917615 NIU917607:NIU917615 NSQ917607:NSQ917615 OCM917607:OCM917615 OMI917607:OMI917615 OWE917607:OWE917615 PGA917607:PGA917615 PPW917607:PPW917615 PZS917607:PZS917615 QJO917607:QJO917615 QTK917607:QTK917615 RDG917607:RDG917615 RNC917607:RNC917615 RWY917607:RWY917615 SGU917607:SGU917615 SQQ917607:SQQ917615 TAM917607:TAM917615 TKI917607:TKI917615 TUE917607:TUE917615 UEA917607:UEA917615 UNW917607:UNW917615 UXS917607:UXS917615 VHO917607:VHO917615 VRK917607:VRK917615 WBG917607:WBG917615 WLC917607:WLC917615 WUY917607:WUY917615 F983143:G983151 IM983143:IM983151 SI983143:SI983151 ACE983143:ACE983151 AMA983143:AMA983151 AVW983143:AVW983151 BFS983143:BFS983151 BPO983143:BPO983151 BZK983143:BZK983151 CJG983143:CJG983151 CTC983143:CTC983151 DCY983143:DCY983151 DMU983143:DMU983151 DWQ983143:DWQ983151 EGM983143:EGM983151 EQI983143:EQI983151 FAE983143:FAE983151 FKA983143:FKA983151 FTW983143:FTW983151 GDS983143:GDS983151 GNO983143:GNO983151 GXK983143:GXK983151 HHG983143:HHG983151 HRC983143:HRC983151 IAY983143:IAY983151 IKU983143:IKU983151 IUQ983143:IUQ983151 JEM983143:JEM983151 JOI983143:JOI983151 JYE983143:JYE983151 KIA983143:KIA983151 KRW983143:KRW983151 LBS983143:LBS983151 LLO983143:LLO983151 LVK983143:LVK983151 MFG983143:MFG983151 MPC983143:MPC983151 MYY983143:MYY983151 NIU983143:NIU983151 NSQ983143:NSQ983151 OCM983143:OCM983151 OMI983143:OMI983151 OWE983143:OWE983151 PGA983143:PGA983151 PPW983143:PPW983151 PZS983143:PZS983151 QJO983143:QJO983151 QTK983143:QTK983151 RDG983143:RDG983151 RNC983143:RNC983151 RWY983143:RWY983151 SGU983143:SGU983151 SQQ983143:SQQ983151 TAM983143:TAM983151 TKI983143:TKI983151 TUE983143:TUE983151 UEA983143:UEA983151 UNW983143:UNW983151 UXS983143:UXS983151 VHO983143:VHO983151 VRK983143:VRK983151 WBG983143:WBG983151 WLC983143:WLC983151 F54:G78" xr:uid="{00000000-0002-0000-0300-000001000000}"/>
    <dataValidation allowBlank="1" showInputMessage="1" showErrorMessage="1" prompt="traer el valor definido en la hoja &quot;honorarios Corporativos&quot;" sqref="WUX983143:WUX983151 IL11:IL51 SH11:SH51 ACD11:ACD51 ALZ11:ALZ51 AVV11:AVV51 BFR11:BFR51 BPN11:BPN51 BZJ11:BZJ51 CJF11:CJF51 CTB11:CTB51 DCX11:DCX51 DMT11:DMT51 DWP11:DWP51 EGL11:EGL51 EQH11:EQH51 FAD11:FAD51 FJZ11:FJZ51 FTV11:FTV51 GDR11:GDR51 GNN11:GNN51 GXJ11:GXJ51 HHF11:HHF51 HRB11:HRB51 IAX11:IAX51 IKT11:IKT51 IUP11:IUP51 JEL11:JEL51 JOH11:JOH51 JYD11:JYD51 KHZ11:KHZ51 KRV11:KRV51 LBR11:LBR51 LLN11:LLN51 LVJ11:LVJ51 MFF11:MFF51 MPB11:MPB51 MYX11:MYX51 NIT11:NIT51 NSP11:NSP51 OCL11:OCL51 OMH11:OMH51 OWD11:OWD51 PFZ11:PFZ51 PPV11:PPV51 PZR11:PZR51 QJN11:QJN51 QTJ11:QTJ51 RDF11:RDF51 RNB11:RNB51 RWX11:RWX51 SGT11:SGT51 SQP11:SQP51 TAL11:TAL51 TKH11:TKH51 TUD11:TUD51 UDZ11:UDZ51 UNV11:UNV51 UXR11:UXR51 VHN11:VHN51 VRJ11:VRJ51 WBF11:WBF51 WLB11:WLB51 WUX11:WUX51 E65628:E65636 IL65628:IL65636 SH65628:SH65636 ACD65628:ACD65636 ALZ65628:ALZ65636 AVV65628:AVV65636 BFR65628:BFR65636 BPN65628:BPN65636 BZJ65628:BZJ65636 CJF65628:CJF65636 CTB65628:CTB65636 DCX65628:DCX65636 DMT65628:DMT65636 DWP65628:DWP65636 EGL65628:EGL65636 EQH65628:EQH65636 FAD65628:FAD65636 FJZ65628:FJZ65636 FTV65628:FTV65636 GDR65628:GDR65636 GNN65628:GNN65636 GXJ65628:GXJ65636 HHF65628:HHF65636 HRB65628:HRB65636 IAX65628:IAX65636 IKT65628:IKT65636 IUP65628:IUP65636 JEL65628:JEL65636 JOH65628:JOH65636 JYD65628:JYD65636 KHZ65628:KHZ65636 KRV65628:KRV65636 LBR65628:LBR65636 LLN65628:LLN65636 LVJ65628:LVJ65636 MFF65628:MFF65636 MPB65628:MPB65636 MYX65628:MYX65636 NIT65628:NIT65636 NSP65628:NSP65636 OCL65628:OCL65636 OMH65628:OMH65636 OWD65628:OWD65636 PFZ65628:PFZ65636 PPV65628:PPV65636 PZR65628:PZR65636 QJN65628:QJN65636 QTJ65628:QTJ65636 RDF65628:RDF65636 RNB65628:RNB65636 RWX65628:RWX65636 SGT65628:SGT65636 SQP65628:SQP65636 TAL65628:TAL65636 TKH65628:TKH65636 TUD65628:TUD65636 UDZ65628:UDZ65636 UNV65628:UNV65636 UXR65628:UXR65636 VHN65628:VHN65636 VRJ65628:VRJ65636 WBF65628:WBF65636 WLB65628:WLB65636 WUX65628:WUX65636 E131164:E131172 IL131164:IL131172 SH131164:SH131172 ACD131164:ACD131172 ALZ131164:ALZ131172 AVV131164:AVV131172 BFR131164:BFR131172 BPN131164:BPN131172 BZJ131164:BZJ131172 CJF131164:CJF131172 CTB131164:CTB131172 DCX131164:DCX131172 DMT131164:DMT131172 DWP131164:DWP131172 EGL131164:EGL131172 EQH131164:EQH131172 FAD131164:FAD131172 FJZ131164:FJZ131172 FTV131164:FTV131172 GDR131164:GDR131172 GNN131164:GNN131172 GXJ131164:GXJ131172 HHF131164:HHF131172 HRB131164:HRB131172 IAX131164:IAX131172 IKT131164:IKT131172 IUP131164:IUP131172 JEL131164:JEL131172 JOH131164:JOH131172 JYD131164:JYD131172 KHZ131164:KHZ131172 KRV131164:KRV131172 LBR131164:LBR131172 LLN131164:LLN131172 LVJ131164:LVJ131172 MFF131164:MFF131172 MPB131164:MPB131172 MYX131164:MYX131172 NIT131164:NIT131172 NSP131164:NSP131172 OCL131164:OCL131172 OMH131164:OMH131172 OWD131164:OWD131172 PFZ131164:PFZ131172 PPV131164:PPV131172 PZR131164:PZR131172 QJN131164:QJN131172 QTJ131164:QTJ131172 RDF131164:RDF131172 RNB131164:RNB131172 RWX131164:RWX131172 SGT131164:SGT131172 SQP131164:SQP131172 TAL131164:TAL131172 TKH131164:TKH131172 TUD131164:TUD131172 UDZ131164:UDZ131172 UNV131164:UNV131172 UXR131164:UXR131172 VHN131164:VHN131172 VRJ131164:VRJ131172 WBF131164:WBF131172 WLB131164:WLB131172 WUX131164:WUX131172 E196700:E196708 IL196700:IL196708 SH196700:SH196708 ACD196700:ACD196708 ALZ196700:ALZ196708 AVV196700:AVV196708 BFR196700:BFR196708 BPN196700:BPN196708 BZJ196700:BZJ196708 CJF196700:CJF196708 CTB196700:CTB196708 DCX196700:DCX196708 DMT196700:DMT196708 DWP196700:DWP196708 EGL196700:EGL196708 EQH196700:EQH196708 FAD196700:FAD196708 FJZ196700:FJZ196708 FTV196700:FTV196708 GDR196700:GDR196708 GNN196700:GNN196708 GXJ196700:GXJ196708 HHF196700:HHF196708 HRB196700:HRB196708 IAX196700:IAX196708 IKT196700:IKT196708 IUP196700:IUP196708 JEL196700:JEL196708 JOH196700:JOH196708 JYD196700:JYD196708 KHZ196700:KHZ196708 KRV196700:KRV196708 LBR196700:LBR196708 LLN196700:LLN196708 LVJ196700:LVJ196708 MFF196700:MFF196708 MPB196700:MPB196708 MYX196700:MYX196708 NIT196700:NIT196708 NSP196700:NSP196708 OCL196700:OCL196708 OMH196700:OMH196708 OWD196700:OWD196708 PFZ196700:PFZ196708 PPV196700:PPV196708 PZR196700:PZR196708 QJN196700:QJN196708 QTJ196700:QTJ196708 RDF196700:RDF196708 RNB196700:RNB196708 RWX196700:RWX196708 SGT196700:SGT196708 SQP196700:SQP196708 TAL196700:TAL196708 TKH196700:TKH196708 TUD196700:TUD196708 UDZ196700:UDZ196708 UNV196700:UNV196708 UXR196700:UXR196708 VHN196700:VHN196708 VRJ196700:VRJ196708 WBF196700:WBF196708 WLB196700:WLB196708 WUX196700:WUX196708 E262236:E262244 IL262236:IL262244 SH262236:SH262244 ACD262236:ACD262244 ALZ262236:ALZ262244 AVV262236:AVV262244 BFR262236:BFR262244 BPN262236:BPN262244 BZJ262236:BZJ262244 CJF262236:CJF262244 CTB262236:CTB262244 DCX262236:DCX262244 DMT262236:DMT262244 DWP262236:DWP262244 EGL262236:EGL262244 EQH262236:EQH262244 FAD262236:FAD262244 FJZ262236:FJZ262244 FTV262236:FTV262244 GDR262236:GDR262244 GNN262236:GNN262244 GXJ262236:GXJ262244 HHF262236:HHF262244 HRB262236:HRB262244 IAX262236:IAX262244 IKT262236:IKT262244 IUP262236:IUP262244 JEL262236:JEL262244 JOH262236:JOH262244 JYD262236:JYD262244 KHZ262236:KHZ262244 KRV262236:KRV262244 LBR262236:LBR262244 LLN262236:LLN262244 LVJ262236:LVJ262244 MFF262236:MFF262244 MPB262236:MPB262244 MYX262236:MYX262244 NIT262236:NIT262244 NSP262236:NSP262244 OCL262236:OCL262244 OMH262236:OMH262244 OWD262236:OWD262244 PFZ262236:PFZ262244 PPV262236:PPV262244 PZR262236:PZR262244 QJN262236:QJN262244 QTJ262236:QTJ262244 RDF262236:RDF262244 RNB262236:RNB262244 RWX262236:RWX262244 SGT262236:SGT262244 SQP262236:SQP262244 TAL262236:TAL262244 TKH262236:TKH262244 TUD262236:TUD262244 UDZ262236:UDZ262244 UNV262236:UNV262244 UXR262236:UXR262244 VHN262236:VHN262244 VRJ262236:VRJ262244 WBF262236:WBF262244 WLB262236:WLB262244 WUX262236:WUX262244 E327772:E327780 IL327772:IL327780 SH327772:SH327780 ACD327772:ACD327780 ALZ327772:ALZ327780 AVV327772:AVV327780 BFR327772:BFR327780 BPN327772:BPN327780 BZJ327772:BZJ327780 CJF327772:CJF327780 CTB327772:CTB327780 DCX327772:DCX327780 DMT327772:DMT327780 DWP327772:DWP327780 EGL327772:EGL327780 EQH327772:EQH327780 FAD327772:FAD327780 FJZ327772:FJZ327780 FTV327772:FTV327780 GDR327772:GDR327780 GNN327772:GNN327780 GXJ327772:GXJ327780 HHF327772:HHF327780 HRB327772:HRB327780 IAX327772:IAX327780 IKT327772:IKT327780 IUP327772:IUP327780 JEL327772:JEL327780 JOH327772:JOH327780 JYD327772:JYD327780 KHZ327772:KHZ327780 KRV327772:KRV327780 LBR327772:LBR327780 LLN327772:LLN327780 LVJ327772:LVJ327780 MFF327772:MFF327780 MPB327772:MPB327780 MYX327772:MYX327780 NIT327772:NIT327780 NSP327772:NSP327780 OCL327772:OCL327780 OMH327772:OMH327780 OWD327772:OWD327780 PFZ327772:PFZ327780 PPV327772:PPV327780 PZR327772:PZR327780 QJN327772:QJN327780 QTJ327772:QTJ327780 RDF327772:RDF327780 RNB327772:RNB327780 RWX327772:RWX327780 SGT327772:SGT327780 SQP327772:SQP327780 TAL327772:TAL327780 TKH327772:TKH327780 TUD327772:TUD327780 UDZ327772:UDZ327780 UNV327772:UNV327780 UXR327772:UXR327780 VHN327772:VHN327780 VRJ327772:VRJ327780 WBF327772:WBF327780 WLB327772:WLB327780 WUX327772:WUX327780 E393308:E393316 IL393308:IL393316 SH393308:SH393316 ACD393308:ACD393316 ALZ393308:ALZ393316 AVV393308:AVV393316 BFR393308:BFR393316 BPN393308:BPN393316 BZJ393308:BZJ393316 CJF393308:CJF393316 CTB393308:CTB393316 DCX393308:DCX393316 DMT393308:DMT393316 DWP393308:DWP393316 EGL393308:EGL393316 EQH393308:EQH393316 FAD393308:FAD393316 FJZ393308:FJZ393316 FTV393308:FTV393316 GDR393308:GDR393316 GNN393308:GNN393316 GXJ393308:GXJ393316 HHF393308:HHF393316 HRB393308:HRB393316 IAX393308:IAX393316 IKT393308:IKT393316 IUP393308:IUP393316 JEL393308:JEL393316 JOH393308:JOH393316 JYD393308:JYD393316 KHZ393308:KHZ393316 KRV393308:KRV393316 LBR393308:LBR393316 LLN393308:LLN393316 LVJ393308:LVJ393316 MFF393308:MFF393316 MPB393308:MPB393316 MYX393308:MYX393316 NIT393308:NIT393316 NSP393308:NSP393316 OCL393308:OCL393316 OMH393308:OMH393316 OWD393308:OWD393316 PFZ393308:PFZ393316 PPV393308:PPV393316 PZR393308:PZR393316 QJN393308:QJN393316 QTJ393308:QTJ393316 RDF393308:RDF393316 RNB393308:RNB393316 RWX393308:RWX393316 SGT393308:SGT393316 SQP393308:SQP393316 TAL393308:TAL393316 TKH393308:TKH393316 TUD393308:TUD393316 UDZ393308:UDZ393316 UNV393308:UNV393316 UXR393308:UXR393316 VHN393308:VHN393316 VRJ393308:VRJ393316 WBF393308:WBF393316 WLB393308:WLB393316 WUX393308:WUX393316 E458844:E458852 IL458844:IL458852 SH458844:SH458852 ACD458844:ACD458852 ALZ458844:ALZ458852 AVV458844:AVV458852 BFR458844:BFR458852 BPN458844:BPN458852 BZJ458844:BZJ458852 CJF458844:CJF458852 CTB458844:CTB458852 DCX458844:DCX458852 DMT458844:DMT458852 DWP458844:DWP458852 EGL458844:EGL458852 EQH458844:EQH458852 FAD458844:FAD458852 FJZ458844:FJZ458852 FTV458844:FTV458852 GDR458844:GDR458852 GNN458844:GNN458852 GXJ458844:GXJ458852 HHF458844:HHF458852 HRB458844:HRB458852 IAX458844:IAX458852 IKT458844:IKT458852 IUP458844:IUP458852 JEL458844:JEL458852 JOH458844:JOH458852 JYD458844:JYD458852 KHZ458844:KHZ458852 KRV458844:KRV458852 LBR458844:LBR458852 LLN458844:LLN458852 LVJ458844:LVJ458852 MFF458844:MFF458852 MPB458844:MPB458852 MYX458844:MYX458852 NIT458844:NIT458852 NSP458844:NSP458852 OCL458844:OCL458852 OMH458844:OMH458852 OWD458844:OWD458852 PFZ458844:PFZ458852 PPV458844:PPV458852 PZR458844:PZR458852 QJN458844:QJN458852 QTJ458844:QTJ458852 RDF458844:RDF458852 RNB458844:RNB458852 RWX458844:RWX458852 SGT458844:SGT458852 SQP458844:SQP458852 TAL458844:TAL458852 TKH458844:TKH458852 TUD458844:TUD458852 UDZ458844:UDZ458852 UNV458844:UNV458852 UXR458844:UXR458852 VHN458844:VHN458852 VRJ458844:VRJ458852 WBF458844:WBF458852 WLB458844:WLB458852 WUX458844:WUX458852 E524380:E524388 IL524380:IL524388 SH524380:SH524388 ACD524380:ACD524388 ALZ524380:ALZ524388 AVV524380:AVV524388 BFR524380:BFR524388 BPN524380:BPN524388 BZJ524380:BZJ524388 CJF524380:CJF524388 CTB524380:CTB524388 DCX524380:DCX524388 DMT524380:DMT524388 DWP524380:DWP524388 EGL524380:EGL524388 EQH524380:EQH524388 FAD524380:FAD524388 FJZ524380:FJZ524388 FTV524380:FTV524388 GDR524380:GDR524388 GNN524380:GNN524388 GXJ524380:GXJ524388 HHF524380:HHF524388 HRB524380:HRB524388 IAX524380:IAX524388 IKT524380:IKT524388 IUP524380:IUP524388 JEL524380:JEL524388 JOH524380:JOH524388 JYD524380:JYD524388 KHZ524380:KHZ524388 KRV524380:KRV524388 LBR524380:LBR524388 LLN524380:LLN524388 LVJ524380:LVJ524388 MFF524380:MFF524388 MPB524380:MPB524388 MYX524380:MYX524388 NIT524380:NIT524388 NSP524380:NSP524388 OCL524380:OCL524388 OMH524380:OMH524388 OWD524380:OWD524388 PFZ524380:PFZ524388 PPV524380:PPV524388 PZR524380:PZR524388 QJN524380:QJN524388 QTJ524380:QTJ524388 RDF524380:RDF524388 RNB524380:RNB524388 RWX524380:RWX524388 SGT524380:SGT524388 SQP524380:SQP524388 TAL524380:TAL524388 TKH524380:TKH524388 TUD524380:TUD524388 UDZ524380:UDZ524388 UNV524380:UNV524388 UXR524380:UXR524388 VHN524380:VHN524388 VRJ524380:VRJ524388 WBF524380:WBF524388 WLB524380:WLB524388 WUX524380:WUX524388 E589916:E589924 IL589916:IL589924 SH589916:SH589924 ACD589916:ACD589924 ALZ589916:ALZ589924 AVV589916:AVV589924 BFR589916:BFR589924 BPN589916:BPN589924 BZJ589916:BZJ589924 CJF589916:CJF589924 CTB589916:CTB589924 DCX589916:DCX589924 DMT589916:DMT589924 DWP589916:DWP589924 EGL589916:EGL589924 EQH589916:EQH589924 FAD589916:FAD589924 FJZ589916:FJZ589924 FTV589916:FTV589924 GDR589916:GDR589924 GNN589916:GNN589924 GXJ589916:GXJ589924 HHF589916:HHF589924 HRB589916:HRB589924 IAX589916:IAX589924 IKT589916:IKT589924 IUP589916:IUP589924 JEL589916:JEL589924 JOH589916:JOH589924 JYD589916:JYD589924 KHZ589916:KHZ589924 KRV589916:KRV589924 LBR589916:LBR589924 LLN589916:LLN589924 LVJ589916:LVJ589924 MFF589916:MFF589924 MPB589916:MPB589924 MYX589916:MYX589924 NIT589916:NIT589924 NSP589916:NSP589924 OCL589916:OCL589924 OMH589916:OMH589924 OWD589916:OWD589924 PFZ589916:PFZ589924 PPV589916:PPV589924 PZR589916:PZR589924 QJN589916:QJN589924 QTJ589916:QTJ589924 RDF589916:RDF589924 RNB589916:RNB589924 RWX589916:RWX589924 SGT589916:SGT589924 SQP589916:SQP589924 TAL589916:TAL589924 TKH589916:TKH589924 TUD589916:TUD589924 UDZ589916:UDZ589924 UNV589916:UNV589924 UXR589916:UXR589924 VHN589916:VHN589924 VRJ589916:VRJ589924 WBF589916:WBF589924 WLB589916:WLB589924 WUX589916:WUX589924 E655452:E655460 IL655452:IL655460 SH655452:SH655460 ACD655452:ACD655460 ALZ655452:ALZ655460 AVV655452:AVV655460 BFR655452:BFR655460 BPN655452:BPN655460 BZJ655452:BZJ655460 CJF655452:CJF655460 CTB655452:CTB655460 DCX655452:DCX655460 DMT655452:DMT655460 DWP655452:DWP655460 EGL655452:EGL655460 EQH655452:EQH655460 FAD655452:FAD655460 FJZ655452:FJZ655460 FTV655452:FTV655460 GDR655452:GDR655460 GNN655452:GNN655460 GXJ655452:GXJ655460 HHF655452:HHF655460 HRB655452:HRB655460 IAX655452:IAX655460 IKT655452:IKT655460 IUP655452:IUP655460 JEL655452:JEL655460 JOH655452:JOH655460 JYD655452:JYD655460 KHZ655452:KHZ655460 KRV655452:KRV655460 LBR655452:LBR655460 LLN655452:LLN655460 LVJ655452:LVJ655460 MFF655452:MFF655460 MPB655452:MPB655460 MYX655452:MYX655460 NIT655452:NIT655460 NSP655452:NSP655460 OCL655452:OCL655460 OMH655452:OMH655460 OWD655452:OWD655460 PFZ655452:PFZ655460 PPV655452:PPV655460 PZR655452:PZR655460 QJN655452:QJN655460 QTJ655452:QTJ655460 RDF655452:RDF655460 RNB655452:RNB655460 RWX655452:RWX655460 SGT655452:SGT655460 SQP655452:SQP655460 TAL655452:TAL655460 TKH655452:TKH655460 TUD655452:TUD655460 UDZ655452:UDZ655460 UNV655452:UNV655460 UXR655452:UXR655460 VHN655452:VHN655460 VRJ655452:VRJ655460 WBF655452:WBF655460 WLB655452:WLB655460 WUX655452:WUX655460 E720988:E720996 IL720988:IL720996 SH720988:SH720996 ACD720988:ACD720996 ALZ720988:ALZ720996 AVV720988:AVV720996 BFR720988:BFR720996 BPN720988:BPN720996 BZJ720988:BZJ720996 CJF720988:CJF720996 CTB720988:CTB720996 DCX720988:DCX720996 DMT720988:DMT720996 DWP720988:DWP720996 EGL720988:EGL720996 EQH720988:EQH720996 FAD720988:FAD720996 FJZ720988:FJZ720996 FTV720988:FTV720996 GDR720988:GDR720996 GNN720988:GNN720996 GXJ720988:GXJ720996 HHF720988:HHF720996 HRB720988:HRB720996 IAX720988:IAX720996 IKT720988:IKT720996 IUP720988:IUP720996 JEL720988:JEL720996 JOH720988:JOH720996 JYD720988:JYD720996 KHZ720988:KHZ720996 KRV720988:KRV720996 LBR720988:LBR720996 LLN720988:LLN720996 LVJ720988:LVJ720996 MFF720988:MFF720996 MPB720988:MPB720996 MYX720988:MYX720996 NIT720988:NIT720996 NSP720988:NSP720996 OCL720988:OCL720996 OMH720988:OMH720996 OWD720988:OWD720996 PFZ720988:PFZ720996 PPV720988:PPV720996 PZR720988:PZR720996 QJN720988:QJN720996 QTJ720988:QTJ720996 RDF720988:RDF720996 RNB720988:RNB720996 RWX720988:RWX720996 SGT720988:SGT720996 SQP720988:SQP720996 TAL720988:TAL720996 TKH720988:TKH720996 TUD720988:TUD720996 UDZ720988:UDZ720996 UNV720988:UNV720996 UXR720988:UXR720996 VHN720988:VHN720996 VRJ720988:VRJ720996 WBF720988:WBF720996 WLB720988:WLB720996 WUX720988:WUX720996 E786524:E786532 IL786524:IL786532 SH786524:SH786532 ACD786524:ACD786532 ALZ786524:ALZ786532 AVV786524:AVV786532 BFR786524:BFR786532 BPN786524:BPN786532 BZJ786524:BZJ786532 CJF786524:CJF786532 CTB786524:CTB786532 DCX786524:DCX786532 DMT786524:DMT786532 DWP786524:DWP786532 EGL786524:EGL786532 EQH786524:EQH786532 FAD786524:FAD786532 FJZ786524:FJZ786532 FTV786524:FTV786532 GDR786524:GDR786532 GNN786524:GNN786532 GXJ786524:GXJ786532 HHF786524:HHF786532 HRB786524:HRB786532 IAX786524:IAX786532 IKT786524:IKT786532 IUP786524:IUP786532 JEL786524:JEL786532 JOH786524:JOH786532 JYD786524:JYD786532 KHZ786524:KHZ786532 KRV786524:KRV786532 LBR786524:LBR786532 LLN786524:LLN786532 LVJ786524:LVJ786532 MFF786524:MFF786532 MPB786524:MPB786532 MYX786524:MYX786532 NIT786524:NIT786532 NSP786524:NSP786532 OCL786524:OCL786532 OMH786524:OMH786532 OWD786524:OWD786532 PFZ786524:PFZ786532 PPV786524:PPV786532 PZR786524:PZR786532 QJN786524:QJN786532 QTJ786524:QTJ786532 RDF786524:RDF786532 RNB786524:RNB786532 RWX786524:RWX786532 SGT786524:SGT786532 SQP786524:SQP786532 TAL786524:TAL786532 TKH786524:TKH786532 TUD786524:TUD786532 UDZ786524:UDZ786532 UNV786524:UNV786532 UXR786524:UXR786532 VHN786524:VHN786532 VRJ786524:VRJ786532 WBF786524:WBF786532 WLB786524:WLB786532 WUX786524:WUX786532 E852060:E852068 IL852060:IL852068 SH852060:SH852068 ACD852060:ACD852068 ALZ852060:ALZ852068 AVV852060:AVV852068 BFR852060:BFR852068 BPN852060:BPN852068 BZJ852060:BZJ852068 CJF852060:CJF852068 CTB852060:CTB852068 DCX852060:DCX852068 DMT852060:DMT852068 DWP852060:DWP852068 EGL852060:EGL852068 EQH852060:EQH852068 FAD852060:FAD852068 FJZ852060:FJZ852068 FTV852060:FTV852068 GDR852060:GDR852068 GNN852060:GNN852068 GXJ852060:GXJ852068 HHF852060:HHF852068 HRB852060:HRB852068 IAX852060:IAX852068 IKT852060:IKT852068 IUP852060:IUP852068 JEL852060:JEL852068 JOH852060:JOH852068 JYD852060:JYD852068 KHZ852060:KHZ852068 KRV852060:KRV852068 LBR852060:LBR852068 LLN852060:LLN852068 LVJ852060:LVJ852068 MFF852060:MFF852068 MPB852060:MPB852068 MYX852060:MYX852068 NIT852060:NIT852068 NSP852060:NSP852068 OCL852060:OCL852068 OMH852060:OMH852068 OWD852060:OWD852068 PFZ852060:PFZ852068 PPV852060:PPV852068 PZR852060:PZR852068 QJN852060:QJN852068 QTJ852060:QTJ852068 RDF852060:RDF852068 RNB852060:RNB852068 RWX852060:RWX852068 SGT852060:SGT852068 SQP852060:SQP852068 TAL852060:TAL852068 TKH852060:TKH852068 TUD852060:TUD852068 UDZ852060:UDZ852068 UNV852060:UNV852068 UXR852060:UXR852068 VHN852060:VHN852068 VRJ852060:VRJ852068 WBF852060:WBF852068 WLB852060:WLB852068 WUX852060:WUX852068 E917596:E917604 IL917596:IL917604 SH917596:SH917604 ACD917596:ACD917604 ALZ917596:ALZ917604 AVV917596:AVV917604 BFR917596:BFR917604 BPN917596:BPN917604 BZJ917596:BZJ917604 CJF917596:CJF917604 CTB917596:CTB917604 DCX917596:DCX917604 DMT917596:DMT917604 DWP917596:DWP917604 EGL917596:EGL917604 EQH917596:EQH917604 FAD917596:FAD917604 FJZ917596:FJZ917604 FTV917596:FTV917604 GDR917596:GDR917604 GNN917596:GNN917604 GXJ917596:GXJ917604 HHF917596:HHF917604 HRB917596:HRB917604 IAX917596:IAX917604 IKT917596:IKT917604 IUP917596:IUP917604 JEL917596:JEL917604 JOH917596:JOH917604 JYD917596:JYD917604 KHZ917596:KHZ917604 KRV917596:KRV917604 LBR917596:LBR917604 LLN917596:LLN917604 LVJ917596:LVJ917604 MFF917596:MFF917604 MPB917596:MPB917604 MYX917596:MYX917604 NIT917596:NIT917604 NSP917596:NSP917604 OCL917596:OCL917604 OMH917596:OMH917604 OWD917596:OWD917604 PFZ917596:PFZ917604 PPV917596:PPV917604 PZR917596:PZR917604 QJN917596:QJN917604 QTJ917596:QTJ917604 RDF917596:RDF917604 RNB917596:RNB917604 RWX917596:RWX917604 SGT917596:SGT917604 SQP917596:SQP917604 TAL917596:TAL917604 TKH917596:TKH917604 TUD917596:TUD917604 UDZ917596:UDZ917604 UNV917596:UNV917604 UXR917596:UXR917604 VHN917596:VHN917604 VRJ917596:VRJ917604 WBF917596:WBF917604 WLB917596:WLB917604 WUX917596:WUX917604 E983132:E983140 IL983132:IL983140 SH983132:SH983140 ACD983132:ACD983140 ALZ983132:ALZ983140 AVV983132:AVV983140 BFR983132:BFR983140 BPN983132:BPN983140 BZJ983132:BZJ983140 CJF983132:CJF983140 CTB983132:CTB983140 DCX983132:DCX983140 DMT983132:DMT983140 DWP983132:DWP983140 EGL983132:EGL983140 EQH983132:EQH983140 FAD983132:FAD983140 FJZ983132:FJZ983140 FTV983132:FTV983140 GDR983132:GDR983140 GNN983132:GNN983140 GXJ983132:GXJ983140 HHF983132:HHF983140 HRB983132:HRB983140 IAX983132:IAX983140 IKT983132:IKT983140 IUP983132:IUP983140 JEL983132:JEL983140 JOH983132:JOH983140 JYD983132:JYD983140 KHZ983132:KHZ983140 KRV983132:KRV983140 LBR983132:LBR983140 LLN983132:LLN983140 LVJ983132:LVJ983140 MFF983132:MFF983140 MPB983132:MPB983140 MYX983132:MYX983140 NIT983132:NIT983140 NSP983132:NSP983140 OCL983132:OCL983140 OMH983132:OMH983140 OWD983132:OWD983140 PFZ983132:PFZ983140 PPV983132:PPV983140 PZR983132:PZR983140 QJN983132:QJN983140 QTJ983132:QTJ983140 RDF983132:RDF983140 RNB983132:RNB983140 RWX983132:RWX983140 SGT983132:SGT983140 SQP983132:SQP983140 TAL983132:TAL983140 TKH983132:TKH983140 TUD983132:TUD983140 UDZ983132:UDZ983140 UNV983132:UNV983140 UXR983132:UXR983140 VHN983132:VHN983140 VRJ983132:VRJ983140 WBF983132:WBF983140 WLB983132:WLB983140 WUX983132:WUX983140 E28:E51 IL54:IL78 SH54:SH78 ACD54:ACD78 ALZ54:ALZ78 AVV54:AVV78 BFR54:BFR78 BPN54:BPN78 BZJ54:BZJ78 CJF54:CJF78 CTB54:CTB78 DCX54:DCX78 DMT54:DMT78 DWP54:DWP78 EGL54:EGL78 EQH54:EQH78 FAD54:FAD78 FJZ54:FJZ78 FTV54:FTV78 GDR54:GDR78 GNN54:GNN78 GXJ54:GXJ78 HHF54:HHF78 HRB54:HRB78 IAX54:IAX78 IKT54:IKT78 IUP54:IUP78 JEL54:JEL78 JOH54:JOH78 JYD54:JYD78 KHZ54:KHZ78 KRV54:KRV78 LBR54:LBR78 LLN54:LLN78 LVJ54:LVJ78 MFF54:MFF78 MPB54:MPB78 MYX54:MYX78 NIT54:NIT78 NSP54:NSP78 OCL54:OCL78 OMH54:OMH78 OWD54:OWD78 PFZ54:PFZ78 PPV54:PPV78 PZR54:PZR78 QJN54:QJN78 QTJ54:QTJ78 RDF54:RDF78 RNB54:RNB78 RWX54:RWX78 SGT54:SGT78 SQP54:SQP78 TAL54:TAL78 TKH54:TKH78 TUD54:TUD78 UDZ54:UDZ78 UNV54:UNV78 UXR54:UXR78 VHN54:VHN78 VRJ54:VRJ78 WBF54:WBF78 WLB54:WLB78 WUX54:WUX78 E65639:E65647 IL65639:IL65647 SH65639:SH65647 ACD65639:ACD65647 ALZ65639:ALZ65647 AVV65639:AVV65647 BFR65639:BFR65647 BPN65639:BPN65647 BZJ65639:BZJ65647 CJF65639:CJF65647 CTB65639:CTB65647 DCX65639:DCX65647 DMT65639:DMT65647 DWP65639:DWP65647 EGL65639:EGL65647 EQH65639:EQH65647 FAD65639:FAD65647 FJZ65639:FJZ65647 FTV65639:FTV65647 GDR65639:GDR65647 GNN65639:GNN65647 GXJ65639:GXJ65647 HHF65639:HHF65647 HRB65639:HRB65647 IAX65639:IAX65647 IKT65639:IKT65647 IUP65639:IUP65647 JEL65639:JEL65647 JOH65639:JOH65647 JYD65639:JYD65647 KHZ65639:KHZ65647 KRV65639:KRV65647 LBR65639:LBR65647 LLN65639:LLN65647 LVJ65639:LVJ65647 MFF65639:MFF65647 MPB65639:MPB65647 MYX65639:MYX65647 NIT65639:NIT65647 NSP65639:NSP65647 OCL65639:OCL65647 OMH65639:OMH65647 OWD65639:OWD65647 PFZ65639:PFZ65647 PPV65639:PPV65647 PZR65639:PZR65647 QJN65639:QJN65647 QTJ65639:QTJ65647 RDF65639:RDF65647 RNB65639:RNB65647 RWX65639:RWX65647 SGT65639:SGT65647 SQP65639:SQP65647 TAL65639:TAL65647 TKH65639:TKH65647 TUD65639:TUD65647 UDZ65639:UDZ65647 UNV65639:UNV65647 UXR65639:UXR65647 VHN65639:VHN65647 VRJ65639:VRJ65647 WBF65639:WBF65647 WLB65639:WLB65647 WUX65639:WUX65647 E131175:E131183 IL131175:IL131183 SH131175:SH131183 ACD131175:ACD131183 ALZ131175:ALZ131183 AVV131175:AVV131183 BFR131175:BFR131183 BPN131175:BPN131183 BZJ131175:BZJ131183 CJF131175:CJF131183 CTB131175:CTB131183 DCX131175:DCX131183 DMT131175:DMT131183 DWP131175:DWP131183 EGL131175:EGL131183 EQH131175:EQH131183 FAD131175:FAD131183 FJZ131175:FJZ131183 FTV131175:FTV131183 GDR131175:GDR131183 GNN131175:GNN131183 GXJ131175:GXJ131183 HHF131175:HHF131183 HRB131175:HRB131183 IAX131175:IAX131183 IKT131175:IKT131183 IUP131175:IUP131183 JEL131175:JEL131183 JOH131175:JOH131183 JYD131175:JYD131183 KHZ131175:KHZ131183 KRV131175:KRV131183 LBR131175:LBR131183 LLN131175:LLN131183 LVJ131175:LVJ131183 MFF131175:MFF131183 MPB131175:MPB131183 MYX131175:MYX131183 NIT131175:NIT131183 NSP131175:NSP131183 OCL131175:OCL131183 OMH131175:OMH131183 OWD131175:OWD131183 PFZ131175:PFZ131183 PPV131175:PPV131183 PZR131175:PZR131183 QJN131175:QJN131183 QTJ131175:QTJ131183 RDF131175:RDF131183 RNB131175:RNB131183 RWX131175:RWX131183 SGT131175:SGT131183 SQP131175:SQP131183 TAL131175:TAL131183 TKH131175:TKH131183 TUD131175:TUD131183 UDZ131175:UDZ131183 UNV131175:UNV131183 UXR131175:UXR131183 VHN131175:VHN131183 VRJ131175:VRJ131183 WBF131175:WBF131183 WLB131175:WLB131183 WUX131175:WUX131183 E196711:E196719 IL196711:IL196719 SH196711:SH196719 ACD196711:ACD196719 ALZ196711:ALZ196719 AVV196711:AVV196719 BFR196711:BFR196719 BPN196711:BPN196719 BZJ196711:BZJ196719 CJF196711:CJF196719 CTB196711:CTB196719 DCX196711:DCX196719 DMT196711:DMT196719 DWP196711:DWP196719 EGL196711:EGL196719 EQH196711:EQH196719 FAD196711:FAD196719 FJZ196711:FJZ196719 FTV196711:FTV196719 GDR196711:GDR196719 GNN196711:GNN196719 GXJ196711:GXJ196719 HHF196711:HHF196719 HRB196711:HRB196719 IAX196711:IAX196719 IKT196711:IKT196719 IUP196711:IUP196719 JEL196711:JEL196719 JOH196711:JOH196719 JYD196711:JYD196719 KHZ196711:KHZ196719 KRV196711:KRV196719 LBR196711:LBR196719 LLN196711:LLN196719 LVJ196711:LVJ196719 MFF196711:MFF196719 MPB196711:MPB196719 MYX196711:MYX196719 NIT196711:NIT196719 NSP196711:NSP196719 OCL196711:OCL196719 OMH196711:OMH196719 OWD196711:OWD196719 PFZ196711:PFZ196719 PPV196711:PPV196719 PZR196711:PZR196719 QJN196711:QJN196719 QTJ196711:QTJ196719 RDF196711:RDF196719 RNB196711:RNB196719 RWX196711:RWX196719 SGT196711:SGT196719 SQP196711:SQP196719 TAL196711:TAL196719 TKH196711:TKH196719 TUD196711:TUD196719 UDZ196711:UDZ196719 UNV196711:UNV196719 UXR196711:UXR196719 VHN196711:VHN196719 VRJ196711:VRJ196719 WBF196711:WBF196719 WLB196711:WLB196719 WUX196711:WUX196719 E262247:E262255 IL262247:IL262255 SH262247:SH262255 ACD262247:ACD262255 ALZ262247:ALZ262255 AVV262247:AVV262255 BFR262247:BFR262255 BPN262247:BPN262255 BZJ262247:BZJ262255 CJF262247:CJF262255 CTB262247:CTB262255 DCX262247:DCX262255 DMT262247:DMT262255 DWP262247:DWP262255 EGL262247:EGL262255 EQH262247:EQH262255 FAD262247:FAD262255 FJZ262247:FJZ262255 FTV262247:FTV262255 GDR262247:GDR262255 GNN262247:GNN262255 GXJ262247:GXJ262255 HHF262247:HHF262255 HRB262247:HRB262255 IAX262247:IAX262255 IKT262247:IKT262255 IUP262247:IUP262255 JEL262247:JEL262255 JOH262247:JOH262255 JYD262247:JYD262255 KHZ262247:KHZ262255 KRV262247:KRV262255 LBR262247:LBR262255 LLN262247:LLN262255 LVJ262247:LVJ262255 MFF262247:MFF262255 MPB262247:MPB262255 MYX262247:MYX262255 NIT262247:NIT262255 NSP262247:NSP262255 OCL262247:OCL262255 OMH262247:OMH262255 OWD262247:OWD262255 PFZ262247:PFZ262255 PPV262247:PPV262255 PZR262247:PZR262255 QJN262247:QJN262255 QTJ262247:QTJ262255 RDF262247:RDF262255 RNB262247:RNB262255 RWX262247:RWX262255 SGT262247:SGT262255 SQP262247:SQP262255 TAL262247:TAL262255 TKH262247:TKH262255 TUD262247:TUD262255 UDZ262247:UDZ262255 UNV262247:UNV262255 UXR262247:UXR262255 VHN262247:VHN262255 VRJ262247:VRJ262255 WBF262247:WBF262255 WLB262247:WLB262255 WUX262247:WUX262255 E327783:E327791 IL327783:IL327791 SH327783:SH327791 ACD327783:ACD327791 ALZ327783:ALZ327791 AVV327783:AVV327791 BFR327783:BFR327791 BPN327783:BPN327791 BZJ327783:BZJ327791 CJF327783:CJF327791 CTB327783:CTB327791 DCX327783:DCX327791 DMT327783:DMT327791 DWP327783:DWP327791 EGL327783:EGL327791 EQH327783:EQH327791 FAD327783:FAD327791 FJZ327783:FJZ327791 FTV327783:FTV327791 GDR327783:GDR327791 GNN327783:GNN327791 GXJ327783:GXJ327791 HHF327783:HHF327791 HRB327783:HRB327791 IAX327783:IAX327791 IKT327783:IKT327791 IUP327783:IUP327791 JEL327783:JEL327791 JOH327783:JOH327791 JYD327783:JYD327791 KHZ327783:KHZ327791 KRV327783:KRV327791 LBR327783:LBR327791 LLN327783:LLN327791 LVJ327783:LVJ327791 MFF327783:MFF327791 MPB327783:MPB327791 MYX327783:MYX327791 NIT327783:NIT327791 NSP327783:NSP327791 OCL327783:OCL327791 OMH327783:OMH327791 OWD327783:OWD327791 PFZ327783:PFZ327791 PPV327783:PPV327791 PZR327783:PZR327791 QJN327783:QJN327791 QTJ327783:QTJ327791 RDF327783:RDF327791 RNB327783:RNB327791 RWX327783:RWX327791 SGT327783:SGT327791 SQP327783:SQP327791 TAL327783:TAL327791 TKH327783:TKH327791 TUD327783:TUD327791 UDZ327783:UDZ327791 UNV327783:UNV327791 UXR327783:UXR327791 VHN327783:VHN327791 VRJ327783:VRJ327791 WBF327783:WBF327791 WLB327783:WLB327791 WUX327783:WUX327791 E393319:E393327 IL393319:IL393327 SH393319:SH393327 ACD393319:ACD393327 ALZ393319:ALZ393327 AVV393319:AVV393327 BFR393319:BFR393327 BPN393319:BPN393327 BZJ393319:BZJ393327 CJF393319:CJF393327 CTB393319:CTB393327 DCX393319:DCX393327 DMT393319:DMT393327 DWP393319:DWP393327 EGL393319:EGL393327 EQH393319:EQH393327 FAD393319:FAD393327 FJZ393319:FJZ393327 FTV393319:FTV393327 GDR393319:GDR393327 GNN393319:GNN393327 GXJ393319:GXJ393327 HHF393319:HHF393327 HRB393319:HRB393327 IAX393319:IAX393327 IKT393319:IKT393327 IUP393319:IUP393327 JEL393319:JEL393327 JOH393319:JOH393327 JYD393319:JYD393327 KHZ393319:KHZ393327 KRV393319:KRV393327 LBR393319:LBR393327 LLN393319:LLN393327 LVJ393319:LVJ393327 MFF393319:MFF393327 MPB393319:MPB393327 MYX393319:MYX393327 NIT393319:NIT393327 NSP393319:NSP393327 OCL393319:OCL393327 OMH393319:OMH393327 OWD393319:OWD393327 PFZ393319:PFZ393327 PPV393319:PPV393327 PZR393319:PZR393327 QJN393319:QJN393327 QTJ393319:QTJ393327 RDF393319:RDF393327 RNB393319:RNB393327 RWX393319:RWX393327 SGT393319:SGT393327 SQP393319:SQP393327 TAL393319:TAL393327 TKH393319:TKH393327 TUD393319:TUD393327 UDZ393319:UDZ393327 UNV393319:UNV393327 UXR393319:UXR393327 VHN393319:VHN393327 VRJ393319:VRJ393327 WBF393319:WBF393327 WLB393319:WLB393327 WUX393319:WUX393327 E458855:E458863 IL458855:IL458863 SH458855:SH458863 ACD458855:ACD458863 ALZ458855:ALZ458863 AVV458855:AVV458863 BFR458855:BFR458863 BPN458855:BPN458863 BZJ458855:BZJ458863 CJF458855:CJF458863 CTB458855:CTB458863 DCX458855:DCX458863 DMT458855:DMT458863 DWP458855:DWP458863 EGL458855:EGL458863 EQH458855:EQH458863 FAD458855:FAD458863 FJZ458855:FJZ458863 FTV458855:FTV458863 GDR458855:GDR458863 GNN458855:GNN458863 GXJ458855:GXJ458863 HHF458855:HHF458863 HRB458855:HRB458863 IAX458855:IAX458863 IKT458855:IKT458863 IUP458855:IUP458863 JEL458855:JEL458863 JOH458855:JOH458863 JYD458855:JYD458863 KHZ458855:KHZ458863 KRV458855:KRV458863 LBR458855:LBR458863 LLN458855:LLN458863 LVJ458855:LVJ458863 MFF458855:MFF458863 MPB458855:MPB458863 MYX458855:MYX458863 NIT458855:NIT458863 NSP458855:NSP458863 OCL458855:OCL458863 OMH458855:OMH458863 OWD458855:OWD458863 PFZ458855:PFZ458863 PPV458855:PPV458863 PZR458855:PZR458863 QJN458855:QJN458863 QTJ458855:QTJ458863 RDF458855:RDF458863 RNB458855:RNB458863 RWX458855:RWX458863 SGT458855:SGT458863 SQP458855:SQP458863 TAL458855:TAL458863 TKH458855:TKH458863 TUD458855:TUD458863 UDZ458855:UDZ458863 UNV458855:UNV458863 UXR458855:UXR458863 VHN458855:VHN458863 VRJ458855:VRJ458863 WBF458855:WBF458863 WLB458855:WLB458863 WUX458855:WUX458863 E524391:E524399 IL524391:IL524399 SH524391:SH524399 ACD524391:ACD524399 ALZ524391:ALZ524399 AVV524391:AVV524399 BFR524391:BFR524399 BPN524391:BPN524399 BZJ524391:BZJ524399 CJF524391:CJF524399 CTB524391:CTB524399 DCX524391:DCX524399 DMT524391:DMT524399 DWP524391:DWP524399 EGL524391:EGL524399 EQH524391:EQH524399 FAD524391:FAD524399 FJZ524391:FJZ524399 FTV524391:FTV524399 GDR524391:GDR524399 GNN524391:GNN524399 GXJ524391:GXJ524399 HHF524391:HHF524399 HRB524391:HRB524399 IAX524391:IAX524399 IKT524391:IKT524399 IUP524391:IUP524399 JEL524391:JEL524399 JOH524391:JOH524399 JYD524391:JYD524399 KHZ524391:KHZ524399 KRV524391:KRV524399 LBR524391:LBR524399 LLN524391:LLN524399 LVJ524391:LVJ524399 MFF524391:MFF524399 MPB524391:MPB524399 MYX524391:MYX524399 NIT524391:NIT524399 NSP524391:NSP524399 OCL524391:OCL524399 OMH524391:OMH524399 OWD524391:OWD524399 PFZ524391:PFZ524399 PPV524391:PPV524399 PZR524391:PZR524399 QJN524391:QJN524399 QTJ524391:QTJ524399 RDF524391:RDF524399 RNB524391:RNB524399 RWX524391:RWX524399 SGT524391:SGT524399 SQP524391:SQP524399 TAL524391:TAL524399 TKH524391:TKH524399 TUD524391:TUD524399 UDZ524391:UDZ524399 UNV524391:UNV524399 UXR524391:UXR524399 VHN524391:VHN524399 VRJ524391:VRJ524399 WBF524391:WBF524399 WLB524391:WLB524399 WUX524391:WUX524399 E589927:E589935 IL589927:IL589935 SH589927:SH589935 ACD589927:ACD589935 ALZ589927:ALZ589935 AVV589927:AVV589935 BFR589927:BFR589935 BPN589927:BPN589935 BZJ589927:BZJ589935 CJF589927:CJF589935 CTB589927:CTB589935 DCX589927:DCX589935 DMT589927:DMT589935 DWP589927:DWP589935 EGL589927:EGL589935 EQH589927:EQH589935 FAD589927:FAD589935 FJZ589927:FJZ589935 FTV589927:FTV589935 GDR589927:GDR589935 GNN589927:GNN589935 GXJ589927:GXJ589935 HHF589927:HHF589935 HRB589927:HRB589935 IAX589927:IAX589935 IKT589927:IKT589935 IUP589927:IUP589935 JEL589927:JEL589935 JOH589927:JOH589935 JYD589927:JYD589935 KHZ589927:KHZ589935 KRV589927:KRV589935 LBR589927:LBR589935 LLN589927:LLN589935 LVJ589927:LVJ589935 MFF589927:MFF589935 MPB589927:MPB589935 MYX589927:MYX589935 NIT589927:NIT589935 NSP589927:NSP589935 OCL589927:OCL589935 OMH589927:OMH589935 OWD589927:OWD589935 PFZ589927:PFZ589935 PPV589927:PPV589935 PZR589927:PZR589935 QJN589927:QJN589935 QTJ589927:QTJ589935 RDF589927:RDF589935 RNB589927:RNB589935 RWX589927:RWX589935 SGT589927:SGT589935 SQP589927:SQP589935 TAL589927:TAL589935 TKH589927:TKH589935 TUD589927:TUD589935 UDZ589927:UDZ589935 UNV589927:UNV589935 UXR589927:UXR589935 VHN589927:VHN589935 VRJ589927:VRJ589935 WBF589927:WBF589935 WLB589927:WLB589935 WUX589927:WUX589935 E655463:E655471 IL655463:IL655471 SH655463:SH655471 ACD655463:ACD655471 ALZ655463:ALZ655471 AVV655463:AVV655471 BFR655463:BFR655471 BPN655463:BPN655471 BZJ655463:BZJ655471 CJF655463:CJF655471 CTB655463:CTB655471 DCX655463:DCX655471 DMT655463:DMT655471 DWP655463:DWP655471 EGL655463:EGL655471 EQH655463:EQH655471 FAD655463:FAD655471 FJZ655463:FJZ655471 FTV655463:FTV655471 GDR655463:GDR655471 GNN655463:GNN655471 GXJ655463:GXJ655471 HHF655463:HHF655471 HRB655463:HRB655471 IAX655463:IAX655471 IKT655463:IKT655471 IUP655463:IUP655471 JEL655463:JEL655471 JOH655463:JOH655471 JYD655463:JYD655471 KHZ655463:KHZ655471 KRV655463:KRV655471 LBR655463:LBR655471 LLN655463:LLN655471 LVJ655463:LVJ655471 MFF655463:MFF655471 MPB655463:MPB655471 MYX655463:MYX655471 NIT655463:NIT655471 NSP655463:NSP655471 OCL655463:OCL655471 OMH655463:OMH655471 OWD655463:OWD655471 PFZ655463:PFZ655471 PPV655463:PPV655471 PZR655463:PZR655471 QJN655463:QJN655471 QTJ655463:QTJ655471 RDF655463:RDF655471 RNB655463:RNB655471 RWX655463:RWX655471 SGT655463:SGT655471 SQP655463:SQP655471 TAL655463:TAL655471 TKH655463:TKH655471 TUD655463:TUD655471 UDZ655463:UDZ655471 UNV655463:UNV655471 UXR655463:UXR655471 VHN655463:VHN655471 VRJ655463:VRJ655471 WBF655463:WBF655471 WLB655463:WLB655471 WUX655463:WUX655471 E720999:E721007 IL720999:IL721007 SH720999:SH721007 ACD720999:ACD721007 ALZ720999:ALZ721007 AVV720999:AVV721007 BFR720999:BFR721007 BPN720999:BPN721007 BZJ720999:BZJ721007 CJF720999:CJF721007 CTB720999:CTB721007 DCX720999:DCX721007 DMT720999:DMT721007 DWP720999:DWP721007 EGL720999:EGL721007 EQH720999:EQH721007 FAD720999:FAD721007 FJZ720999:FJZ721007 FTV720999:FTV721007 GDR720999:GDR721007 GNN720999:GNN721007 GXJ720999:GXJ721007 HHF720999:HHF721007 HRB720999:HRB721007 IAX720999:IAX721007 IKT720999:IKT721007 IUP720999:IUP721007 JEL720999:JEL721007 JOH720999:JOH721007 JYD720999:JYD721007 KHZ720999:KHZ721007 KRV720999:KRV721007 LBR720999:LBR721007 LLN720999:LLN721007 LVJ720999:LVJ721007 MFF720999:MFF721007 MPB720999:MPB721007 MYX720999:MYX721007 NIT720999:NIT721007 NSP720999:NSP721007 OCL720999:OCL721007 OMH720999:OMH721007 OWD720999:OWD721007 PFZ720999:PFZ721007 PPV720999:PPV721007 PZR720999:PZR721007 QJN720999:QJN721007 QTJ720999:QTJ721007 RDF720999:RDF721007 RNB720999:RNB721007 RWX720999:RWX721007 SGT720999:SGT721007 SQP720999:SQP721007 TAL720999:TAL721007 TKH720999:TKH721007 TUD720999:TUD721007 UDZ720999:UDZ721007 UNV720999:UNV721007 UXR720999:UXR721007 VHN720999:VHN721007 VRJ720999:VRJ721007 WBF720999:WBF721007 WLB720999:WLB721007 WUX720999:WUX721007 E786535:E786543 IL786535:IL786543 SH786535:SH786543 ACD786535:ACD786543 ALZ786535:ALZ786543 AVV786535:AVV786543 BFR786535:BFR786543 BPN786535:BPN786543 BZJ786535:BZJ786543 CJF786535:CJF786543 CTB786535:CTB786543 DCX786535:DCX786543 DMT786535:DMT786543 DWP786535:DWP786543 EGL786535:EGL786543 EQH786535:EQH786543 FAD786535:FAD786543 FJZ786535:FJZ786543 FTV786535:FTV786543 GDR786535:GDR786543 GNN786535:GNN786543 GXJ786535:GXJ786543 HHF786535:HHF786543 HRB786535:HRB786543 IAX786535:IAX786543 IKT786535:IKT786543 IUP786535:IUP786543 JEL786535:JEL786543 JOH786535:JOH786543 JYD786535:JYD786543 KHZ786535:KHZ786543 KRV786535:KRV786543 LBR786535:LBR786543 LLN786535:LLN786543 LVJ786535:LVJ786543 MFF786535:MFF786543 MPB786535:MPB786543 MYX786535:MYX786543 NIT786535:NIT786543 NSP786535:NSP786543 OCL786535:OCL786543 OMH786535:OMH786543 OWD786535:OWD786543 PFZ786535:PFZ786543 PPV786535:PPV786543 PZR786535:PZR786543 QJN786535:QJN786543 QTJ786535:QTJ786543 RDF786535:RDF786543 RNB786535:RNB786543 RWX786535:RWX786543 SGT786535:SGT786543 SQP786535:SQP786543 TAL786535:TAL786543 TKH786535:TKH786543 TUD786535:TUD786543 UDZ786535:UDZ786543 UNV786535:UNV786543 UXR786535:UXR786543 VHN786535:VHN786543 VRJ786535:VRJ786543 WBF786535:WBF786543 WLB786535:WLB786543 WUX786535:WUX786543 E852071:E852079 IL852071:IL852079 SH852071:SH852079 ACD852071:ACD852079 ALZ852071:ALZ852079 AVV852071:AVV852079 BFR852071:BFR852079 BPN852071:BPN852079 BZJ852071:BZJ852079 CJF852071:CJF852079 CTB852071:CTB852079 DCX852071:DCX852079 DMT852071:DMT852079 DWP852071:DWP852079 EGL852071:EGL852079 EQH852071:EQH852079 FAD852071:FAD852079 FJZ852071:FJZ852079 FTV852071:FTV852079 GDR852071:GDR852079 GNN852071:GNN852079 GXJ852071:GXJ852079 HHF852071:HHF852079 HRB852071:HRB852079 IAX852071:IAX852079 IKT852071:IKT852079 IUP852071:IUP852079 JEL852071:JEL852079 JOH852071:JOH852079 JYD852071:JYD852079 KHZ852071:KHZ852079 KRV852071:KRV852079 LBR852071:LBR852079 LLN852071:LLN852079 LVJ852071:LVJ852079 MFF852071:MFF852079 MPB852071:MPB852079 MYX852071:MYX852079 NIT852071:NIT852079 NSP852071:NSP852079 OCL852071:OCL852079 OMH852071:OMH852079 OWD852071:OWD852079 PFZ852071:PFZ852079 PPV852071:PPV852079 PZR852071:PZR852079 QJN852071:QJN852079 QTJ852071:QTJ852079 RDF852071:RDF852079 RNB852071:RNB852079 RWX852071:RWX852079 SGT852071:SGT852079 SQP852071:SQP852079 TAL852071:TAL852079 TKH852071:TKH852079 TUD852071:TUD852079 UDZ852071:UDZ852079 UNV852071:UNV852079 UXR852071:UXR852079 VHN852071:VHN852079 VRJ852071:VRJ852079 WBF852071:WBF852079 WLB852071:WLB852079 WUX852071:WUX852079 E917607:E917615 IL917607:IL917615 SH917607:SH917615 ACD917607:ACD917615 ALZ917607:ALZ917615 AVV917607:AVV917615 BFR917607:BFR917615 BPN917607:BPN917615 BZJ917607:BZJ917615 CJF917607:CJF917615 CTB917607:CTB917615 DCX917607:DCX917615 DMT917607:DMT917615 DWP917607:DWP917615 EGL917607:EGL917615 EQH917607:EQH917615 FAD917607:FAD917615 FJZ917607:FJZ917615 FTV917607:FTV917615 GDR917607:GDR917615 GNN917607:GNN917615 GXJ917607:GXJ917615 HHF917607:HHF917615 HRB917607:HRB917615 IAX917607:IAX917615 IKT917607:IKT917615 IUP917607:IUP917615 JEL917607:JEL917615 JOH917607:JOH917615 JYD917607:JYD917615 KHZ917607:KHZ917615 KRV917607:KRV917615 LBR917607:LBR917615 LLN917607:LLN917615 LVJ917607:LVJ917615 MFF917607:MFF917615 MPB917607:MPB917615 MYX917607:MYX917615 NIT917607:NIT917615 NSP917607:NSP917615 OCL917607:OCL917615 OMH917607:OMH917615 OWD917607:OWD917615 PFZ917607:PFZ917615 PPV917607:PPV917615 PZR917607:PZR917615 QJN917607:QJN917615 QTJ917607:QTJ917615 RDF917607:RDF917615 RNB917607:RNB917615 RWX917607:RWX917615 SGT917607:SGT917615 SQP917607:SQP917615 TAL917607:TAL917615 TKH917607:TKH917615 TUD917607:TUD917615 UDZ917607:UDZ917615 UNV917607:UNV917615 UXR917607:UXR917615 VHN917607:VHN917615 VRJ917607:VRJ917615 WBF917607:WBF917615 WLB917607:WLB917615 WUX917607:WUX917615 E983143:E983151 IL983143:IL983151 SH983143:SH983151 ACD983143:ACD983151 ALZ983143:ALZ983151 AVV983143:AVV983151 BFR983143:BFR983151 BPN983143:BPN983151 BZJ983143:BZJ983151 CJF983143:CJF983151 CTB983143:CTB983151 DCX983143:DCX983151 DMT983143:DMT983151 DWP983143:DWP983151 EGL983143:EGL983151 EQH983143:EQH983151 FAD983143:FAD983151 FJZ983143:FJZ983151 FTV983143:FTV983151 GDR983143:GDR983151 GNN983143:GNN983151 GXJ983143:GXJ983151 HHF983143:HHF983151 HRB983143:HRB983151 IAX983143:IAX983151 IKT983143:IKT983151 IUP983143:IUP983151 JEL983143:JEL983151 JOH983143:JOH983151 JYD983143:JYD983151 KHZ983143:KHZ983151 KRV983143:KRV983151 LBR983143:LBR983151 LLN983143:LLN983151 LVJ983143:LVJ983151 MFF983143:MFF983151 MPB983143:MPB983151 MYX983143:MYX983151 NIT983143:NIT983151 NSP983143:NSP983151 OCL983143:OCL983151 OMH983143:OMH983151 OWD983143:OWD983151 PFZ983143:PFZ983151 PPV983143:PPV983151 PZR983143:PZR983151 QJN983143:QJN983151 QTJ983143:QTJ983151 RDF983143:RDF983151 RNB983143:RNB983151 RWX983143:RWX983151 SGT983143:SGT983151 SQP983143:SQP983151 TAL983143:TAL983151 TKH983143:TKH983151 TUD983143:TUD983151 UDZ983143:UDZ983151 UNV983143:UNV983151 UXR983143:UXR983151 VHN983143:VHN983151 VRJ983143:VRJ983151 WBF983143:WBF983151 WLB983143:WLB983151 E54:E78" xr:uid="{00000000-0002-0000-0300-000002000000}"/>
    <dataValidation allowBlank="1" showInputMessage="1" showErrorMessage="1" prompt="diligencie la cantidad de unidad de medida del valor unitario" sqref="IK11:IK51 SG11:SG51 ACC11:ACC51 ALY11:ALY51 AVU11:AVU51 BFQ11:BFQ51 BPM11:BPM51 BZI11:BZI51 CJE11:CJE51 CTA11:CTA51 DCW11:DCW51 DMS11:DMS51 DWO11:DWO51 EGK11:EGK51 EQG11:EQG51 FAC11:FAC51 FJY11:FJY51 FTU11:FTU51 GDQ11:GDQ51 GNM11:GNM51 GXI11:GXI51 HHE11:HHE51 HRA11:HRA51 IAW11:IAW51 IKS11:IKS51 IUO11:IUO51 JEK11:JEK51 JOG11:JOG51 JYC11:JYC51 KHY11:KHY51 KRU11:KRU51 LBQ11:LBQ51 LLM11:LLM51 LVI11:LVI51 MFE11:MFE51 MPA11:MPA51 MYW11:MYW51 NIS11:NIS51 NSO11:NSO51 OCK11:OCK51 OMG11:OMG51 OWC11:OWC51 PFY11:PFY51 PPU11:PPU51 PZQ11:PZQ51 QJM11:QJM51 QTI11:QTI51 RDE11:RDE51 RNA11:RNA51 RWW11:RWW51 SGS11:SGS51 SQO11:SQO51 TAK11:TAK51 TKG11:TKG51 TUC11:TUC51 UDY11:UDY51 UNU11:UNU51 UXQ11:UXQ51 VHM11:VHM51 VRI11:VRI51 WBE11:WBE51 WLA11:WLA51 WUW11:WUW51 IK65628:IK65636 SG65628:SG65636 ACC65628:ACC65636 ALY65628:ALY65636 AVU65628:AVU65636 BFQ65628:BFQ65636 BPM65628:BPM65636 BZI65628:BZI65636 CJE65628:CJE65636 CTA65628:CTA65636 DCW65628:DCW65636 DMS65628:DMS65636 DWO65628:DWO65636 EGK65628:EGK65636 EQG65628:EQG65636 FAC65628:FAC65636 FJY65628:FJY65636 FTU65628:FTU65636 GDQ65628:GDQ65636 GNM65628:GNM65636 GXI65628:GXI65636 HHE65628:HHE65636 HRA65628:HRA65636 IAW65628:IAW65636 IKS65628:IKS65636 IUO65628:IUO65636 JEK65628:JEK65636 JOG65628:JOG65636 JYC65628:JYC65636 KHY65628:KHY65636 KRU65628:KRU65636 LBQ65628:LBQ65636 LLM65628:LLM65636 LVI65628:LVI65636 MFE65628:MFE65636 MPA65628:MPA65636 MYW65628:MYW65636 NIS65628:NIS65636 NSO65628:NSO65636 OCK65628:OCK65636 OMG65628:OMG65636 OWC65628:OWC65636 PFY65628:PFY65636 PPU65628:PPU65636 PZQ65628:PZQ65636 QJM65628:QJM65636 QTI65628:QTI65636 RDE65628:RDE65636 RNA65628:RNA65636 RWW65628:RWW65636 SGS65628:SGS65636 SQO65628:SQO65636 TAK65628:TAK65636 TKG65628:TKG65636 TUC65628:TUC65636 UDY65628:UDY65636 UNU65628:UNU65636 UXQ65628:UXQ65636 VHM65628:VHM65636 VRI65628:VRI65636 WBE65628:WBE65636 WLA65628:WLA65636 WUW65628:WUW65636 IK131164:IK131172 SG131164:SG131172 ACC131164:ACC131172 ALY131164:ALY131172 AVU131164:AVU131172 BFQ131164:BFQ131172 BPM131164:BPM131172 BZI131164:BZI131172 CJE131164:CJE131172 CTA131164:CTA131172 DCW131164:DCW131172 DMS131164:DMS131172 DWO131164:DWO131172 EGK131164:EGK131172 EQG131164:EQG131172 FAC131164:FAC131172 FJY131164:FJY131172 FTU131164:FTU131172 GDQ131164:GDQ131172 GNM131164:GNM131172 GXI131164:GXI131172 HHE131164:HHE131172 HRA131164:HRA131172 IAW131164:IAW131172 IKS131164:IKS131172 IUO131164:IUO131172 JEK131164:JEK131172 JOG131164:JOG131172 JYC131164:JYC131172 KHY131164:KHY131172 KRU131164:KRU131172 LBQ131164:LBQ131172 LLM131164:LLM131172 LVI131164:LVI131172 MFE131164:MFE131172 MPA131164:MPA131172 MYW131164:MYW131172 NIS131164:NIS131172 NSO131164:NSO131172 OCK131164:OCK131172 OMG131164:OMG131172 OWC131164:OWC131172 PFY131164:PFY131172 PPU131164:PPU131172 PZQ131164:PZQ131172 QJM131164:QJM131172 QTI131164:QTI131172 RDE131164:RDE131172 RNA131164:RNA131172 RWW131164:RWW131172 SGS131164:SGS131172 SQO131164:SQO131172 TAK131164:TAK131172 TKG131164:TKG131172 TUC131164:TUC131172 UDY131164:UDY131172 UNU131164:UNU131172 UXQ131164:UXQ131172 VHM131164:VHM131172 VRI131164:VRI131172 WBE131164:WBE131172 WLA131164:WLA131172 WUW131164:WUW131172 IK196700:IK196708 SG196700:SG196708 ACC196700:ACC196708 ALY196700:ALY196708 AVU196700:AVU196708 BFQ196700:BFQ196708 BPM196700:BPM196708 BZI196700:BZI196708 CJE196700:CJE196708 CTA196700:CTA196708 DCW196700:DCW196708 DMS196700:DMS196708 DWO196700:DWO196708 EGK196700:EGK196708 EQG196700:EQG196708 FAC196700:FAC196708 FJY196700:FJY196708 FTU196700:FTU196708 GDQ196700:GDQ196708 GNM196700:GNM196708 GXI196700:GXI196708 HHE196700:HHE196708 HRA196700:HRA196708 IAW196700:IAW196708 IKS196700:IKS196708 IUO196700:IUO196708 JEK196700:JEK196708 JOG196700:JOG196708 JYC196700:JYC196708 KHY196700:KHY196708 KRU196700:KRU196708 LBQ196700:LBQ196708 LLM196700:LLM196708 LVI196700:LVI196708 MFE196700:MFE196708 MPA196700:MPA196708 MYW196700:MYW196708 NIS196700:NIS196708 NSO196700:NSO196708 OCK196700:OCK196708 OMG196700:OMG196708 OWC196700:OWC196708 PFY196700:PFY196708 PPU196700:PPU196708 PZQ196700:PZQ196708 QJM196700:QJM196708 QTI196700:QTI196708 RDE196700:RDE196708 RNA196700:RNA196708 RWW196700:RWW196708 SGS196700:SGS196708 SQO196700:SQO196708 TAK196700:TAK196708 TKG196700:TKG196708 TUC196700:TUC196708 UDY196700:UDY196708 UNU196700:UNU196708 UXQ196700:UXQ196708 VHM196700:VHM196708 VRI196700:VRI196708 WBE196700:WBE196708 WLA196700:WLA196708 WUW196700:WUW196708 IK262236:IK262244 SG262236:SG262244 ACC262236:ACC262244 ALY262236:ALY262244 AVU262236:AVU262244 BFQ262236:BFQ262244 BPM262236:BPM262244 BZI262236:BZI262244 CJE262236:CJE262244 CTA262236:CTA262244 DCW262236:DCW262244 DMS262236:DMS262244 DWO262236:DWO262244 EGK262236:EGK262244 EQG262236:EQG262244 FAC262236:FAC262244 FJY262236:FJY262244 FTU262236:FTU262244 GDQ262236:GDQ262244 GNM262236:GNM262244 GXI262236:GXI262244 HHE262236:HHE262244 HRA262236:HRA262244 IAW262236:IAW262244 IKS262236:IKS262244 IUO262236:IUO262244 JEK262236:JEK262244 JOG262236:JOG262244 JYC262236:JYC262244 KHY262236:KHY262244 KRU262236:KRU262244 LBQ262236:LBQ262244 LLM262236:LLM262244 LVI262236:LVI262244 MFE262236:MFE262244 MPA262236:MPA262244 MYW262236:MYW262244 NIS262236:NIS262244 NSO262236:NSO262244 OCK262236:OCK262244 OMG262236:OMG262244 OWC262236:OWC262244 PFY262236:PFY262244 PPU262236:PPU262244 PZQ262236:PZQ262244 QJM262236:QJM262244 QTI262236:QTI262244 RDE262236:RDE262244 RNA262236:RNA262244 RWW262236:RWW262244 SGS262236:SGS262244 SQO262236:SQO262244 TAK262236:TAK262244 TKG262236:TKG262244 TUC262236:TUC262244 UDY262236:UDY262244 UNU262236:UNU262244 UXQ262236:UXQ262244 VHM262236:VHM262244 VRI262236:VRI262244 WBE262236:WBE262244 WLA262236:WLA262244 WUW262236:WUW262244 IK327772:IK327780 SG327772:SG327780 ACC327772:ACC327780 ALY327772:ALY327780 AVU327772:AVU327780 BFQ327772:BFQ327780 BPM327772:BPM327780 BZI327772:BZI327780 CJE327772:CJE327780 CTA327772:CTA327780 DCW327772:DCW327780 DMS327772:DMS327780 DWO327772:DWO327780 EGK327772:EGK327780 EQG327772:EQG327780 FAC327772:FAC327780 FJY327772:FJY327780 FTU327772:FTU327780 GDQ327772:GDQ327780 GNM327772:GNM327780 GXI327772:GXI327780 HHE327772:HHE327780 HRA327772:HRA327780 IAW327772:IAW327780 IKS327772:IKS327780 IUO327772:IUO327780 JEK327772:JEK327780 JOG327772:JOG327780 JYC327772:JYC327780 KHY327772:KHY327780 KRU327772:KRU327780 LBQ327772:LBQ327780 LLM327772:LLM327780 LVI327772:LVI327780 MFE327772:MFE327780 MPA327772:MPA327780 MYW327772:MYW327780 NIS327772:NIS327780 NSO327772:NSO327780 OCK327772:OCK327780 OMG327772:OMG327780 OWC327772:OWC327780 PFY327772:PFY327780 PPU327772:PPU327780 PZQ327772:PZQ327780 QJM327772:QJM327780 QTI327772:QTI327780 RDE327772:RDE327780 RNA327772:RNA327780 RWW327772:RWW327780 SGS327772:SGS327780 SQO327772:SQO327780 TAK327772:TAK327780 TKG327772:TKG327780 TUC327772:TUC327780 UDY327772:UDY327780 UNU327772:UNU327780 UXQ327772:UXQ327780 VHM327772:VHM327780 VRI327772:VRI327780 WBE327772:WBE327780 WLA327772:WLA327780 WUW327772:WUW327780 IK393308:IK393316 SG393308:SG393316 ACC393308:ACC393316 ALY393308:ALY393316 AVU393308:AVU393316 BFQ393308:BFQ393316 BPM393308:BPM393316 BZI393308:BZI393316 CJE393308:CJE393316 CTA393308:CTA393316 DCW393308:DCW393316 DMS393308:DMS393316 DWO393308:DWO393316 EGK393308:EGK393316 EQG393308:EQG393316 FAC393308:FAC393316 FJY393308:FJY393316 FTU393308:FTU393316 GDQ393308:GDQ393316 GNM393308:GNM393316 GXI393308:GXI393316 HHE393308:HHE393316 HRA393308:HRA393316 IAW393308:IAW393316 IKS393308:IKS393316 IUO393308:IUO393316 JEK393308:JEK393316 JOG393308:JOG393316 JYC393308:JYC393316 KHY393308:KHY393316 KRU393308:KRU393316 LBQ393308:LBQ393316 LLM393308:LLM393316 LVI393308:LVI393316 MFE393308:MFE393316 MPA393308:MPA393316 MYW393308:MYW393316 NIS393308:NIS393316 NSO393308:NSO393316 OCK393308:OCK393316 OMG393308:OMG393316 OWC393308:OWC393316 PFY393308:PFY393316 PPU393308:PPU393316 PZQ393308:PZQ393316 QJM393308:QJM393316 QTI393308:QTI393316 RDE393308:RDE393316 RNA393308:RNA393316 RWW393308:RWW393316 SGS393308:SGS393316 SQO393308:SQO393316 TAK393308:TAK393316 TKG393308:TKG393316 TUC393308:TUC393316 UDY393308:UDY393316 UNU393308:UNU393316 UXQ393308:UXQ393316 VHM393308:VHM393316 VRI393308:VRI393316 WBE393308:WBE393316 WLA393308:WLA393316 WUW393308:WUW393316 IK458844:IK458852 SG458844:SG458852 ACC458844:ACC458852 ALY458844:ALY458852 AVU458844:AVU458852 BFQ458844:BFQ458852 BPM458844:BPM458852 BZI458844:BZI458852 CJE458844:CJE458852 CTA458844:CTA458852 DCW458844:DCW458852 DMS458844:DMS458852 DWO458844:DWO458852 EGK458844:EGK458852 EQG458844:EQG458852 FAC458844:FAC458852 FJY458844:FJY458852 FTU458844:FTU458852 GDQ458844:GDQ458852 GNM458844:GNM458852 GXI458844:GXI458852 HHE458844:HHE458852 HRA458844:HRA458852 IAW458844:IAW458852 IKS458844:IKS458852 IUO458844:IUO458852 JEK458844:JEK458852 JOG458844:JOG458852 JYC458844:JYC458852 KHY458844:KHY458852 KRU458844:KRU458852 LBQ458844:LBQ458852 LLM458844:LLM458852 LVI458844:LVI458852 MFE458844:MFE458852 MPA458844:MPA458852 MYW458844:MYW458852 NIS458844:NIS458852 NSO458844:NSO458852 OCK458844:OCK458852 OMG458844:OMG458852 OWC458844:OWC458852 PFY458844:PFY458852 PPU458844:PPU458852 PZQ458844:PZQ458852 QJM458844:QJM458852 QTI458844:QTI458852 RDE458844:RDE458852 RNA458844:RNA458852 RWW458844:RWW458852 SGS458844:SGS458852 SQO458844:SQO458852 TAK458844:TAK458852 TKG458844:TKG458852 TUC458844:TUC458852 UDY458844:UDY458852 UNU458844:UNU458852 UXQ458844:UXQ458852 VHM458844:VHM458852 VRI458844:VRI458852 WBE458844:WBE458852 WLA458844:WLA458852 WUW458844:WUW458852 IK524380:IK524388 SG524380:SG524388 ACC524380:ACC524388 ALY524380:ALY524388 AVU524380:AVU524388 BFQ524380:BFQ524388 BPM524380:BPM524388 BZI524380:BZI524388 CJE524380:CJE524388 CTA524380:CTA524388 DCW524380:DCW524388 DMS524380:DMS524388 DWO524380:DWO524388 EGK524380:EGK524388 EQG524380:EQG524388 FAC524380:FAC524388 FJY524380:FJY524388 FTU524380:FTU524388 GDQ524380:GDQ524388 GNM524380:GNM524388 GXI524380:GXI524388 HHE524380:HHE524388 HRA524380:HRA524388 IAW524380:IAW524388 IKS524380:IKS524388 IUO524380:IUO524388 JEK524380:JEK524388 JOG524380:JOG524388 JYC524380:JYC524388 KHY524380:KHY524388 KRU524380:KRU524388 LBQ524380:LBQ524388 LLM524380:LLM524388 LVI524380:LVI524388 MFE524380:MFE524388 MPA524380:MPA524388 MYW524380:MYW524388 NIS524380:NIS524388 NSO524380:NSO524388 OCK524380:OCK524388 OMG524380:OMG524388 OWC524380:OWC524388 PFY524380:PFY524388 PPU524380:PPU524388 PZQ524380:PZQ524388 QJM524380:QJM524388 QTI524380:QTI524388 RDE524380:RDE524388 RNA524380:RNA524388 RWW524380:RWW524388 SGS524380:SGS524388 SQO524380:SQO524388 TAK524380:TAK524388 TKG524380:TKG524388 TUC524380:TUC524388 UDY524380:UDY524388 UNU524380:UNU524388 UXQ524380:UXQ524388 VHM524380:VHM524388 VRI524380:VRI524388 WBE524380:WBE524388 WLA524380:WLA524388 WUW524380:WUW524388 IK589916:IK589924 SG589916:SG589924 ACC589916:ACC589924 ALY589916:ALY589924 AVU589916:AVU589924 BFQ589916:BFQ589924 BPM589916:BPM589924 BZI589916:BZI589924 CJE589916:CJE589924 CTA589916:CTA589924 DCW589916:DCW589924 DMS589916:DMS589924 DWO589916:DWO589924 EGK589916:EGK589924 EQG589916:EQG589924 FAC589916:FAC589924 FJY589916:FJY589924 FTU589916:FTU589924 GDQ589916:GDQ589924 GNM589916:GNM589924 GXI589916:GXI589924 HHE589916:HHE589924 HRA589916:HRA589924 IAW589916:IAW589924 IKS589916:IKS589924 IUO589916:IUO589924 JEK589916:JEK589924 JOG589916:JOG589924 JYC589916:JYC589924 KHY589916:KHY589924 KRU589916:KRU589924 LBQ589916:LBQ589924 LLM589916:LLM589924 LVI589916:LVI589924 MFE589916:MFE589924 MPA589916:MPA589924 MYW589916:MYW589924 NIS589916:NIS589924 NSO589916:NSO589924 OCK589916:OCK589924 OMG589916:OMG589924 OWC589916:OWC589924 PFY589916:PFY589924 PPU589916:PPU589924 PZQ589916:PZQ589924 QJM589916:QJM589924 QTI589916:QTI589924 RDE589916:RDE589924 RNA589916:RNA589924 RWW589916:RWW589924 SGS589916:SGS589924 SQO589916:SQO589924 TAK589916:TAK589924 TKG589916:TKG589924 TUC589916:TUC589924 UDY589916:UDY589924 UNU589916:UNU589924 UXQ589916:UXQ589924 VHM589916:VHM589924 VRI589916:VRI589924 WBE589916:WBE589924 WLA589916:WLA589924 WUW589916:WUW589924 IK655452:IK655460 SG655452:SG655460 ACC655452:ACC655460 ALY655452:ALY655460 AVU655452:AVU655460 BFQ655452:BFQ655460 BPM655452:BPM655460 BZI655452:BZI655460 CJE655452:CJE655460 CTA655452:CTA655460 DCW655452:DCW655460 DMS655452:DMS655460 DWO655452:DWO655460 EGK655452:EGK655460 EQG655452:EQG655460 FAC655452:FAC655460 FJY655452:FJY655460 FTU655452:FTU655460 GDQ655452:GDQ655460 GNM655452:GNM655460 GXI655452:GXI655460 HHE655452:HHE655460 HRA655452:HRA655460 IAW655452:IAW655460 IKS655452:IKS655460 IUO655452:IUO655460 JEK655452:JEK655460 JOG655452:JOG655460 JYC655452:JYC655460 KHY655452:KHY655460 KRU655452:KRU655460 LBQ655452:LBQ655460 LLM655452:LLM655460 LVI655452:LVI655460 MFE655452:MFE655460 MPA655452:MPA655460 MYW655452:MYW655460 NIS655452:NIS655460 NSO655452:NSO655460 OCK655452:OCK655460 OMG655452:OMG655460 OWC655452:OWC655460 PFY655452:PFY655460 PPU655452:PPU655460 PZQ655452:PZQ655460 QJM655452:QJM655460 QTI655452:QTI655460 RDE655452:RDE655460 RNA655452:RNA655460 RWW655452:RWW655460 SGS655452:SGS655460 SQO655452:SQO655460 TAK655452:TAK655460 TKG655452:TKG655460 TUC655452:TUC655460 UDY655452:UDY655460 UNU655452:UNU655460 UXQ655452:UXQ655460 VHM655452:VHM655460 VRI655452:VRI655460 WBE655452:WBE655460 WLA655452:WLA655460 WUW655452:WUW655460 IK720988:IK720996 SG720988:SG720996 ACC720988:ACC720996 ALY720988:ALY720996 AVU720988:AVU720996 BFQ720988:BFQ720996 BPM720988:BPM720996 BZI720988:BZI720996 CJE720988:CJE720996 CTA720988:CTA720996 DCW720988:DCW720996 DMS720988:DMS720996 DWO720988:DWO720996 EGK720988:EGK720996 EQG720988:EQG720996 FAC720988:FAC720996 FJY720988:FJY720996 FTU720988:FTU720996 GDQ720988:GDQ720996 GNM720988:GNM720996 GXI720988:GXI720996 HHE720988:HHE720996 HRA720988:HRA720996 IAW720988:IAW720996 IKS720988:IKS720996 IUO720988:IUO720996 JEK720988:JEK720996 JOG720988:JOG720996 JYC720988:JYC720996 KHY720988:KHY720996 KRU720988:KRU720996 LBQ720988:LBQ720996 LLM720988:LLM720996 LVI720988:LVI720996 MFE720988:MFE720996 MPA720988:MPA720996 MYW720988:MYW720996 NIS720988:NIS720996 NSO720988:NSO720996 OCK720988:OCK720996 OMG720988:OMG720996 OWC720988:OWC720996 PFY720988:PFY720996 PPU720988:PPU720996 PZQ720988:PZQ720996 QJM720988:QJM720996 QTI720988:QTI720996 RDE720988:RDE720996 RNA720988:RNA720996 RWW720988:RWW720996 SGS720988:SGS720996 SQO720988:SQO720996 TAK720988:TAK720996 TKG720988:TKG720996 TUC720988:TUC720996 UDY720988:UDY720996 UNU720988:UNU720996 UXQ720988:UXQ720996 VHM720988:VHM720996 VRI720988:VRI720996 WBE720988:WBE720996 WLA720988:WLA720996 WUW720988:WUW720996 IK786524:IK786532 SG786524:SG786532 ACC786524:ACC786532 ALY786524:ALY786532 AVU786524:AVU786532 BFQ786524:BFQ786532 BPM786524:BPM786532 BZI786524:BZI786532 CJE786524:CJE786532 CTA786524:CTA786532 DCW786524:DCW786532 DMS786524:DMS786532 DWO786524:DWO786532 EGK786524:EGK786532 EQG786524:EQG786532 FAC786524:FAC786532 FJY786524:FJY786532 FTU786524:FTU786532 GDQ786524:GDQ786532 GNM786524:GNM786532 GXI786524:GXI786532 HHE786524:HHE786532 HRA786524:HRA786532 IAW786524:IAW786532 IKS786524:IKS786532 IUO786524:IUO786532 JEK786524:JEK786532 JOG786524:JOG786532 JYC786524:JYC786532 KHY786524:KHY786532 KRU786524:KRU786532 LBQ786524:LBQ786532 LLM786524:LLM786532 LVI786524:LVI786532 MFE786524:MFE786532 MPA786524:MPA786532 MYW786524:MYW786532 NIS786524:NIS786532 NSO786524:NSO786532 OCK786524:OCK786532 OMG786524:OMG786532 OWC786524:OWC786532 PFY786524:PFY786532 PPU786524:PPU786532 PZQ786524:PZQ786532 QJM786524:QJM786532 QTI786524:QTI786532 RDE786524:RDE786532 RNA786524:RNA786532 RWW786524:RWW786532 SGS786524:SGS786532 SQO786524:SQO786532 TAK786524:TAK786532 TKG786524:TKG786532 TUC786524:TUC786532 UDY786524:UDY786532 UNU786524:UNU786532 UXQ786524:UXQ786532 VHM786524:VHM786532 VRI786524:VRI786532 WBE786524:WBE786532 WLA786524:WLA786532 WUW786524:WUW786532 IK852060:IK852068 SG852060:SG852068 ACC852060:ACC852068 ALY852060:ALY852068 AVU852060:AVU852068 BFQ852060:BFQ852068 BPM852060:BPM852068 BZI852060:BZI852068 CJE852060:CJE852068 CTA852060:CTA852068 DCW852060:DCW852068 DMS852060:DMS852068 DWO852060:DWO852068 EGK852060:EGK852068 EQG852060:EQG852068 FAC852060:FAC852068 FJY852060:FJY852068 FTU852060:FTU852068 GDQ852060:GDQ852068 GNM852060:GNM852068 GXI852060:GXI852068 HHE852060:HHE852068 HRA852060:HRA852068 IAW852060:IAW852068 IKS852060:IKS852068 IUO852060:IUO852068 JEK852060:JEK852068 JOG852060:JOG852068 JYC852060:JYC852068 KHY852060:KHY852068 KRU852060:KRU852068 LBQ852060:LBQ852068 LLM852060:LLM852068 LVI852060:LVI852068 MFE852060:MFE852068 MPA852060:MPA852068 MYW852060:MYW852068 NIS852060:NIS852068 NSO852060:NSO852068 OCK852060:OCK852068 OMG852060:OMG852068 OWC852060:OWC852068 PFY852060:PFY852068 PPU852060:PPU852068 PZQ852060:PZQ852068 QJM852060:QJM852068 QTI852060:QTI852068 RDE852060:RDE852068 RNA852060:RNA852068 RWW852060:RWW852068 SGS852060:SGS852068 SQO852060:SQO852068 TAK852060:TAK852068 TKG852060:TKG852068 TUC852060:TUC852068 UDY852060:UDY852068 UNU852060:UNU852068 UXQ852060:UXQ852068 VHM852060:VHM852068 VRI852060:VRI852068 WBE852060:WBE852068 WLA852060:WLA852068 WUW852060:WUW852068 IK917596:IK917604 SG917596:SG917604 ACC917596:ACC917604 ALY917596:ALY917604 AVU917596:AVU917604 BFQ917596:BFQ917604 BPM917596:BPM917604 BZI917596:BZI917604 CJE917596:CJE917604 CTA917596:CTA917604 DCW917596:DCW917604 DMS917596:DMS917604 DWO917596:DWO917604 EGK917596:EGK917604 EQG917596:EQG917604 FAC917596:FAC917604 FJY917596:FJY917604 FTU917596:FTU917604 GDQ917596:GDQ917604 GNM917596:GNM917604 GXI917596:GXI917604 HHE917596:HHE917604 HRA917596:HRA917604 IAW917596:IAW917604 IKS917596:IKS917604 IUO917596:IUO917604 JEK917596:JEK917604 JOG917596:JOG917604 JYC917596:JYC917604 KHY917596:KHY917604 KRU917596:KRU917604 LBQ917596:LBQ917604 LLM917596:LLM917604 LVI917596:LVI917604 MFE917596:MFE917604 MPA917596:MPA917604 MYW917596:MYW917604 NIS917596:NIS917604 NSO917596:NSO917604 OCK917596:OCK917604 OMG917596:OMG917604 OWC917596:OWC917604 PFY917596:PFY917604 PPU917596:PPU917604 PZQ917596:PZQ917604 QJM917596:QJM917604 QTI917596:QTI917604 RDE917596:RDE917604 RNA917596:RNA917604 RWW917596:RWW917604 SGS917596:SGS917604 SQO917596:SQO917604 TAK917596:TAK917604 TKG917596:TKG917604 TUC917596:TUC917604 UDY917596:UDY917604 UNU917596:UNU917604 UXQ917596:UXQ917604 VHM917596:VHM917604 VRI917596:VRI917604 WBE917596:WBE917604 WLA917596:WLA917604 WUW917596:WUW917604 IK983132:IK983140 SG983132:SG983140 ACC983132:ACC983140 ALY983132:ALY983140 AVU983132:AVU983140 BFQ983132:BFQ983140 BPM983132:BPM983140 BZI983132:BZI983140 CJE983132:CJE983140 CTA983132:CTA983140 DCW983132:DCW983140 DMS983132:DMS983140 DWO983132:DWO983140 EGK983132:EGK983140 EQG983132:EQG983140 FAC983132:FAC983140 FJY983132:FJY983140 FTU983132:FTU983140 GDQ983132:GDQ983140 GNM983132:GNM983140 GXI983132:GXI983140 HHE983132:HHE983140 HRA983132:HRA983140 IAW983132:IAW983140 IKS983132:IKS983140 IUO983132:IUO983140 JEK983132:JEK983140 JOG983132:JOG983140 JYC983132:JYC983140 KHY983132:KHY983140 KRU983132:KRU983140 LBQ983132:LBQ983140 LLM983132:LLM983140 LVI983132:LVI983140 MFE983132:MFE983140 MPA983132:MPA983140 MYW983132:MYW983140 NIS983132:NIS983140 NSO983132:NSO983140 OCK983132:OCK983140 OMG983132:OMG983140 OWC983132:OWC983140 PFY983132:PFY983140 PPU983132:PPU983140 PZQ983132:PZQ983140 QJM983132:QJM983140 QTI983132:QTI983140 RDE983132:RDE983140 RNA983132:RNA983140 RWW983132:RWW983140 SGS983132:SGS983140 SQO983132:SQO983140 TAK983132:TAK983140 TKG983132:TKG983140 TUC983132:TUC983140 UDY983132:UDY983140 UNU983132:UNU983140 UXQ983132:UXQ983140 VHM983132:VHM983140 VRI983132:VRI983140 WBE983132:WBE983140 WLA983132:WLA983140 WUW983132:WUW983140 IK54:IK78 SG54:SG78 ACC54:ACC78 ALY54:ALY78 AVU54:AVU78 BFQ54:BFQ78 BPM54:BPM78 BZI54:BZI78 CJE54:CJE78 CTA54:CTA78 DCW54:DCW78 DMS54:DMS78 DWO54:DWO78 EGK54:EGK78 EQG54:EQG78 FAC54:FAC78 FJY54:FJY78 FTU54:FTU78 GDQ54:GDQ78 GNM54:GNM78 GXI54:GXI78 HHE54:HHE78 HRA54:HRA78 IAW54:IAW78 IKS54:IKS78 IUO54:IUO78 JEK54:JEK78 JOG54:JOG78 JYC54:JYC78 KHY54:KHY78 KRU54:KRU78 LBQ54:LBQ78 LLM54:LLM78 LVI54:LVI78 MFE54:MFE78 MPA54:MPA78 MYW54:MYW78 NIS54:NIS78 NSO54:NSO78 OCK54:OCK78 OMG54:OMG78 OWC54:OWC78 PFY54:PFY78 PPU54:PPU78 PZQ54:PZQ78 QJM54:QJM78 QTI54:QTI78 RDE54:RDE78 RNA54:RNA78 RWW54:RWW78 SGS54:SGS78 SQO54:SQO78 TAK54:TAK78 TKG54:TKG78 TUC54:TUC78 UDY54:UDY78 UNU54:UNU78 UXQ54:UXQ78 VHM54:VHM78 VRI54:VRI78 WBE54:WBE78 WLA54:WLA78 WUW54:WUW78 IK65639:IK65647 SG65639:SG65647 ACC65639:ACC65647 ALY65639:ALY65647 AVU65639:AVU65647 BFQ65639:BFQ65647 BPM65639:BPM65647 BZI65639:BZI65647 CJE65639:CJE65647 CTA65639:CTA65647 DCW65639:DCW65647 DMS65639:DMS65647 DWO65639:DWO65647 EGK65639:EGK65647 EQG65639:EQG65647 FAC65639:FAC65647 FJY65639:FJY65647 FTU65639:FTU65647 GDQ65639:GDQ65647 GNM65639:GNM65647 GXI65639:GXI65647 HHE65639:HHE65647 HRA65639:HRA65647 IAW65639:IAW65647 IKS65639:IKS65647 IUO65639:IUO65647 JEK65639:JEK65647 JOG65639:JOG65647 JYC65639:JYC65647 KHY65639:KHY65647 KRU65639:KRU65647 LBQ65639:LBQ65647 LLM65639:LLM65647 LVI65639:LVI65647 MFE65639:MFE65647 MPA65639:MPA65647 MYW65639:MYW65647 NIS65639:NIS65647 NSO65639:NSO65647 OCK65639:OCK65647 OMG65639:OMG65647 OWC65639:OWC65647 PFY65639:PFY65647 PPU65639:PPU65647 PZQ65639:PZQ65647 QJM65639:QJM65647 QTI65639:QTI65647 RDE65639:RDE65647 RNA65639:RNA65647 RWW65639:RWW65647 SGS65639:SGS65647 SQO65639:SQO65647 TAK65639:TAK65647 TKG65639:TKG65647 TUC65639:TUC65647 UDY65639:UDY65647 UNU65639:UNU65647 UXQ65639:UXQ65647 VHM65639:VHM65647 VRI65639:VRI65647 WBE65639:WBE65647 WLA65639:WLA65647 WUW65639:WUW65647 IK131175:IK131183 SG131175:SG131183 ACC131175:ACC131183 ALY131175:ALY131183 AVU131175:AVU131183 BFQ131175:BFQ131183 BPM131175:BPM131183 BZI131175:BZI131183 CJE131175:CJE131183 CTA131175:CTA131183 DCW131175:DCW131183 DMS131175:DMS131183 DWO131175:DWO131183 EGK131175:EGK131183 EQG131175:EQG131183 FAC131175:FAC131183 FJY131175:FJY131183 FTU131175:FTU131183 GDQ131175:GDQ131183 GNM131175:GNM131183 GXI131175:GXI131183 HHE131175:HHE131183 HRA131175:HRA131183 IAW131175:IAW131183 IKS131175:IKS131183 IUO131175:IUO131183 JEK131175:JEK131183 JOG131175:JOG131183 JYC131175:JYC131183 KHY131175:KHY131183 KRU131175:KRU131183 LBQ131175:LBQ131183 LLM131175:LLM131183 LVI131175:LVI131183 MFE131175:MFE131183 MPA131175:MPA131183 MYW131175:MYW131183 NIS131175:NIS131183 NSO131175:NSO131183 OCK131175:OCK131183 OMG131175:OMG131183 OWC131175:OWC131183 PFY131175:PFY131183 PPU131175:PPU131183 PZQ131175:PZQ131183 QJM131175:QJM131183 QTI131175:QTI131183 RDE131175:RDE131183 RNA131175:RNA131183 RWW131175:RWW131183 SGS131175:SGS131183 SQO131175:SQO131183 TAK131175:TAK131183 TKG131175:TKG131183 TUC131175:TUC131183 UDY131175:UDY131183 UNU131175:UNU131183 UXQ131175:UXQ131183 VHM131175:VHM131183 VRI131175:VRI131183 WBE131175:WBE131183 WLA131175:WLA131183 WUW131175:WUW131183 IK196711:IK196719 SG196711:SG196719 ACC196711:ACC196719 ALY196711:ALY196719 AVU196711:AVU196719 BFQ196711:BFQ196719 BPM196711:BPM196719 BZI196711:BZI196719 CJE196711:CJE196719 CTA196711:CTA196719 DCW196711:DCW196719 DMS196711:DMS196719 DWO196711:DWO196719 EGK196711:EGK196719 EQG196711:EQG196719 FAC196711:FAC196719 FJY196711:FJY196719 FTU196711:FTU196719 GDQ196711:GDQ196719 GNM196711:GNM196719 GXI196711:GXI196719 HHE196711:HHE196719 HRA196711:HRA196719 IAW196711:IAW196719 IKS196711:IKS196719 IUO196711:IUO196719 JEK196711:JEK196719 JOG196711:JOG196719 JYC196711:JYC196719 KHY196711:KHY196719 KRU196711:KRU196719 LBQ196711:LBQ196719 LLM196711:LLM196719 LVI196711:LVI196719 MFE196711:MFE196719 MPA196711:MPA196719 MYW196711:MYW196719 NIS196711:NIS196719 NSO196711:NSO196719 OCK196711:OCK196719 OMG196711:OMG196719 OWC196711:OWC196719 PFY196711:PFY196719 PPU196711:PPU196719 PZQ196711:PZQ196719 QJM196711:QJM196719 QTI196711:QTI196719 RDE196711:RDE196719 RNA196711:RNA196719 RWW196711:RWW196719 SGS196711:SGS196719 SQO196711:SQO196719 TAK196711:TAK196719 TKG196711:TKG196719 TUC196711:TUC196719 UDY196711:UDY196719 UNU196711:UNU196719 UXQ196711:UXQ196719 VHM196711:VHM196719 VRI196711:VRI196719 WBE196711:WBE196719 WLA196711:WLA196719 WUW196711:WUW196719 IK262247:IK262255 SG262247:SG262255 ACC262247:ACC262255 ALY262247:ALY262255 AVU262247:AVU262255 BFQ262247:BFQ262255 BPM262247:BPM262255 BZI262247:BZI262255 CJE262247:CJE262255 CTA262247:CTA262255 DCW262247:DCW262255 DMS262247:DMS262255 DWO262247:DWO262255 EGK262247:EGK262255 EQG262247:EQG262255 FAC262247:FAC262255 FJY262247:FJY262255 FTU262247:FTU262255 GDQ262247:GDQ262255 GNM262247:GNM262255 GXI262247:GXI262255 HHE262247:HHE262255 HRA262247:HRA262255 IAW262247:IAW262255 IKS262247:IKS262255 IUO262247:IUO262255 JEK262247:JEK262255 JOG262247:JOG262255 JYC262247:JYC262255 KHY262247:KHY262255 KRU262247:KRU262255 LBQ262247:LBQ262255 LLM262247:LLM262255 LVI262247:LVI262255 MFE262247:MFE262255 MPA262247:MPA262255 MYW262247:MYW262255 NIS262247:NIS262255 NSO262247:NSO262255 OCK262247:OCK262255 OMG262247:OMG262255 OWC262247:OWC262255 PFY262247:PFY262255 PPU262247:PPU262255 PZQ262247:PZQ262255 QJM262247:QJM262255 QTI262247:QTI262255 RDE262247:RDE262255 RNA262247:RNA262255 RWW262247:RWW262255 SGS262247:SGS262255 SQO262247:SQO262255 TAK262247:TAK262255 TKG262247:TKG262255 TUC262247:TUC262255 UDY262247:UDY262255 UNU262247:UNU262255 UXQ262247:UXQ262255 VHM262247:VHM262255 VRI262247:VRI262255 WBE262247:WBE262255 WLA262247:WLA262255 WUW262247:WUW262255 IK327783:IK327791 SG327783:SG327791 ACC327783:ACC327791 ALY327783:ALY327791 AVU327783:AVU327791 BFQ327783:BFQ327791 BPM327783:BPM327791 BZI327783:BZI327791 CJE327783:CJE327791 CTA327783:CTA327791 DCW327783:DCW327791 DMS327783:DMS327791 DWO327783:DWO327791 EGK327783:EGK327791 EQG327783:EQG327791 FAC327783:FAC327791 FJY327783:FJY327791 FTU327783:FTU327791 GDQ327783:GDQ327791 GNM327783:GNM327791 GXI327783:GXI327791 HHE327783:HHE327791 HRA327783:HRA327791 IAW327783:IAW327791 IKS327783:IKS327791 IUO327783:IUO327791 JEK327783:JEK327791 JOG327783:JOG327791 JYC327783:JYC327791 KHY327783:KHY327791 KRU327783:KRU327791 LBQ327783:LBQ327791 LLM327783:LLM327791 LVI327783:LVI327791 MFE327783:MFE327791 MPA327783:MPA327791 MYW327783:MYW327791 NIS327783:NIS327791 NSO327783:NSO327791 OCK327783:OCK327791 OMG327783:OMG327791 OWC327783:OWC327791 PFY327783:PFY327791 PPU327783:PPU327791 PZQ327783:PZQ327791 QJM327783:QJM327791 QTI327783:QTI327791 RDE327783:RDE327791 RNA327783:RNA327791 RWW327783:RWW327791 SGS327783:SGS327791 SQO327783:SQO327791 TAK327783:TAK327791 TKG327783:TKG327791 TUC327783:TUC327791 UDY327783:UDY327791 UNU327783:UNU327791 UXQ327783:UXQ327791 VHM327783:VHM327791 VRI327783:VRI327791 WBE327783:WBE327791 WLA327783:WLA327791 WUW327783:WUW327791 IK393319:IK393327 SG393319:SG393327 ACC393319:ACC393327 ALY393319:ALY393327 AVU393319:AVU393327 BFQ393319:BFQ393327 BPM393319:BPM393327 BZI393319:BZI393327 CJE393319:CJE393327 CTA393319:CTA393327 DCW393319:DCW393327 DMS393319:DMS393327 DWO393319:DWO393327 EGK393319:EGK393327 EQG393319:EQG393327 FAC393319:FAC393327 FJY393319:FJY393327 FTU393319:FTU393327 GDQ393319:GDQ393327 GNM393319:GNM393327 GXI393319:GXI393327 HHE393319:HHE393327 HRA393319:HRA393327 IAW393319:IAW393327 IKS393319:IKS393327 IUO393319:IUO393327 JEK393319:JEK393327 JOG393319:JOG393327 JYC393319:JYC393327 KHY393319:KHY393327 KRU393319:KRU393327 LBQ393319:LBQ393327 LLM393319:LLM393327 LVI393319:LVI393327 MFE393319:MFE393327 MPA393319:MPA393327 MYW393319:MYW393327 NIS393319:NIS393327 NSO393319:NSO393327 OCK393319:OCK393327 OMG393319:OMG393327 OWC393319:OWC393327 PFY393319:PFY393327 PPU393319:PPU393327 PZQ393319:PZQ393327 QJM393319:QJM393327 QTI393319:QTI393327 RDE393319:RDE393327 RNA393319:RNA393327 RWW393319:RWW393327 SGS393319:SGS393327 SQO393319:SQO393327 TAK393319:TAK393327 TKG393319:TKG393327 TUC393319:TUC393327 UDY393319:UDY393327 UNU393319:UNU393327 UXQ393319:UXQ393327 VHM393319:VHM393327 VRI393319:VRI393327 WBE393319:WBE393327 WLA393319:WLA393327 WUW393319:WUW393327 IK458855:IK458863 SG458855:SG458863 ACC458855:ACC458863 ALY458855:ALY458863 AVU458855:AVU458863 BFQ458855:BFQ458863 BPM458855:BPM458863 BZI458855:BZI458863 CJE458855:CJE458863 CTA458855:CTA458863 DCW458855:DCW458863 DMS458855:DMS458863 DWO458855:DWO458863 EGK458855:EGK458863 EQG458855:EQG458863 FAC458855:FAC458863 FJY458855:FJY458863 FTU458855:FTU458863 GDQ458855:GDQ458863 GNM458855:GNM458863 GXI458855:GXI458863 HHE458855:HHE458863 HRA458855:HRA458863 IAW458855:IAW458863 IKS458855:IKS458863 IUO458855:IUO458863 JEK458855:JEK458863 JOG458855:JOG458863 JYC458855:JYC458863 KHY458855:KHY458863 KRU458855:KRU458863 LBQ458855:LBQ458863 LLM458855:LLM458863 LVI458855:LVI458863 MFE458855:MFE458863 MPA458855:MPA458863 MYW458855:MYW458863 NIS458855:NIS458863 NSO458855:NSO458863 OCK458855:OCK458863 OMG458855:OMG458863 OWC458855:OWC458863 PFY458855:PFY458863 PPU458855:PPU458863 PZQ458855:PZQ458863 QJM458855:QJM458863 QTI458855:QTI458863 RDE458855:RDE458863 RNA458855:RNA458863 RWW458855:RWW458863 SGS458855:SGS458863 SQO458855:SQO458863 TAK458855:TAK458863 TKG458855:TKG458863 TUC458855:TUC458863 UDY458855:UDY458863 UNU458855:UNU458863 UXQ458855:UXQ458863 VHM458855:VHM458863 VRI458855:VRI458863 WBE458855:WBE458863 WLA458855:WLA458863 WUW458855:WUW458863 IK524391:IK524399 SG524391:SG524399 ACC524391:ACC524399 ALY524391:ALY524399 AVU524391:AVU524399 BFQ524391:BFQ524399 BPM524391:BPM524399 BZI524391:BZI524399 CJE524391:CJE524399 CTA524391:CTA524399 DCW524391:DCW524399 DMS524391:DMS524399 DWO524391:DWO524399 EGK524391:EGK524399 EQG524391:EQG524399 FAC524391:FAC524399 FJY524391:FJY524399 FTU524391:FTU524399 GDQ524391:GDQ524399 GNM524391:GNM524399 GXI524391:GXI524399 HHE524391:HHE524399 HRA524391:HRA524399 IAW524391:IAW524399 IKS524391:IKS524399 IUO524391:IUO524399 JEK524391:JEK524399 JOG524391:JOG524399 JYC524391:JYC524399 KHY524391:KHY524399 KRU524391:KRU524399 LBQ524391:LBQ524399 LLM524391:LLM524399 LVI524391:LVI524399 MFE524391:MFE524399 MPA524391:MPA524399 MYW524391:MYW524399 NIS524391:NIS524399 NSO524391:NSO524399 OCK524391:OCK524399 OMG524391:OMG524399 OWC524391:OWC524399 PFY524391:PFY524399 PPU524391:PPU524399 PZQ524391:PZQ524399 QJM524391:QJM524399 QTI524391:QTI524399 RDE524391:RDE524399 RNA524391:RNA524399 RWW524391:RWW524399 SGS524391:SGS524399 SQO524391:SQO524399 TAK524391:TAK524399 TKG524391:TKG524399 TUC524391:TUC524399 UDY524391:UDY524399 UNU524391:UNU524399 UXQ524391:UXQ524399 VHM524391:VHM524399 VRI524391:VRI524399 WBE524391:WBE524399 WLA524391:WLA524399 WUW524391:WUW524399 IK589927:IK589935 SG589927:SG589935 ACC589927:ACC589935 ALY589927:ALY589935 AVU589927:AVU589935 BFQ589927:BFQ589935 BPM589927:BPM589935 BZI589927:BZI589935 CJE589927:CJE589935 CTA589927:CTA589935 DCW589927:DCW589935 DMS589927:DMS589935 DWO589927:DWO589935 EGK589927:EGK589935 EQG589927:EQG589935 FAC589927:FAC589935 FJY589927:FJY589935 FTU589927:FTU589935 GDQ589927:GDQ589935 GNM589927:GNM589935 GXI589927:GXI589935 HHE589927:HHE589935 HRA589927:HRA589935 IAW589927:IAW589935 IKS589927:IKS589935 IUO589927:IUO589935 JEK589927:JEK589935 JOG589927:JOG589935 JYC589927:JYC589935 KHY589927:KHY589935 KRU589927:KRU589935 LBQ589927:LBQ589935 LLM589927:LLM589935 LVI589927:LVI589935 MFE589927:MFE589935 MPA589927:MPA589935 MYW589927:MYW589935 NIS589927:NIS589935 NSO589927:NSO589935 OCK589927:OCK589935 OMG589927:OMG589935 OWC589927:OWC589935 PFY589927:PFY589935 PPU589927:PPU589935 PZQ589927:PZQ589935 QJM589927:QJM589935 QTI589927:QTI589935 RDE589927:RDE589935 RNA589927:RNA589935 RWW589927:RWW589935 SGS589927:SGS589935 SQO589927:SQO589935 TAK589927:TAK589935 TKG589927:TKG589935 TUC589927:TUC589935 UDY589927:UDY589935 UNU589927:UNU589935 UXQ589927:UXQ589935 VHM589927:VHM589935 VRI589927:VRI589935 WBE589927:WBE589935 WLA589927:WLA589935 WUW589927:WUW589935 IK655463:IK655471 SG655463:SG655471 ACC655463:ACC655471 ALY655463:ALY655471 AVU655463:AVU655471 BFQ655463:BFQ655471 BPM655463:BPM655471 BZI655463:BZI655471 CJE655463:CJE655471 CTA655463:CTA655471 DCW655463:DCW655471 DMS655463:DMS655471 DWO655463:DWO655471 EGK655463:EGK655471 EQG655463:EQG655471 FAC655463:FAC655471 FJY655463:FJY655471 FTU655463:FTU655471 GDQ655463:GDQ655471 GNM655463:GNM655471 GXI655463:GXI655471 HHE655463:HHE655471 HRA655463:HRA655471 IAW655463:IAW655471 IKS655463:IKS655471 IUO655463:IUO655471 JEK655463:JEK655471 JOG655463:JOG655471 JYC655463:JYC655471 KHY655463:KHY655471 KRU655463:KRU655471 LBQ655463:LBQ655471 LLM655463:LLM655471 LVI655463:LVI655471 MFE655463:MFE655471 MPA655463:MPA655471 MYW655463:MYW655471 NIS655463:NIS655471 NSO655463:NSO655471 OCK655463:OCK655471 OMG655463:OMG655471 OWC655463:OWC655471 PFY655463:PFY655471 PPU655463:PPU655471 PZQ655463:PZQ655471 QJM655463:QJM655471 QTI655463:QTI655471 RDE655463:RDE655471 RNA655463:RNA655471 RWW655463:RWW655471 SGS655463:SGS655471 SQO655463:SQO655471 TAK655463:TAK655471 TKG655463:TKG655471 TUC655463:TUC655471 UDY655463:UDY655471 UNU655463:UNU655471 UXQ655463:UXQ655471 VHM655463:VHM655471 VRI655463:VRI655471 WBE655463:WBE655471 WLA655463:WLA655471 WUW655463:WUW655471 IK720999:IK721007 SG720999:SG721007 ACC720999:ACC721007 ALY720999:ALY721007 AVU720999:AVU721007 BFQ720999:BFQ721007 BPM720999:BPM721007 BZI720999:BZI721007 CJE720999:CJE721007 CTA720999:CTA721007 DCW720999:DCW721007 DMS720999:DMS721007 DWO720999:DWO721007 EGK720999:EGK721007 EQG720999:EQG721007 FAC720999:FAC721007 FJY720999:FJY721007 FTU720999:FTU721007 GDQ720999:GDQ721007 GNM720999:GNM721007 GXI720999:GXI721007 HHE720999:HHE721007 HRA720999:HRA721007 IAW720999:IAW721007 IKS720999:IKS721007 IUO720999:IUO721007 JEK720999:JEK721007 JOG720999:JOG721007 JYC720999:JYC721007 KHY720999:KHY721007 KRU720999:KRU721007 LBQ720999:LBQ721007 LLM720999:LLM721007 LVI720999:LVI721007 MFE720999:MFE721007 MPA720999:MPA721007 MYW720999:MYW721007 NIS720999:NIS721007 NSO720999:NSO721007 OCK720999:OCK721007 OMG720999:OMG721007 OWC720999:OWC721007 PFY720999:PFY721007 PPU720999:PPU721007 PZQ720999:PZQ721007 QJM720999:QJM721007 QTI720999:QTI721007 RDE720999:RDE721007 RNA720999:RNA721007 RWW720999:RWW721007 SGS720999:SGS721007 SQO720999:SQO721007 TAK720999:TAK721007 TKG720999:TKG721007 TUC720999:TUC721007 UDY720999:UDY721007 UNU720999:UNU721007 UXQ720999:UXQ721007 VHM720999:VHM721007 VRI720999:VRI721007 WBE720999:WBE721007 WLA720999:WLA721007 WUW720999:WUW721007 IK786535:IK786543 SG786535:SG786543 ACC786535:ACC786543 ALY786535:ALY786543 AVU786535:AVU786543 BFQ786535:BFQ786543 BPM786535:BPM786543 BZI786535:BZI786543 CJE786535:CJE786543 CTA786535:CTA786543 DCW786535:DCW786543 DMS786535:DMS786543 DWO786535:DWO786543 EGK786535:EGK786543 EQG786535:EQG786543 FAC786535:FAC786543 FJY786535:FJY786543 FTU786535:FTU786543 GDQ786535:GDQ786543 GNM786535:GNM786543 GXI786535:GXI786543 HHE786535:HHE786543 HRA786535:HRA786543 IAW786535:IAW786543 IKS786535:IKS786543 IUO786535:IUO786543 JEK786535:JEK786543 JOG786535:JOG786543 JYC786535:JYC786543 KHY786535:KHY786543 KRU786535:KRU786543 LBQ786535:LBQ786543 LLM786535:LLM786543 LVI786535:LVI786543 MFE786535:MFE786543 MPA786535:MPA786543 MYW786535:MYW786543 NIS786535:NIS786543 NSO786535:NSO786543 OCK786535:OCK786543 OMG786535:OMG786543 OWC786535:OWC786543 PFY786535:PFY786543 PPU786535:PPU786543 PZQ786535:PZQ786543 QJM786535:QJM786543 QTI786535:QTI786543 RDE786535:RDE786543 RNA786535:RNA786543 RWW786535:RWW786543 SGS786535:SGS786543 SQO786535:SQO786543 TAK786535:TAK786543 TKG786535:TKG786543 TUC786535:TUC786543 UDY786535:UDY786543 UNU786535:UNU786543 UXQ786535:UXQ786543 VHM786535:VHM786543 VRI786535:VRI786543 WBE786535:WBE786543 WLA786535:WLA786543 WUW786535:WUW786543 IK852071:IK852079 SG852071:SG852079 ACC852071:ACC852079 ALY852071:ALY852079 AVU852071:AVU852079 BFQ852071:BFQ852079 BPM852071:BPM852079 BZI852071:BZI852079 CJE852071:CJE852079 CTA852071:CTA852079 DCW852071:DCW852079 DMS852071:DMS852079 DWO852071:DWO852079 EGK852071:EGK852079 EQG852071:EQG852079 FAC852071:FAC852079 FJY852071:FJY852079 FTU852071:FTU852079 GDQ852071:GDQ852079 GNM852071:GNM852079 GXI852071:GXI852079 HHE852071:HHE852079 HRA852071:HRA852079 IAW852071:IAW852079 IKS852071:IKS852079 IUO852071:IUO852079 JEK852071:JEK852079 JOG852071:JOG852079 JYC852071:JYC852079 KHY852071:KHY852079 KRU852071:KRU852079 LBQ852071:LBQ852079 LLM852071:LLM852079 LVI852071:LVI852079 MFE852071:MFE852079 MPA852071:MPA852079 MYW852071:MYW852079 NIS852071:NIS852079 NSO852071:NSO852079 OCK852071:OCK852079 OMG852071:OMG852079 OWC852071:OWC852079 PFY852071:PFY852079 PPU852071:PPU852079 PZQ852071:PZQ852079 QJM852071:QJM852079 QTI852071:QTI852079 RDE852071:RDE852079 RNA852071:RNA852079 RWW852071:RWW852079 SGS852071:SGS852079 SQO852071:SQO852079 TAK852071:TAK852079 TKG852071:TKG852079 TUC852071:TUC852079 UDY852071:UDY852079 UNU852071:UNU852079 UXQ852071:UXQ852079 VHM852071:VHM852079 VRI852071:VRI852079 WBE852071:WBE852079 WLA852071:WLA852079 WUW852071:WUW852079 IK917607:IK917615 SG917607:SG917615 ACC917607:ACC917615 ALY917607:ALY917615 AVU917607:AVU917615 BFQ917607:BFQ917615 BPM917607:BPM917615 BZI917607:BZI917615 CJE917607:CJE917615 CTA917607:CTA917615 DCW917607:DCW917615 DMS917607:DMS917615 DWO917607:DWO917615 EGK917607:EGK917615 EQG917607:EQG917615 FAC917607:FAC917615 FJY917607:FJY917615 FTU917607:FTU917615 GDQ917607:GDQ917615 GNM917607:GNM917615 GXI917607:GXI917615 HHE917607:HHE917615 HRA917607:HRA917615 IAW917607:IAW917615 IKS917607:IKS917615 IUO917607:IUO917615 JEK917607:JEK917615 JOG917607:JOG917615 JYC917607:JYC917615 KHY917607:KHY917615 KRU917607:KRU917615 LBQ917607:LBQ917615 LLM917607:LLM917615 LVI917607:LVI917615 MFE917607:MFE917615 MPA917607:MPA917615 MYW917607:MYW917615 NIS917607:NIS917615 NSO917607:NSO917615 OCK917607:OCK917615 OMG917607:OMG917615 OWC917607:OWC917615 PFY917607:PFY917615 PPU917607:PPU917615 PZQ917607:PZQ917615 QJM917607:QJM917615 QTI917607:QTI917615 RDE917607:RDE917615 RNA917607:RNA917615 RWW917607:RWW917615 SGS917607:SGS917615 SQO917607:SQO917615 TAK917607:TAK917615 TKG917607:TKG917615 TUC917607:TUC917615 UDY917607:UDY917615 UNU917607:UNU917615 UXQ917607:UXQ917615 VHM917607:VHM917615 VRI917607:VRI917615 WBE917607:WBE917615 WLA917607:WLA917615 WUW917607:WUW917615 IK983143:IK983151 SG983143:SG983151 ACC983143:ACC983151 ALY983143:ALY983151 AVU983143:AVU983151 BFQ983143:BFQ983151 BPM983143:BPM983151 BZI983143:BZI983151 CJE983143:CJE983151 CTA983143:CTA983151 DCW983143:DCW983151 DMS983143:DMS983151 DWO983143:DWO983151 EGK983143:EGK983151 EQG983143:EQG983151 FAC983143:FAC983151 FJY983143:FJY983151 FTU983143:FTU983151 GDQ983143:GDQ983151 GNM983143:GNM983151 GXI983143:GXI983151 HHE983143:HHE983151 HRA983143:HRA983151 IAW983143:IAW983151 IKS983143:IKS983151 IUO983143:IUO983151 JEK983143:JEK983151 JOG983143:JOG983151 JYC983143:JYC983151 KHY983143:KHY983151 KRU983143:KRU983151 LBQ983143:LBQ983151 LLM983143:LLM983151 LVI983143:LVI983151 MFE983143:MFE983151 MPA983143:MPA983151 MYW983143:MYW983151 NIS983143:NIS983151 NSO983143:NSO983151 OCK983143:OCK983151 OMG983143:OMG983151 OWC983143:OWC983151 PFY983143:PFY983151 PPU983143:PPU983151 PZQ983143:PZQ983151 QJM983143:QJM983151 QTI983143:QTI983151 RDE983143:RDE983151 RNA983143:RNA983151 RWW983143:RWW983151 SGS983143:SGS983151 SQO983143:SQO983151 TAK983143:TAK983151 TKG983143:TKG983151 TUC983143:TUC983151 UDY983143:UDY983151 UNU983143:UNU983151 UXQ983143:UXQ983151 VHM983143:VHM983151 VRI983143:VRI983151 WBE983143:WBE983151 WLA983143:WLA983151 WUW983143:WUW983151 E11:E27" xr:uid="{00000000-0002-0000-0300-000003000000}"/>
    <dataValidation allowBlank="1" showInputMessage="1" showErrorMessage="1" prompt="definir la unidad de medida con la cual se asigna el valor unitario." sqref="WUV983143:WUV983151 IJ11:IJ51 SF11:SF51 ACB11:ACB51 ALX11:ALX51 AVT11:AVT51 BFP11:BFP51 BPL11:BPL51 BZH11:BZH51 CJD11:CJD51 CSZ11:CSZ51 DCV11:DCV51 DMR11:DMR51 DWN11:DWN51 EGJ11:EGJ51 EQF11:EQF51 FAB11:FAB51 FJX11:FJX51 FTT11:FTT51 GDP11:GDP51 GNL11:GNL51 GXH11:GXH51 HHD11:HHD51 HQZ11:HQZ51 IAV11:IAV51 IKR11:IKR51 IUN11:IUN51 JEJ11:JEJ51 JOF11:JOF51 JYB11:JYB51 KHX11:KHX51 KRT11:KRT51 LBP11:LBP51 LLL11:LLL51 LVH11:LVH51 MFD11:MFD51 MOZ11:MOZ51 MYV11:MYV51 NIR11:NIR51 NSN11:NSN51 OCJ11:OCJ51 OMF11:OMF51 OWB11:OWB51 PFX11:PFX51 PPT11:PPT51 PZP11:PZP51 QJL11:QJL51 QTH11:QTH51 RDD11:RDD51 RMZ11:RMZ51 RWV11:RWV51 SGR11:SGR51 SQN11:SQN51 TAJ11:TAJ51 TKF11:TKF51 TUB11:TUB51 UDX11:UDX51 UNT11:UNT51 UXP11:UXP51 VHL11:VHL51 VRH11:VRH51 WBD11:WBD51 WKZ11:WKZ51 WUV11:WUV51 D65628:D65636 IJ65628:IJ65636 SF65628:SF65636 ACB65628:ACB65636 ALX65628:ALX65636 AVT65628:AVT65636 BFP65628:BFP65636 BPL65628:BPL65636 BZH65628:BZH65636 CJD65628:CJD65636 CSZ65628:CSZ65636 DCV65628:DCV65636 DMR65628:DMR65636 DWN65628:DWN65636 EGJ65628:EGJ65636 EQF65628:EQF65636 FAB65628:FAB65636 FJX65628:FJX65636 FTT65628:FTT65636 GDP65628:GDP65636 GNL65628:GNL65636 GXH65628:GXH65636 HHD65628:HHD65636 HQZ65628:HQZ65636 IAV65628:IAV65636 IKR65628:IKR65636 IUN65628:IUN65636 JEJ65628:JEJ65636 JOF65628:JOF65636 JYB65628:JYB65636 KHX65628:KHX65636 KRT65628:KRT65636 LBP65628:LBP65636 LLL65628:LLL65636 LVH65628:LVH65636 MFD65628:MFD65636 MOZ65628:MOZ65636 MYV65628:MYV65636 NIR65628:NIR65636 NSN65628:NSN65636 OCJ65628:OCJ65636 OMF65628:OMF65636 OWB65628:OWB65636 PFX65628:PFX65636 PPT65628:PPT65636 PZP65628:PZP65636 QJL65628:QJL65636 QTH65628:QTH65636 RDD65628:RDD65636 RMZ65628:RMZ65636 RWV65628:RWV65636 SGR65628:SGR65636 SQN65628:SQN65636 TAJ65628:TAJ65636 TKF65628:TKF65636 TUB65628:TUB65636 UDX65628:UDX65636 UNT65628:UNT65636 UXP65628:UXP65636 VHL65628:VHL65636 VRH65628:VRH65636 WBD65628:WBD65636 WKZ65628:WKZ65636 WUV65628:WUV65636 D131164:D131172 IJ131164:IJ131172 SF131164:SF131172 ACB131164:ACB131172 ALX131164:ALX131172 AVT131164:AVT131172 BFP131164:BFP131172 BPL131164:BPL131172 BZH131164:BZH131172 CJD131164:CJD131172 CSZ131164:CSZ131172 DCV131164:DCV131172 DMR131164:DMR131172 DWN131164:DWN131172 EGJ131164:EGJ131172 EQF131164:EQF131172 FAB131164:FAB131172 FJX131164:FJX131172 FTT131164:FTT131172 GDP131164:GDP131172 GNL131164:GNL131172 GXH131164:GXH131172 HHD131164:HHD131172 HQZ131164:HQZ131172 IAV131164:IAV131172 IKR131164:IKR131172 IUN131164:IUN131172 JEJ131164:JEJ131172 JOF131164:JOF131172 JYB131164:JYB131172 KHX131164:KHX131172 KRT131164:KRT131172 LBP131164:LBP131172 LLL131164:LLL131172 LVH131164:LVH131172 MFD131164:MFD131172 MOZ131164:MOZ131172 MYV131164:MYV131172 NIR131164:NIR131172 NSN131164:NSN131172 OCJ131164:OCJ131172 OMF131164:OMF131172 OWB131164:OWB131172 PFX131164:PFX131172 PPT131164:PPT131172 PZP131164:PZP131172 QJL131164:QJL131172 QTH131164:QTH131172 RDD131164:RDD131172 RMZ131164:RMZ131172 RWV131164:RWV131172 SGR131164:SGR131172 SQN131164:SQN131172 TAJ131164:TAJ131172 TKF131164:TKF131172 TUB131164:TUB131172 UDX131164:UDX131172 UNT131164:UNT131172 UXP131164:UXP131172 VHL131164:VHL131172 VRH131164:VRH131172 WBD131164:WBD131172 WKZ131164:WKZ131172 WUV131164:WUV131172 D196700:D196708 IJ196700:IJ196708 SF196700:SF196708 ACB196700:ACB196708 ALX196700:ALX196708 AVT196700:AVT196708 BFP196700:BFP196708 BPL196700:BPL196708 BZH196700:BZH196708 CJD196700:CJD196708 CSZ196700:CSZ196708 DCV196700:DCV196708 DMR196700:DMR196708 DWN196700:DWN196708 EGJ196700:EGJ196708 EQF196700:EQF196708 FAB196700:FAB196708 FJX196700:FJX196708 FTT196700:FTT196708 GDP196700:GDP196708 GNL196700:GNL196708 GXH196700:GXH196708 HHD196700:HHD196708 HQZ196700:HQZ196708 IAV196700:IAV196708 IKR196700:IKR196708 IUN196700:IUN196708 JEJ196700:JEJ196708 JOF196700:JOF196708 JYB196700:JYB196708 KHX196700:KHX196708 KRT196700:KRT196708 LBP196700:LBP196708 LLL196700:LLL196708 LVH196700:LVH196708 MFD196700:MFD196708 MOZ196700:MOZ196708 MYV196700:MYV196708 NIR196700:NIR196708 NSN196700:NSN196708 OCJ196700:OCJ196708 OMF196700:OMF196708 OWB196700:OWB196708 PFX196700:PFX196708 PPT196700:PPT196708 PZP196700:PZP196708 QJL196700:QJL196708 QTH196700:QTH196708 RDD196700:RDD196708 RMZ196700:RMZ196708 RWV196700:RWV196708 SGR196700:SGR196708 SQN196700:SQN196708 TAJ196700:TAJ196708 TKF196700:TKF196708 TUB196700:TUB196708 UDX196700:UDX196708 UNT196700:UNT196708 UXP196700:UXP196708 VHL196700:VHL196708 VRH196700:VRH196708 WBD196700:WBD196708 WKZ196700:WKZ196708 WUV196700:WUV196708 D262236:D262244 IJ262236:IJ262244 SF262236:SF262244 ACB262236:ACB262244 ALX262236:ALX262244 AVT262236:AVT262244 BFP262236:BFP262244 BPL262236:BPL262244 BZH262236:BZH262244 CJD262236:CJD262244 CSZ262236:CSZ262244 DCV262236:DCV262244 DMR262236:DMR262244 DWN262236:DWN262244 EGJ262236:EGJ262244 EQF262236:EQF262244 FAB262236:FAB262244 FJX262236:FJX262244 FTT262236:FTT262244 GDP262236:GDP262244 GNL262236:GNL262244 GXH262236:GXH262244 HHD262236:HHD262244 HQZ262236:HQZ262244 IAV262236:IAV262244 IKR262236:IKR262244 IUN262236:IUN262244 JEJ262236:JEJ262244 JOF262236:JOF262244 JYB262236:JYB262244 KHX262236:KHX262244 KRT262236:KRT262244 LBP262236:LBP262244 LLL262236:LLL262244 LVH262236:LVH262244 MFD262236:MFD262244 MOZ262236:MOZ262244 MYV262236:MYV262244 NIR262236:NIR262244 NSN262236:NSN262244 OCJ262236:OCJ262244 OMF262236:OMF262244 OWB262236:OWB262244 PFX262236:PFX262244 PPT262236:PPT262244 PZP262236:PZP262244 QJL262236:QJL262244 QTH262236:QTH262244 RDD262236:RDD262244 RMZ262236:RMZ262244 RWV262236:RWV262244 SGR262236:SGR262244 SQN262236:SQN262244 TAJ262236:TAJ262244 TKF262236:TKF262244 TUB262236:TUB262244 UDX262236:UDX262244 UNT262236:UNT262244 UXP262236:UXP262244 VHL262236:VHL262244 VRH262236:VRH262244 WBD262236:WBD262244 WKZ262236:WKZ262244 WUV262236:WUV262244 D327772:D327780 IJ327772:IJ327780 SF327772:SF327780 ACB327772:ACB327780 ALX327772:ALX327780 AVT327772:AVT327780 BFP327772:BFP327780 BPL327772:BPL327780 BZH327772:BZH327780 CJD327772:CJD327780 CSZ327772:CSZ327780 DCV327772:DCV327780 DMR327772:DMR327780 DWN327772:DWN327780 EGJ327772:EGJ327780 EQF327772:EQF327780 FAB327772:FAB327780 FJX327772:FJX327780 FTT327772:FTT327780 GDP327772:GDP327780 GNL327772:GNL327780 GXH327772:GXH327780 HHD327772:HHD327780 HQZ327772:HQZ327780 IAV327772:IAV327780 IKR327772:IKR327780 IUN327772:IUN327780 JEJ327772:JEJ327780 JOF327772:JOF327780 JYB327772:JYB327780 KHX327772:KHX327780 KRT327772:KRT327780 LBP327772:LBP327780 LLL327772:LLL327780 LVH327772:LVH327780 MFD327772:MFD327780 MOZ327772:MOZ327780 MYV327772:MYV327780 NIR327772:NIR327780 NSN327772:NSN327780 OCJ327772:OCJ327780 OMF327772:OMF327780 OWB327772:OWB327780 PFX327772:PFX327780 PPT327772:PPT327780 PZP327772:PZP327780 QJL327772:QJL327780 QTH327772:QTH327780 RDD327772:RDD327780 RMZ327772:RMZ327780 RWV327772:RWV327780 SGR327772:SGR327780 SQN327772:SQN327780 TAJ327772:TAJ327780 TKF327772:TKF327780 TUB327772:TUB327780 UDX327772:UDX327780 UNT327772:UNT327780 UXP327772:UXP327780 VHL327772:VHL327780 VRH327772:VRH327780 WBD327772:WBD327780 WKZ327772:WKZ327780 WUV327772:WUV327780 D393308:D393316 IJ393308:IJ393316 SF393308:SF393316 ACB393308:ACB393316 ALX393308:ALX393316 AVT393308:AVT393316 BFP393308:BFP393316 BPL393308:BPL393316 BZH393308:BZH393316 CJD393308:CJD393316 CSZ393308:CSZ393316 DCV393308:DCV393316 DMR393308:DMR393316 DWN393308:DWN393316 EGJ393308:EGJ393316 EQF393308:EQF393316 FAB393308:FAB393316 FJX393308:FJX393316 FTT393308:FTT393316 GDP393308:GDP393316 GNL393308:GNL393316 GXH393308:GXH393316 HHD393308:HHD393316 HQZ393308:HQZ393316 IAV393308:IAV393316 IKR393308:IKR393316 IUN393308:IUN393316 JEJ393308:JEJ393316 JOF393308:JOF393316 JYB393308:JYB393316 KHX393308:KHX393316 KRT393308:KRT393316 LBP393308:LBP393316 LLL393308:LLL393316 LVH393308:LVH393316 MFD393308:MFD393316 MOZ393308:MOZ393316 MYV393308:MYV393316 NIR393308:NIR393316 NSN393308:NSN393316 OCJ393308:OCJ393316 OMF393308:OMF393316 OWB393308:OWB393316 PFX393308:PFX393316 PPT393308:PPT393316 PZP393308:PZP393316 QJL393308:QJL393316 QTH393308:QTH393316 RDD393308:RDD393316 RMZ393308:RMZ393316 RWV393308:RWV393316 SGR393308:SGR393316 SQN393308:SQN393316 TAJ393308:TAJ393316 TKF393308:TKF393316 TUB393308:TUB393316 UDX393308:UDX393316 UNT393308:UNT393316 UXP393308:UXP393316 VHL393308:VHL393316 VRH393308:VRH393316 WBD393308:WBD393316 WKZ393308:WKZ393316 WUV393308:WUV393316 D458844:D458852 IJ458844:IJ458852 SF458844:SF458852 ACB458844:ACB458852 ALX458844:ALX458852 AVT458844:AVT458852 BFP458844:BFP458852 BPL458844:BPL458852 BZH458844:BZH458852 CJD458844:CJD458852 CSZ458844:CSZ458852 DCV458844:DCV458852 DMR458844:DMR458852 DWN458844:DWN458852 EGJ458844:EGJ458852 EQF458844:EQF458852 FAB458844:FAB458852 FJX458844:FJX458852 FTT458844:FTT458852 GDP458844:GDP458852 GNL458844:GNL458852 GXH458844:GXH458852 HHD458844:HHD458852 HQZ458844:HQZ458852 IAV458844:IAV458852 IKR458844:IKR458852 IUN458844:IUN458852 JEJ458844:JEJ458852 JOF458844:JOF458852 JYB458844:JYB458852 KHX458844:KHX458852 KRT458844:KRT458852 LBP458844:LBP458852 LLL458844:LLL458852 LVH458844:LVH458852 MFD458844:MFD458852 MOZ458844:MOZ458852 MYV458844:MYV458852 NIR458844:NIR458852 NSN458844:NSN458852 OCJ458844:OCJ458852 OMF458844:OMF458852 OWB458844:OWB458852 PFX458844:PFX458852 PPT458844:PPT458852 PZP458844:PZP458852 QJL458844:QJL458852 QTH458844:QTH458852 RDD458844:RDD458852 RMZ458844:RMZ458852 RWV458844:RWV458852 SGR458844:SGR458852 SQN458844:SQN458852 TAJ458844:TAJ458852 TKF458844:TKF458852 TUB458844:TUB458852 UDX458844:UDX458852 UNT458844:UNT458852 UXP458844:UXP458852 VHL458844:VHL458852 VRH458844:VRH458852 WBD458844:WBD458852 WKZ458844:WKZ458852 WUV458844:WUV458852 D524380:D524388 IJ524380:IJ524388 SF524380:SF524388 ACB524380:ACB524388 ALX524380:ALX524388 AVT524380:AVT524388 BFP524380:BFP524388 BPL524380:BPL524388 BZH524380:BZH524388 CJD524380:CJD524388 CSZ524380:CSZ524388 DCV524380:DCV524388 DMR524380:DMR524388 DWN524380:DWN524388 EGJ524380:EGJ524388 EQF524380:EQF524388 FAB524380:FAB524388 FJX524380:FJX524388 FTT524380:FTT524388 GDP524380:GDP524388 GNL524380:GNL524388 GXH524380:GXH524388 HHD524380:HHD524388 HQZ524380:HQZ524388 IAV524380:IAV524388 IKR524380:IKR524388 IUN524380:IUN524388 JEJ524380:JEJ524388 JOF524380:JOF524388 JYB524380:JYB524388 KHX524380:KHX524388 KRT524380:KRT524388 LBP524380:LBP524388 LLL524380:LLL524388 LVH524380:LVH524388 MFD524380:MFD524388 MOZ524380:MOZ524388 MYV524380:MYV524388 NIR524380:NIR524388 NSN524380:NSN524388 OCJ524380:OCJ524388 OMF524380:OMF524388 OWB524380:OWB524388 PFX524380:PFX524388 PPT524380:PPT524388 PZP524380:PZP524388 QJL524380:QJL524388 QTH524380:QTH524388 RDD524380:RDD524388 RMZ524380:RMZ524388 RWV524380:RWV524388 SGR524380:SGR524388 SQN524380:SQN524388 TAJ524380:TAJ524388 TKF524380:TKF524388 TUB524380:TUB524388 UDX524380:UDX524388 UNT524380:UNT524388 UXP524380:UXP524388 VHL524380:VHL524388 VRH524380:VRH524388 WBD524380:WBD524388 WKZ524380:WKZ524388 WUV524380:WUV524388 D589916:D589924 IJ589916:IJ589924 SF589916:SF589924 ACB589916:ACB589924 ALX589916:ALX589924 AVT589916:AVT589924 BFP589916:BFP589924 BPL589916:BPL589924 BZH589916:BZH589924 CJD589916:CJD589924 CSZ589916:CSZ589924 DCV589916:DCV589924 DMR589916:DMR589924 DWN589916:DWN589924 EGJ589916:EGJ589924 EQF589916:EQF589924 FAB589916:FAB589924 FJX589916:FJX589924 FTT589916:FTT589924 GDP589916:GDP589924 GNL589916:GNL589924 GXH589916:GXH589924 HHD589916:HHD589924 HQZ589916:HQZ589924 IAV589916:IAV589924 IKR589916:IKR589924 IUN589916:IUN589924 JEJ589916:JEJ589924 JOF589916:JOF589924 JYB589916:JYB589924 KHX589916:KHX589924 KRT589916:KRT589924 LBP589916:LBP589924 LLL589916:LLL589924 LVH589916:LVH589924 MFD589916:MFD589924 MOZ589916:MOZ589924 MYV589916:MYV589924 NIR589916:NIR589924 NSN589916:NSN589924 OCJ589916:OCJ589924 OMF589916:OMF589924 OWB589916:OWB589924 PFX589916:PFX589924 PPT589916:PPT589924 PZP589916:PZP589924 QJL589916:QJL589924 QTH589916:QTH589924 RDD589916:RDD589924 RMZ589916:RMZ589924 RWV589916:RWV589924 SGR589916:SGR589924 SQN589916:SQN589924 TAJ589916:TAJ589924 TKF589916:TKF589924 TUB589916:TUB589924 UDX589916:UDX589924 UNT589916:UNT589924 UXP589916:UXP589924 VHL589916:VHL589924 VRH589916:VRH589924 WBD589916:WBD589924 WKZ589916:WKZ589924 WUV589916:WUV589924 D655452:D655460 IJ655452:IJ655460 SF655452:SF655460 ACB655452:ACB655460 ALX655452:ALX655460 AVT655452:AVT655460 BFP655452:BFP655460 BPL655452:BPL655460 BZH655452:BZH655460 CJD655452:CJD655460 CSZ655452:CSZ655460 DCV655452:DCV655460 DMR655452:DMR655460 DWN655452:DWN655460 EGJ655452:EGJ655460 EQF655452:EQF655460 FAB655452:FAB655460 FJX655452:FJX655460 FTT655452:FTT655460 GDP655452:GDP655460 GNL655452:GNL655460 GXH655452:GXH655460 HHD655452:HHD655460 HQZ655452:HQZ655460 IAV655452:IAV655460 IKR655452:IKR655460 IUN655452:IUN655460 JEJ655452:JEJ655460 JOF655452:JOF655460 JYB655452:JYB655460 KHX655452:KHX655460 KRT655452:KRT655460 LBP655452:LBP655460 LLL655452:LLL655460 LVH655452:LVH655460 MFD655452:MFD655460 MOZ655452:MOZ655460 MYV655452:MYV655460 NIR655452:NIR655460 NSN655452:NSN655460 OCJ655452:OCJ655460 OMF655452:OMF655460 OWB655452:OWB655460 PFX655452:PFX655460 PPT655452:PPT655460 PZP655452:PZP655460 QJL655452:QJL655460 QTH655452:QTH655460 RDD655452:RDD655460 RMZ655452:RMZ655460 RWV655452:RWV655460 SGR655452:SGR655460 SQN655452:SQN655460 TAJ655452:TAJ655460 TKF655452:TKF655460 TUB655452:TUB655460 UDX655452:UDX655460 UNT655452:UNT655460 UXP655452:UXP655460 VHL655452:VHL655460 VRH655452:VRH655460 WBD655452:WBD655460 WKZ655452:WKZ655460 WUV655452:WUV655460 D720988:D720996 IJ720988:IJ720996 SF720988:SF720996 ACB720988:ACB720996 ALX720988:ALX720996 AVT720988:AVT720996 BFP720988:BFP720996 BPL720988:BPL720996 BZH720988:BZH720996 CJD720988:CJD720996 CSZ720988:CSZ720996 DCV720988:DCV720996 DMR720988:DMR720996 DWN720988:DWN720996 EGJ720988:EGJ720996 EQF720988:EQF720996 FAB720988:FAB720996 FJX720988:FJX720996 FTT720988:FTT720996 GDP720988:GDP720996 GNL720988:GNL720996 GXH720988:GXH720996 HHD720988:HHD720996 HQZ720988:HQZ720996 IAV720988:IAV720996 IKR720988:IKR720996 IUN720988:IUN720996 JEJ720988:JEJ720996 JOF720988:JOF720996 JYB720988:JYB720996 KHX720988:KHX720996 KRT720988:KRT720996 LBP720988:LBP720996 LLL720988:LLL720996 LVH720988:LVH720996 MFD720988:MFD720996 MOZ720988:MOZ720996 MYV720988:MYV720996 NIR720988:NIR720996 NSN720988:NSN720996 OCJ720988:OCJ720996 OMF720988:OMF720996 OWB720988:OWB720996 PFX720988:PFX720996 PPT720988:PPT720996 PZP720988:PZP720996 QJL720988:QJL720996 QTH720988:QTH720996 RDD720988:RDD720996 RMZ720988:RMZ720996 RWV720988:RWV720996 SGR720988:SGR720996 SQN720988:SQN720996 TAJ720988:TAJ720996 TKF720988:TKF720996 TUB720988:TUB720996 UDX720988:UDX720996 UNT720988:UNT720996 UXP720988:UXP720996 VHL720988:VHL720996 VRH720988:VRH720996 WBD720988:WBD720996 WKZ720988:WKZ720996 WUV720988:WUV720996 D786524:D786532 IJ786524:IJ786532 SF786524:SF786532 ACB786524:ACB786532 ALX786524:ALX786532 AVT786524:AVT786532 BFP786524:BFP786532 BPL786524:BPL786532 BZH786524:BZH786532 CJD786524:CJD786532 CSZ786524:CSZ786532 DCV786524:DCV786532 DMR786524:DMR786532 DWN786524:DWN786532 EGJ786524:EGJ786532 EQF786524:EQF786532 FAB786524:FAB786532 FJX786524:FJX786532 FTT786524:FTT786532 GDP786524:GDP786532 GNL786524:GNL786532 GXH786524:GXH786532 HHD786524:HHD786532 HQZ786524:HQZ786532 IAV786524:IAV786532 IKR786524:IKR786532 IUN786524:IUN786532 JEJ786524:JEJ786532 JOF786524:JOF786532 JYB786524:JYB786532 KHX786524:KHX786532 KRT786524:KRT786532 LBP786524:LBP786532 LLL786524:LLL786532 LVH786524:LVH786532 MFD786524:MFD786532 MOZ786524:MOZ786532 MYV786524:MYV786532 NIR786524:NIR786532 NSN786524:NSN786532 OCJ786524:OCJ786532 OMF786524:OMF786532 OWB786524:OWB786532 PFX786524:PFX786532 PPT786524:PPT786532 PZP786524:PZP786532 QJL786524:QJL786532 QTH786524:QTH786532 RDD786524:RDD786532 RMZ786524:RMZ786532 RWV786524:RWV786532 SGR786524:SGR786532 SQN786524:SQN786532 TAJ786524:TAJ786532 TKF786524:TKF786532 TUB786524:TUB786532 UDX786524:UDX786532 UNT786524:UNT786532 UXP786524:UXP786532 VHL786524:VHL786532 VRH786524:VRH786532 WBD786524:WBD786532 WKZ786524:WKZ786532 WUV786524:WUV786532 D852060:D852068 IJ852060:IJ852068 SF852060:SF852068 ACB852060:ACB852068 ALX852060:ALX852068 AVT852060:AVT852068 BFP852060:BFP852068 BPL852060:BPL852068 BZH852060:BZH852068 CJD852060:CJD852068 CSZ852060:CSZ852068 DCV852060:DCV852068 DMR852060:DMR852068 DWN852060:DWN852068 EGJ852060:EGJ852068 EQF852060:EQF852068 FAB852060:FAB852068 FJX852060:FJX852068 FTT852060:FTT852068 GDP852060:GDP852068 GNL852060:GNL852068 GXH852060:GXH852068 HHD852060:HHD852068 HQZ852060:HQZ852068 IAV852060:IAV852068 IKR852060:IKR852068 IUN852060:IUN852068 JEJ852060:JEJ852068 JOF852060:JOF852068 JYB852060:JYB852068 KHX852060:KHX852068 KRT852060:KRT852068 LBP852060:LBP852068 LLL852060:LLL852068 LVH852060:LVH852068 MFD852060:MFD852068 MOZ852060:MOZ852068 MYV852060:MYV852068 NIR852060:NIR852068 NSN852060:NSN852068 OCJ852060:OCJ852068 OMF852060:OMF852068 OWB852060:OWB852068 PFX852060:PFX852068 PPT852060:PPT852068 PZP852060:PZP852068 QJL852060:QJL852068 QTH852060:QTH852068 RDD852060:RDD852068 RMZ852060:RMZ852068 RWV852060:RWV852068 SGR852060:SGR852068 SQN852060:SQN852068 TAJ852060:TAJ852068 TKF852060:TKF852068 TUB852060:TUB852068 UDX852060:UDX852068 UNT852060:UNT852068 UXP852060:UXP852068 VHL852060:VHL852068 VRH852060:VRH852068 WBD852060:WBD852068 WKZ852060:WKZ852068 WUV852060:WUV852068 D917596:D917604 IJ917596:IJ917604 SF917596:SF917604 ACB917596:ACB917604 ALX917596:ALX917604 AVT917596:AVT917604 BFP917596:BFP917604 BPL917596:BPL917604 BZH917596:BZH917604 CJD917596:CJD917604 CSZ917596:CSZ917604 DCV917596:DCV917604 DMR917596:DMR917604 DWN917596:DWN917604 EGJ917596:EGJ917604 EQF917596:EQF917604 FAB917596:FAB917604 FJX917596:FJX917604 FTT917596:FTT917604 GDP917596:GDP917604 GNL917596:GNL917604 GXH917596:GXH917604 HHD917596:HHD917604 HQZ917596:HQZ917604 IAV917596:IAV917604 IKR917596:IKR917604 IUN917596:IUN917604 JEJ917596:JEJ917604 JOF917596:JOF917604 JYB917596:JYB917604 KHX917596:KHX917604 KRT917596:KRT917604 LBP917596:LBP917604 LLL917596:LLL917604 LVH917596:LVH917604 MFD917596:MFD917604 MOZ917596:MOZ917604 MYV917596:MYV917604 NIR917596:NIR917604 NSN917596:NSN917604 OCJ917596:OCJ917604 OMF917596:OMF917604 OWB917596:OWB917604 PFX917596:PFX917604 PPT917596:PPT917604 PZP917596:PZP917604 QJL917596:QJL917604 QTH917596:QTH917604 RDD917596:RDD917604 RMZ917596:RMZ917604 RWV917596:RWV917604 SGR917596:SGR917604 SQN917596:SQN917604 TAJ917596:TAJ917604 TKF917596:TKF917604 TUB917596:TUB917604 UDX917596:UDX917604 UNT917596:UNT917604 UXP917596:UXP917604 VHL917596:VHL917604 VRH917596:VRH917604 WBD917596:WBD917604 WKZ917596:WKZ917604 WUV917596:WUV917604 D983132:D983140 IJ983132:IJ983140 SF983132:SF983140 ACB983132:ACB983140 ALX983132:ALX983140 AVT983132:AVT983140 BFP983132:BFP983140 BPL983132:BPL983140 BZH983132:BZH983140 CJD983132:CJD983140 CSZ983132:CSZ983140 DCV983132:DCV983140 DMR983132:DMR983140 DWN983132:DWN983140 EGJ983132:EGJ983140 EQF983132:EQF983140 FAB983132:FAB983140 FJX983132:FJX983140 FTT983132:FTT983140 GDP983132:GDP983140 GNL983132:GNL983140 GXH983132:GXH983140 HHD983132:HHD983140 HQZ983132:HQZ983140 IAV983132:IAV983140 IKR983132:IKR983140 IUN983132:IUN983140 JEJ983132:JEJ983140 JOF983132:JOF983140 JYB983132:JYB983140 KHX983132:KHX983140 KRT983132:KRT983140 LBP983132:LBP983140 LLL983132:LLL983140 LVH983132:LVH983140 MFD983132:MFD983140 MOZ983132:MOZ983140 MYV983132:MYV983140 NIR983132:NIR983140 NSN983132:NSN983140 OCJ983132:OCJ983140 OMF983132:OMF983140 OWB983132:OWB983140 PFX983132:PFX983140 PPT983132:PPT983140 PZP983132:PZP983140 QJL983132:QJL983140 QTH983132:QTH983140 RDD983132:RDD983140 RMZ983132:RMZ983140 RWV983132:RWV983140 SGR983132:SGR983140 SQN983132:SQN983140 TAJ983132:TAJ983140 TKF983132:TKF983140 TUB983132:TUB983140 UDX983132:UDX983140 UNT983132:UNT983140 UXP983132:UXP983140 VHL983132:VHL983140 VRH983132:VRH983140 WBD983132:WBD983140 WKZ983132:WKZ983140 WUV983132:WUV983140 D11:D51 IJ54:IJ78 SF54:SF78 ACB54:ACB78 ALX54:ALX78 AVT54:AVT78 BFP54:BFP78 BPL54:BPL78 BZH54:BZH78 CJD54:CJD78 CSZ54:CSZ78 DCV54:DCV78 DMR54:DMR78 DWN54:DWN78 EGJ54:EGJ78 EQF54:EQF78 FAB54:FAB78 FJX54:FJX78 FTT54:FTT78 GDP54:GDP78 GNL54:GNL78 GXH54:GXH78 HHD54:HHD78 HQZ54:HQZ78 IAV54:IAV78 IKR54:IKR78 IUN54:IUN78 JEJ54:JEJ78 JOF54:JOF78 JYB54:JYB78 KHX54:KHX78 KRT54:KRT78 LBP54:LBP78 LLL54:LLL78 LVH54:LVH78 MFD54:MFD78 MOZ54:MOZ78 MYV54:MYV78 NIR54:NIR78 NSN54:NSN78 OCJ54:OCJ78 OMF54:OMF78 OWB54:OWB78 PFX54:PFX78 PPT54:PPT78 PZP54:PZP78 QJL54:QJL78 QTH54:QTH78 RDD54:RDD78 RMZ54:RMZ78 RWV54:RWV78 SGR54:SGR78 SQN54:SQN78 TAJ54:TAJ78 TKF54:TKF78 TUB54:TUB78 UDX54:UDX78 UNT54:UNT78 UXP54:UXP78 VHL54:VHL78 VRH54:VRH78 WBD54:WBD78 WKZ54:WKZ78 WUV54:WUV78 D65639:D65647 IJ65639:IJ65647 SF65639:SF65647 ACB65639:ACB65647 ALX65639:ALX65647 AVT65639:AVT65647 BFP65639:BFP65647 BPL65639:BPL65647 BZH65639:BZH65647 CJD65639:CJD65647 CSZ65639:CSZ65647 DCV65639:DCV65647 DMR65639:DMR65647 DWN65639:DWN65647 EGJ65639:EGJ65647 EQF65639:EQF65647 FAB65639:FAB65647 FJX65639:FJX65647 FTT65639:FTT65647 GDP65639:GDP65647 GNL65639:GNL65647 GXH65639:GXH65647 HHD65639:HHD65647 HQZ65639:HQZ65647 IAV65639:IAV65647 IKR65639:IKR65647 IUN65639:IUN65647 JEJ65639:JEJ65647 JOF65639:JOF65647 JYB65639:JYB65647 KHX65639:KHX65647 KRT65639:KRT65647 LBP65639:LBP65647 LLL65639:LLL65647 LVH65639:LVH65647 MFD65639:MFD65647 MOZ65639:MOZ65647 MYV65639:MYV65647 NIR65639:NIR65647 NSN65639:NSN65647 OCJ65639:OCJ65647 OMF65639:OMF65647 OWB65639:OWB65647 PFX65639:PFX65647 PPT65639:PPT65647 PZP65639:PZP65647 QJL65639:QJL65647 QTH65639:QTH65647 RDD65639:RDD65647 RMZ65639:RMZ65647 RWV65639:RWV65647 SGR65639:SGR65647 SQN65639:SQN65647 TAJ65639:TAJ65647 TKF65639:TKF65647 TUB65639:TUB65647 UDX65639:UDX65647 UNT65639:UNT65647 UXP65639:UXP65647 VHL65639:VHL65647 VRH65639:VRH65647 WBD65639:WBD65647 WKZ65639:WKZ65647 WUV65639:WUV65647 D131175:D131183 IJ131175:IJ131183 SF131175:SF131183 ACB131175:ACB131183 ALX131175:ALX131183 AVT131175:AVT131183 BFP131175:BFP131183 BPL131175:BPL131183 BZH131175:BZH131183 CJD131175:CJD131183 CSZ131175:CSZ131183 DCV131175:DCV131183 DMR131175:DMR131183 DWN131175:DWN131183 EGJ131175:EGJ131183 EQF131175:EQF131183 FAB131175:FAB131183 FJX131175:FJX131183 FTT131175:FTT131183 GDP131175:GDP131183 GNL131175:GNL131183 GXH131175:GXH131183 HHD131175:HHD131183 HQZ131175:HQZ131183 IAV131175:IAV131183 IKR131175:IKR131183 IUN131175:IUN131183 JEJ131175:JEJ131183 JOF131175:JOF131183 JYB131175:JYB131183 KHX131175:KHX131183 KRT131175:KRT131183 LBP131175:LBP131183 LLL131175:LLL131183 LVH131175:LVH131183 MFD131175:MFD131183 MOZ131175:MOZ131183 MYV131175:MYV131183 NIR131175:NIR131183 NSN131175:NSN131183 OCJ131175:OCJ131183 OMF131175:OMF131183 OWB131175:OWB131183 PFX131175:PFX131183 PPT131175:PPT131183 PZP131175:PZP131183 QJL131175:QJL131183 QTH131175:QTH131183 RDD131175:RDD131183 RMZ131175:RMZ131183 RWV131175:RWV131183 SGR131175:SGR131183 SQN131175:SQN131183 TAJ131175:TAJ131183 TKF131175:TKF131183 TUB131175:TUB131183 UDX131175:UDX131183 UNT131175:UNT131183 UXP131175:UXP131183 VHL131175:VHL131183 VRH131175:VRH131183 WBD131175:WBD131183 WKZ131175:WKZ131183 WUV131175:WUV131183 D196711:D196719 IJ196711:IJ196719 SF196711:SF196719 ACB196711:ACB196719 ALX196711:ALX196719 AVT196711:AVT196719 BFP196711:BFP196719 BPL196711:BPL196719 BZH196711:BZH196719 CJD196711:CJD196719 CSZ196711:CSZ196719 DCV196711:DCV196719 DMR196711:DMR196719 DWN196711:DWN196719 EGJ196711:EGJ196719 EQF196711:EQF196719 FAB196711:FAB196719 FJX196711:FJX196719 FTT196711:FTT196719 GDP196711:GDP196719 GNL196711:GNL196719 GXH196711:GXH196719 HHD196711:HHD196719 HQZ196711:HQZ196719 IAV196711:IAV196719 IKR196711:IKR196719 IUN196711:IUN196719 JEJ196711:JEJ196719 JOF196711:JOF196719 JYB196711:JYB196719 KHX196711:KHX196719 KRT196711:KRT196719 LBP196711:LBP196719 LLL196711:LLL196719 LVH196711:LVH196719 MFD196711:MFD196719 MOZ196711:MOZ196719 MYV196711:MYV196719 NIR196711:NIR196719 NSN196711:NSN196719 OCJ196711:OCJ196719 OMF196711:OMF196719 OWB196711:OWB196719 PFX196711:PFX196719 PPT196711:PPT196719 PZP196711:PZP196719 QJL196711:QJL196719 QTH196711:QTH196719 RDD196711:RDD196719 RMZ196711:RMZ196719 RWV196711:RWV196719 SGR196711:SGR196719 SQN196711:SQN196719 TAJ196711:TAJ196719 TKF196711:TKF196719 TUB196711:TUB196719 UDX196711:UDX196719 UNT196711:UNT196719 UXP196711:UXP196719 VHL196711:VHL196719 VRH196711:VRH196719 WBD196711:WBD196719 WKZ196711:WKZ196719 WUV196711:WUV196719 D262247:D262255 IJ262247:IJ262255 SF262247:SF262255 ACB262247:ACB262255 ALX262247:ALX262255 AVT262247:AVT262255 BFP262247:BFP262255 BPL262247:BPL262255 BZH262247:BZH262255 CJD262247:CJD262255 CSZ262247:CSZ262255 DCV262247:DCV262255 DMR262247:DMR262255 DWN262247:DWN262255 EGJ262247:EGJ262255 EQF262247:EQF262255 FAB262247:FAB262255 FJX262247:FJX262255 FTT262247:FTT262255 GDP262247:GDP262255 GNL262247:GNL262255 GXH262247:GXH262255 HHD262247:HHD262255 HQZ262247:HQZ262255 IAV262247:IAV262255 IKR262247:IKR262255 IUN262247:IUN262255 JEJ262247:JEJ262255 JOF262247:JOF262255 JYB262247:JYB262255 KHX262247:KHX262255 KRT262247:KRT262255 LBP262247:LBP262255 LLL262247:LLL262255 LVH262247:LVH262255 MFD262247:MFD262255 MOZ262247:MOZ262255 MYV262247:MYV262255 NIR262247:NIR262255 NSN262247:NSN262255 OCJ262247:OCJ262255 OMF262247:OMF262255 OWB262247:OWB262255 PFX262247:PFX262255 PPT262247:PPT262255 PZP262247:PZP262255 QJL262247:QJL262255 QTH262247:QTH262255 RDD262247:RDD262255 RMZ262247:RMZ262255 RWV262247:RWV262255 SGR262247:SGR262255 SQN262247:SQN262255 TAJ262247:TAJ262255 TKF262247:TKF262255 TUB262247:TUB262255 UDX262247:UDX262255 UNT262247:UNT262255 UXP262247:UXP262255 VHL262247:VHL262255 VRH262247:VRH262255 WBD262247:WBD262255 WKZ262247:WKZ262255 WUV262247:WUV262255 D327783:D327791 IJ327783:IJ327791 SF327783:SF327791 ACB327783:ACB327791 ALX327783:ALX327791 AVT327783:AVT327791 BFP327783:BFP327791 BPL327783:BPL327791 BZH327783:BZH327791 CJD327783:CJD327791 CSZ327783:CSZ327791 DCV327783:DCV327791 DMR327783:DMR327791 DWN327783:DWN327791 EGJ327783:EGJ327791 EQF327783:EQF327791 FAB327783:FAB327791 FJX327783:FJX327791 FTT327783:FTT327791 GDP327783:GDP327791 GNL327783:GNL327791 GXH327783:GXH327791 HHD327783:HHD327791 HQZ327783:HQZ327791 IAV327783:IAV327791 IKR327783:IKR327791 IUN327783:IUN327791 JEJ327783:JEJ327791 JOF327783:JOF327791 JYB327783:JYB327791 KHX327783:KHX327791 KRT327783:KRT327791 LBP327783:LBP327791 LLL327783:LLL327791 LVH327783:LVH327791 MFD327783:MFD327791 MOZ327783:MOZ327791 MYV327783:MYV327791 NIR327783:NIR327791 NSN327783:NSN327791 OCJ327783:OCJ327791 OMF327783:OMF327791 OWB327783:OWB327791 PFX327783:PFX327791 PPT327783:PPT327791 PZP327783:PZP327791 QJL327783:QJL327791 QTH327783:QTH327791 RDD327783:RDD327791 RMZ327783:RMZ327791 RWV327783:RWV327791 SGR327783:SGR327791 SQN327783:SQN327791 TAJ327783:TAJ327791 TKF327783:TKF327791 TUB327783:TUB327791 UDX327783:UDX327791 UNT327783:UNT327791 UXP327783:UXP327791 VHL327783:VHL327791 VRH327783:VRH327791 WBD327783:WBD327791 WKZ327783:WKZ327791 WUV327783:WUV327791 D393319:D393327 IJ393319:IJ393327 SF393319:SF393327 ACB393319:ACB393327 ALX393319:ALX393327 AVT393319:AVT393327 BFP393319:BFP393327 BPL393319:BPL393327 BZH393319:BZH393327 CJD393319:CJD393327 CSZ393319:CSZ393327 DCV393319:DCV393327 DMR393319:DMR393327 DWN393319:DWN393327 EGJ393319:EGJ393327 EQF393319:EQF393327 FAB393319:FAB393327 FJX393319:FJX393327 FTT393319:FTT393327 GDP393319:GDP393327 GNL393319:GNL393327 GXH393319:GXH393327 HHD393319:HHD393327 HQZ393319:HQZ393327 IAV393319:IAV393327 IKR393319:IKR393327 IUN393319:IUN393327 JEJ393319:JEJ393327 JOF393319:JOF393327 JYB393319:JYB393327 KHX393319:KHX393327 KRT393319:KRT393327 LBP393319:LBP393327 LLL393319:LLL393327 LVH393319:LVH393327 MFD393319:MFD393327 MOZ393319:MOZ393327 MYV393319:MYV393327 NIR393319:NIR393327 NSN393319:NSN393327 OCJ393319:OCJ393327 OMF393319:OMF393327 OWB393319:OWB393327 PFX393319:PFX393327 PPT393319:PPT393327 PZP393319:PZP393327 QJL393319:QJL393327 QTH393319:QTH393327 RDD393319:RDD393327 RMZ393319:RMZ393327 RWV393319:RWV393327 SGR393319:SGR393327 SQN393319:SQN393327 TAJ393319:TAJ393327 TKF393319:TKF393327 TUB393319:TUB393327 UDX393319:UDX393327 UNT393319:UNT393327 UXP393319:UXP393327 VHL393319:VHL393327 VRH393319:VRH393327 WBD393319:WBD393327 WKZ393319:WKZ393327 WUV393319:WUV393327 D458855:D458863 IJ458855:IJ458863 SF458855:SF458863 ACB458855:ACB458863 ALX458855:ALX458863 AVT458855:AVT458863 BFP458855:BFP458863 BPL458855:BPL458863 BZH458855:BZH458863 CJD458855:CJD458863 CSZ458855:CSZ458863 DCV458855:DCV458863 DMR458855:DMR458863 DWN458855:DWN458863 EGJ458855:EGJ458863 EQF458855:EQF458863 FAB458855:FAB458863 FJX458855:FJX458863 FTT458855:FTT458863 GDP458855:GDP458863 GNL458855:GNL458863 GXH458855:GXH458863 HHD458855:HHD458863 HQZ458855:HQZ458863 IAV458855:IAV458863 IKR458855:IKR458863 IUN458855:IUN458863 JEJ458855:JEJ458863 JOF458855:JOF458863 JYB458855:JYB458863 KHX458855:KHX458863 KRT458855:KRT458863 LBP458855:LBP458863 LLL458855:LLL458863 LVH458855:LVH458863 MFD458855:MFD458863 MOZ458855:MOZ458863 MYV458855:MYV458863 NIR458855:NIR458863 NSN458855:NSN458863 OCJ458855:OCJ458863 OMF458855:OMF458863 OWB458855:OWB458863 PFX458855:PFX458863 PPT458855:PPT458863 PZP458855:PZP458863 QJL458855:QJL458863 QTH458855:QTH458863 RDD458855:RDD458863 RMZ458855:RMZ458863 RWV458855:RWV458863 SGR458855:SGR458863 SQN458855:SQN458863 TAJ458855:TAJ458863 TKF458855:TKF458863 TUB458855:TUB458863 UDX458855:UDX458863 UNT458855:UNT458863 UXP458855:UXP458863 VHL458855:VHL458863 VRH458855:VRH458863 WBD458855:WBD458863 WKZ458855:WKZ458863 WUV458855:WUV458863 D524391:D524399 IJ524391:IJ524399 SF524391:SF524399 ACB524391:ACB524399 ALX524391:ALX524399 AVT524391:AVT524399 BFP524391:BFP524399 BPL524391:BPL524399 BZH524391:BZH524399 CJD524391:CJD524399 CSZ524391:CSZ524399 DCV524391:DCV524399 DMR524391:DMR524399 DWN524391:DWN524399 EGJ524391:EGJ524399 EQF524391:EQF524399 FAB524391:FAB524399 FJX524391:FJX524399 FTT524391:FTT524399 GDP524391:GDP524399 GNL524391:GNL524399 GXH524391:GXH524399 HHD524391:HHD524399 HQZ524391:HQZ524399 IAV524391:IAV524399 IKR524391:IKR524399 IUN524391:IUN524399 JEJ524391:JEJ524399 JOF524391:JOF524399 JYB524391:JYB524399 KHX524391:KHX524399 KRT524391:KRT524399 LBP524391:LBP524399 LLL524391:LLL524399 LVH524391:LVH524399 MFD524391:MFD524399 MOZ524391:MOZ524399 MYV524391:MYV524399 NIR524391:NIR524399 NSN524391:NSN524399 OCJ524391:OCJ524399 OMF524391:OMF524399 OWB524391:OWB524399 PFX524391:PFX524399 PPT524391:PPT524399 PZP524391:PZP524399 QJL524391:QJL524399 QTH524391:QTH524399 RDD524391:RDD524399 RMZ524391:RMZ524399 RWV524391:RWV524399 SGR524391:SGR524399 SQN524391:SQN524399 TAJ524391:TAJ524399 TKF524391:TKF524399 TUB524391:TUB524399 UDX524391:UDX524399 UNT524391:UNT524399 UXP524391:UXP524399 VHL524391:VHL524399 VRH524391:VRH524399 WBD524391:WBD524399 WKZ524391:WKZ524399 WUV524391:WUV524399 D589927:D589935 IJ589927:IJ589935 SF589927:SF589935 ACB589927:ACB589935 ALX589927:ALX589935 AVT589927:AVT589935 BFP589927:BFP589935 BPL589927:BPL589935 BZH589927:BZH589935 CJD589927:CJD589935 CSZ589927:CSZ589935 DCV589927:DCV589935 DMR589927:DMR589935 DWN589927:DWN589935 EGJ589927:EGJ589935 EQF589927:EQF589935 FAB589927:FAB589935 FJX589927:FJX589935 FTT589927:FTT589935 GDP589927:GDP589935 GNL589927:GNL589935 GXH589927:GXH589935 HHD589927:HHD589935 HQZ589927:HQZ589935 IAV589927:IAV589935 IKR589927:IKR589935 IUN589927:IUN589935 JEJ589927:JEJ589935 JOF589927:JOF589935 JYB589927:JYB589935 KHX589927:KHX589935 KRT589927:KRT589935 LBP589927:LBP589935 LLL589927:LLL589935 LVH589927:LVH589935 MFD589927:MFD589935 MOZ589927:MOZ589935 MYV589927:MYV589935 NIR589927:NIR589935 NSN589927:NSN589935 OCJ589927:OCJ589935 OMF589927:OMF589935 OWB589927:OWB589935 PFX589927:PFX589935 PPT589927:PPT589935 PZP589927:PZP589935 QJL589927:QJL589935 QTH589927:QTH589935 RDD589927:RDD589935 RMZ589927:RMZ589935 RWV589927:RWV589935 SGR589927:SGR589935 SQN589927:SQN589935 TAJ589927:TAJ589935 TKF589927:TKF589935 TUB589927:TUB589935 UDX589927:UDX589935 UNT589927:UNT589935 UXP589927:UXP589935 VHL589927:VHL589935 VRH589927:VRH589935 WBD589927:WBD589935 WKZ589927:WKZ589935 WUV589927:WUV589935 D655463:D655471 IJ655463:IJ655471 SF655463:SF655471 ACB655463:ACB655471 ALX655463:ALX655471 AVT655463:AVT655471 BFP655463:BFP655471 BPL655463:BPL655471 BZH655463:BZH655471 CJD655463:CJD655471 CSZ655463:CSZ655471 DCV655463:DCV655471 DMR655463:DMR655471 DWN655463:DWN655471 EGJ655463:EGJ655471 EQF655463:EQF655471 FAB655463:FAB655471 FJX655463:FJX655471 FTT655463:FTT655471 GDP655463:GDP655471 GNL655463:GNL655471 GXH655463:GXH655471 HHD655463:HHD655471 HQZ655463:HQZ655471 IAV655463:IAV655471 IKR655463:IKR655471 IUN655463:IUN655471 JEJ655463:JEJ655471 JOF655463:JOF655471 JYB655463:JYB655471 KHX655463:KHX655471 KRT655463:KRT655471 LBP655463:LBP655471 LLL655463:LLL655471 LVH655463:LVH655471 MFD655463:MFD655471 MOZ655463:MOZ655471 MYV655463:MYV655471 NIR655463:NIR655471 NSN655463:NSN655471 OCJ655463:OCJ655471 OMF655463:OMF655471 OWB655463:OWB655471 PFX655463:PFX655471 PPT655463:PPT655471 PZP655463:PZP655471 QJL655463:QJL655471 QTH655463:QTH655471 RDD655463:RDD655471 RMZ655463:RMZ655471 RWV655463:RWV655471 SGR655463:SGR655471 SQN655463:SQN655471 TAJ655463:TAJ655471 TKF655463:TKF655471 TUB655463:TUB655471 UDX655463:UDX655471 UNT655463:UNT655471 UXP655463:UXP655471 VHL655463:VHL655471 VRH655463:VRH655471 WBD655463:WBD655471 WKZ655463:WKZ655471 WUV655463:WUV655471 D720999:D721007 IJ720999:IJ721007 SF720999:SF721007 ACB720999:ACB721007 ALX720999:ALX721007 AVT720999:AVT721007 BFP720999:BFP721007 BPL720999:BPL721007 BZH720999:BZH721007 CJD720999:CJD721007 CSZ720999:CSZ721007 DCV720999:DCV721007 DMR720999:DMR721007 DWN720999:DWN721007 EGJ720999:EGJ721007 EQF720999:EQF721007 FAB720999:FAB721007 FJX720999:FJX721007 FTT720999:FTT721007 GDP720999:GDP721007 GNL720999:GNL721007 GXH720999:GXH721007 HHD720999:HHD721007 HQZ720999:HQZ721007 IAV720999:IAV721007 IKR720999:IKR721007 IUN720999:IUN721007 JEJ720999:JEJ721007 JOF720999:JOF721007 JYB720999:JYB721007 KHX720999:KHX721007 KRT720999:KRT721007 LBP720999:LBP721007 LLL720999:LLL721007 LVH720999:LVH721007 MFD720999:MFD721007 MOZ720999:MOZ721007 MYV720999:MYV721007 NIR720999:NIR721007 NSN720999:NSN721007 OCJ720999:OCJ721007 OMF720999:OMF721007 OWB720999:OWB721007 PFX720999:PFX721007 PPT720999:PPT721007 PZP720999:PZP721007 QJL720999:QJL721007 QTH720999:QTH721007 RDD720999:RDD721007 RMZ720999:RMZ721007 RWV720999:RWV721007 SGR720999:SGR721007 SQN720999:SQN721007 TAJ720999:TAJ721007 TKF720999:TKF721007 TUB720999:TUB721007 UDX720999:UDX721007 UNT720999:UNT721007 UXP720999:UXP721007 VHL720999:VHL721007 VRH720999:VRH721007 WBD720999:WBD721007 WKZ720999:WKZ721007 WUV720999:WUV721007 D786535:D786543 IJ786535:IJ786543 SF786535:SF786543 ACB786535:ACB786543 ALX786535:ALX786543 AVT786535:AVT786543 BFP786535:BFP786543 BPL786535:BPL786543 BZH786535:BZH786543 CJD786535:CJD786543 CSZ786535:CSZ786543 DCV786535:DCV786543 DMR786535:DMR786543 DWN786535:DWN786543 EGJ786535:EGJ786543 EQF786535:EQF786543 FAB786535:FAB786543 FJX786535:FJX786543 FTT786535:FTT786543 GDP786535:GDP786543 GNL786535:GNL786543 GXH786535:GXH786543 HHD786535:HHD786543 HQZ786535:HQZ786543 IAV786535:IAV786543 IKR786535:IKR786543 IUN786535:IUN786543 JEJ786535:JEJ786543 JOF786535:JOF786543 JYB786535:JYB786543 KHX786535:KHX786543 KRT786535:KRT786543 LBP786535:LBP786543 LLL786535:LLL786543 LVH786535:LVH786543 MFD786535:MFD786543 MOZ786535:MOZ786543 MYV786535:MYV786543 NIR786535:NIR786543 NSN786535:NSN786543 OCJ786535:OCJ786543 OMF786535:OMF786543 OWB786535:OWB786543 PFX786535:PFX786543 PPT786535:PPT786543 PZP786535:PZP786543 QJL786535:QJL786543 QTH786535:QTH786543 RDD786535:RDD786543 RMZ786535:RMZ786543 RWV786535:RWV786543 SGR786535:SGR786543 SQN786535:SQN786543 TAJ786535:TAJ786543 TKF786535:TKF786543 TUB786535:TUB786543 UDX786535:UDX786543 UNT786535:UNT786543 UXP786535:UXP786543 VHL786535:VHL786543 VRH786535:VRH786543 WBD786535:WBD786543 WKZ786535:WKZ786543 WUV786535:WUV786543 D852071:D852079 IJ852071:IJ852079 SF852071:SF852079 ACB852071:ACB852079 ALX852071:ALX852079 AVT852071:AVT852079 BFP852071:BFP852079 BPL852071:BPL852079 BZH852071:BZH852079 CJD852071:CJD852079 CSZ852071:CSZ852079 DCV852071:DCV852079 DMR852071:DMR852079 DWN852071:DWN852079 EGJ852071:EGJ852079 EQF852071:EQF852079 FAB852071:FAB852079 FJX852071:FJX852079 FTT852071:FTT852079 GDP852071:GDP852079 GNL852071:GNL852079 GXH852071:GXH852079 HHD852071:HHD852079 HQZ852071:HQZ852079 IAV852071:IAV852079 IKR852071:IKR852079 IUN852071:IUN852079 JEJ852071:JEJ852079 JOF852071:JOF852079 JYB852071:JYB852079 KHX852071:KHX852079 KRT852071:KRT852079 LBP852071:LBP852079 LLL852071:LLL852079 LVH852071:LVH852079 MFD852071:MFD852079 MOZ852071:MOZ852079 MYV852071:MYV852079 NIR852071:NIR852079 NSN852071:NSN852079 OCJ852071:OCJ852079 OMF852071:OMF852079 OWB852071:OWB852079 PFX852071:PFX852079 PPT852071:PPT852079 PZP852071:PZP852079 QJL852071:QJL852079 QTH852071:QTH852079 RDD852071:RDD852079 RMZ852071:RMZ852079 RWV852071:RWV852079 SGR852071:SGR852079 SQN852071:SQN852079 TAJ852071:TAJ852079 TKF852071:TKF852079 TUB852071:TUB852079 UDX852071:UDX852079 UNT852071:UNT852079 UXP852071:UXP852079 VHL852071:VHL852079 VRH852071:VRH852079 WBD852071:WBD852079 WKZ852071:WKZ852079 WUV852071:WUV852079 D917607:D917615 IJ917607:IJ917615 SF917607:SF917615 ACB917607:ACB917615 ALX917607:ALX917615 AVT917607:AVT917615 BFP917607:BFP917615 BPL917607:BPL917615 BZH917607:BZH917615 CJD917607:CJD917615 CSZ917607:CSZ917615 DCV917607:DCV917615 DMR917607:DMR917615 DWN917607:DWN917615 EGJ917607:EGJ917615 EQF917607:EQF917615 FAB917607:FAB917615 FJX917607:FJX917615 FTT917607:FTT917615 GDP917607:GDP917615 GNL917607:GNL917615 GXH917607:GXH917615 HHD917607:HHD917615 HQZ917607:HQZ917615 IAV917607:IAV917615 IKR917607:IKR917615 IUN917607:IUN917615 JEJ917607:JEJ917615 JOF917607:JOF917615 JYB917607:JYB917615 KHX917607:KHX917615 KRT917607:KRT917615 LBP917607:LBP917615 LLL917607:LLL917615 LVH917607:LVH917615 MFD917607:MFD917615 MOZ917607:MOZ917615 MYV917607:MYV917615 NIR917607:NIR917615 NSN917607:NSN917615 OCJ917607:OCJ917615 OMF917607:OMF917615 OWB917607:OWB917615 PFX917607:PFX917615 PPT917607:PPT917615 PZP917607:PZP917615 QJL917607:QJL917615 QTH917607:QTH917615 RDD917607:RDD917615 RMZ917607:RMZ917615 RWV917607:RWV917615 SGR917607:SGR917615 SQN917607:SQN917615 TAJ917607:TAJ917615 TKF917607:TKF917615 TUB917607:TUB917615 UDX917607:UDX917615 UNT917607:UNT917615 UXP917607:UXP917615 VHL917607:VHL917615 VRH917607:VRH917615 WBD917607:WBD917615 WKZ917607:WKZ917615 WUV917607:WUV917615 D983143:D983151 IJ983143:IJ983151 SF983143:SF983151 ACB983143:ACB983151 ALX983143:ALX983151 AVT983143:AVT983151 BFP983143:BFP983151 BPL983143:BPL983151 BZH983143:BZH983151 CJD983143:CJD983151 CSZ983143:CSZ983151 DCV983143:DCV983151 DMR983143:DMR983151 DWN983143:DWN983151 EGJ983143:EGJ983151 EQF983143:EQF983151 FAB983143:FAB983151 FJX983143:FJX983151 FTT983143:FTT983151 GDP983143:GDP983151 GNL983143:GNL983151 GXH983143:GXH983151 HHD983143:HHD983151 HQZ983143:HQZ983151 IAV983143:IAV983151 IKR983143:IKR983151 IUN983143:IUN983151 JEJ983143:JEJ983151 JOF983143:JOF983151 JYB983143:JYB983151 KHX983143:KHX983151 KRT983143:KRT983151 LBP983143:LBP983151 LLL983143:LLL983151 LVH983143:LVH983151 MFD983143:MFD983151 MOZ983143:MOZ983151 MYV983143:MYV983151 NIR983143:NIR983151 NSN983143:NSN983151 OCJ983143:OCJ983151 OMF983143:OMF983151 OWB983143:OWB983151 PFX983143:PFX983151 PPT983143:PPT983151 PZP983143:PZP983151 QJL983143:QJL983151 QTH983143:QTH983151 RDD983143:RDD983151 RMZ983143:RMZ983151 RWV983143:RWV983151 SGR983143:SGR983151 SQN983143:SQN983151 TAJ983143:TAJ983151 TKF983143:TKF983151 TUB983143:TUB983151 UDX983143:UDX983151 UNT983143:UNT983151 UXP983143:UXP983151 VHL983143:VHL983151 VRH983143:VRH983151 WBD983143:WBD983151 WKZ983143:WKZ983151 D54:D78" xr:uid="{00000000-0002-0000-0300-000004000000}"/>
    <dataValidation allowBlank="1" showInputMessage="1" showErrorMessage="1" prompt="diligencie la cantidad del personal requerido" sqref="WUT983143:WUT983151 IH11:IH51 SD11:SD51 ABZ11:ABZ51 ALV11:ALV51 AVR11:AVR51 BFN11:BFN51 BPJ11:BPJ51 BZF11:BZF51 CJB11:CJB51 CSX11:CSX51 DCT11:DCT51 DMP11:DMP51 DWL11:DWL51 EGH11:EGH51 EQD11:EQD51 EZZ11:EZZ51 FJV11:FJV51 FTR11:FTR51 GDN11:GDN51 GNJ11:GNJ51 GXF11:GXF51 HHB11:HHB51 HQX11:HQX51 IAT11:IAT51 IKP11:IKP51 IUL11:IUL51 JEH11:JEH51 JOD11:JOD51 JXZ11:JXZ51 KHV11:KHV51 KRR11:KRR51 LBN11:LBN51 LLJ11:LLJ51 LVF11:LVF51 MFB11:MFB51 MOX11:MOX51 MYT11:MYT51 NIP11:NIP51 NSL11:NSL51 OCH11:OCH51 OMD11:OMD51 OVZ11:OVZ51 PFV11:PFV51 PPR11:PPR51 PZN11:PZN51 QJJ11:QJJ51 QTF11:QTF51 RDB11:RDB51 RMX11:RMX51 RWT11:RWT51 SGP11:SGP51 SQL11:SQL51 TAH11:TAH51 TKD11:TKD51 TTZ11:TTZ51 UDV11:UDV51 UNR11:UNR51 UXN11:UXN51 VHJ11:VHJ51 VRF11:VRF51 WBB11:WBB51 WKX11:WKX51 WUT11:WUT51 B65628:B65636 IH65628:IH65636 SD65628:SD65636 ABZ65628:ABZ65636 ALV65628:ALV65636 AVR65628:AVR65636 BFN65628:BFN65636 BPJ65628:BPJ65636 BZF65628:BZF65636 CJB65628:CJB65636 CSX65628:CSX65636 DCT65628:DCT65636 DMP65628:DMP65636 DWL65628:DWL65636 EGH65628:EGH65636 EQD65628:EQD65636 EZZ65628:EZZ65636 FJV65628:FJV65636 FTR65628:FTR65636 GDN65628:GDN65636 GNJ65628:GNJ65636 GXF65628:GXF65636 HHB65628:HHB65636 HQX65628:HQX65636 IAT65628:IAT65636 IKP65628:IKP65636 IUL65628:IUL65636 JEH65628:JEH65636 JOD65628:JOD65636 JXZ65628:JXZ65636 KHV65628:KHV65636 KRR65628:KRR65636 LBN65628:LBN65636 LLJ65628:LLJ65636 LVF65628:LVF65636 MFB65628:MFB65636 MOX65628:MOX65636 MYT65628:MYT65636 NIP65628:NIP65636 NSL65628:NSL65636 OCH65628:OCH65636 OMD65628:OMD65636 OVZ65628:OVZ65636 PFV65628:PFV65636 PPR65628:PPR65636 PZN65628:PZN65636 QJJ65628:QJJ65636 QTF65628:QTF65636 RDB65628:RDB65636 RMX65628:RMX65636 RWT65628:RWT65636 SGP65628:SGP65636 SQL65628:SQL65636 TAH65628:TAH65636 TKD65628:TKD65636 TTZ65628:TTZ65636 UDV65628:UDV65636 UNR65628:UNR65636 UXN65628:UXN65636 VHJ65628:VHJ65636 VRF65628:VRF65636 WBB65628:WBB65636 WKX65628:WKX65636 WUT65628:WUT65636 B131164:B131172 IH131164:IH131172 SD131164:SD131172 ABZ131164:ABZ131172 ALV131164:ALV131172 AVR131164:AVR131172 BFN131164:BFN131172 BPJ131164:BPJ131172 BZF131164:BZF131172 CJB131164:CJB131172 CSX131164:CSX131172 DCT131164:DCT131172 DMP131164:DMP131172 DWL131164:DWL131172 EGH131164:EGH131172 EQD131164:EQD131172 EZZ131164:EZZ131172 FJV131164:FJV131172 FTR131164:FTR131172 GDN131164:GDN131172 GNJ131164:GNJ131172 GXF131164:GXF131172 HHB131164:HHB131172 HQX131164:HQX131172 IAT131164:IAT131172 IKP131164:IKP131172 IUL131164:IUL131172 JEH131164:JEH131172 JOD131164:JOD131172 JXZ131164:JXZ131172 KHV131164:KHV131172 KRR131164:KRR131172 LBN131164:LBN131172 LLJ131164:LLJ131172 LVF131164:LVF131172 MFB131164:MFB131172 MOX131164:MOX131172 MYT131164:MYT131172 NIP131164:NIP131172 NSL131164:NSL131172 OCH131164:OCH131172 OMD131164:OMD131172 OVZ131164:OVZ131172 PFV131164:PFV131172 PPR131164:PPR131172 PZN131164:PZN131172 QJJ131164:QJJ131172 QTF131164:QTF131172 RDB131164:RDB131172 RMX131164:RMX131172 RWT131164:RWT131172 SGP131164:SGP131172 SQL131164:SQL131172 TAH131164:TAH131172 TKD131164:TKD131172 TTZ131164:TTZ131172 UDV131164:UDV131172 UNR131164:UNR131172 UXN131164:UXN131172 VHJ131164:VHJ131172 VRF131164:VRF131172 WBB131164:WBB131172 WKX131164:WKX131172 WUT131164:WUT131172 B196700:B196708 IH196700:IH196708 SD196700:SD196708 ABZ196700:ABZ196708 ALV196700:ALV196708 AVR196700:AVR196708 BFN196700:BFN196708 BPJ196700:BPJ196708 BZF196700:BZF196708 CJB196700:CJB196708 CSX196700:CSX196708 DCT196700:DCT196708 DMP196700:DMP196708 DWL196700:DWL196708 EGH196700:EGH196708 EQD196700:EQD196708 EZZ196700:EZZ196708 FJV196700:FJV196708 FTR196700:FTR196708 GDN196700:GDN196708 GNJ196700:GNJ196708 GXF196700:GXF196708 HHB196700:HHB196708 HQX196700:HQX196708 IAT196700:IAT196708 IKP196700:IKP196708 IUL196700:IUL196708 JEH196700:JEH196708 JOD196700:JOD196708 JXZ196700:JXZ196708 KHV196700:KHV196708 KRR196700:KRR196708 LBN196700:LBN196708 LLJ196700:LLJ196708 LVF196700:LVF196708 MFB196700:MFB196708 MOX196700:MOX196708 MYT196700:MYT196708 NIP196700:NIP196708 NSL196700:NSL196708 OCH196700:OCH196708 OMD196700:OMD196708 OVZ196700:OVZ196708 PFV196700:PFV196708 PPR196700:PPR196708 PZN196700:PZN196708 QJJ196700:QJJ196708 QTF196700:QTF196708 RDB196700:RDB196708 RMX196700:RMX196708 RWT196700:RWT196708 SGP196700:SGP196708 SQL196700:SQL196708 TAH196700:TAH196708 TKD196700:TKD196708 TTZ196700:TTZ196708 UDV196700:UDV196708 UNR196700:UNR196708 UXN196700:UXN196708 VHJ196700:VHJ196708 VRF196700:VRF196708 WBB196700:WBB196708 WKX196700:WKX196708 WUT196700:WUT196708 B262236:B262244 IH262236:IH262244 SD262236:SD262244 ABZ262236:ABZ262244 ALV262236:ALV262244 AVR262236:AVR262244 BFN262236:BFN262244 BPJ262236:BPJ262244 BZF262236:BZF262244 CJB262236:CJB262244 CSX262236:CSX262244 DCT262236:DCT262244 DMP262236:DMP262244 DWL262236:DWL262244 EGH262236:EGH262244 EQD262236:EQD262244 EZZ262236:EZZ262244 FJV262236:FJV262244 FTR262236:FTR262244 GDN262236:GDN262244 GNJ262236:GNJ262244 GXF262236:GXF262244 HHB262236:HHB262244 HQX262236:HQX262244 IAT262236:IAT262244 IKP262236:IKP262244 IUL262236:IUL262244 JEH262236:JEH262244 JOD262236:JOD262244 JXZ262236:JXZ262244 KHV262236:KHV262244 KRR262236:KRR262244 LBN262236:LBN262244 LLJ262236:LLJ262244 LVF262236:LVF262244 MFB262236:MFB262244 MOX262236:MOX262244 MYT262236:MYT262244 NIP262236:NIP262244 NSL262236:NSL262244 OCH262236:OCH262244 OMD262236:OMD262244 OVZ262236:OVZ262244 PFV262236:PFV262244 PPR262236:PPR262244 PZN262236:PZN262244 QJJ262236:QJJ262244 QTF262236:QTF262244 RDB262236:RDB262244 RMX262236:RMX262244 RWT262236:RWT262244 SGP262236:SGP262244 SQL262236:SQL262244 TAH262236:TAH262244 TKD262236:TKD262244 TTZ262236:TTZ262244 UDV262236:UDV262244 UNR262236:UNR262244 UXN262236:UXN262244 VHJ262236:VHJ262244 VRF262236:VRF262244 WBB262236:WBB262244 WKX262236:WKX262244 WUT262236:WUT262244 B327772:B327780 IH327772:IH327780 SD327772:SD327780 ABZ327772:ABZ327780 ALV327772:ALV327780 AVR327772:AVR327780 BFN327772:BFN327780 BPJ327772:BPJ327780 BZF327772:BZF327780 CJB327772:CJB327780 CSX327772:CSX327780 DCT327772:DCT327780 DMP327772:DMP327780 DWL327772:DWL327780 EGH327772:EGH327780 EQD327772:EQD327780 EZZ327772:EZZ327780 FJV327772:FJV327780 FTR327772:FTR327780 GDN327772:GDN327780 GNJ327772:GNJ327780 GXF327772:GXF327780 HHB327772:HHB327780 HQX327772:HQX327780 IAT327772:IAT327780 IKP327772:IKP327780 IUL327772:IUL327780 JEH327772:JEH327780 JOD327772:JOD327780 JXZ327772:JXZ327780 KHV327772:KHV327780 KRR327772:KRR327780 LBN327772:LBN327780 LLJ327772:LLJ327780 LVF327772:LVF327780 MFB327772:MFB327780 MOX327772:MOX327780 MYT327772:MYT327780 NIP327772:NIP327780 NSL327772:NSL327780 OCH327772:OCH327780 OMD327772:OMD327780 OVZ327772:OVZ327780 PFV327772:PFV327780 PPR327772:PPR327780 PZN327772:PZN327780 QJJ327772:QJJ327780 QTF327772:QTF327780 RDB327772:RDB327780 RMX327772:RMX327780 RWT327772:RWT327780 SGP327772:SGP327780 SQL327772:SQL327780 TAH327772:TAH327780 TKD327772:TKD327780 TTZ327772:TTZ327780 UDV327772:UDV327780 UNR327772:UNR327780 UXN327772:UXN327780 VHJ327772:VHJ327780 VRF327772:VRF327780 WBB327772:WBB327780 WKX327772:WKX327780 WUT327772:WUT327780 B393308:B393316 IH393308:IH393316 SD393308:SD393316 ABZ393308:ABZ393316 ALV393308:ALV393316 AVR393308:AVR393316 BFN393308:BFN393316 BPJ393308:BPJ393316 BZF393308:BZF393316 CJB393308:CJB393316 CSX393308:CSX393316 DCT393308:DCT393316 DMP393308:DMP393316 DWL393308:DWL393316 EGH393308:EGH393316 EQD393308:EQD393316 EZZ393308:EZZ393316 FJV393308:FJV393316 FTR393308:FTR393316 GDN393308:GDN393316 GNJ393308:GNJ393316 GXF393308:GXF393316 HHB393308:HHB393316 HQX393308:HQX393316 IAT393308:IAT393316 IKP393308:IKP393316 IUL393308:IUL393316 JEH393308:JEH393316 JOD393308:JOD393316 JXZ393308:JXZ393316 KHV393308:KHV393316 KRR393308:KRR393316 LBN393308:LBN393316 LLJ393308:LLJ393316 LVF393308:LVF393316 MFB393308:MFB393316 MOX393308:MOX393316 MYT393308:MYT393316 NIP393308:NIP393316 NSL393308:NSL393316 OCH393308:OCH393316 OMD393308:OMD393316 OVZ393308:OVZ393316 PFV393308:PFV393316 PPR393308:PPR393316 PZN393308:PZN393316 QJJ393308:QJJ393316 QTF393308:QTF393316 RDB393308:RDB393316 RMX393308:RMX393316 RWT393308:RWT393316 SGP393308:SGP393316 SQL393308:SQL393316 TAH393308:TAH393316 TKD393308:TKD393316 TTZ393308:TTZ393316 UDV393308:UDV393316 UNR393308:UNR393316 UXN393308:UXN393316 VHJ393308:VHJ393316 VRF393308:VRF393316 WBB393308:WBB393316 WKX393308:WKX393316 WUT393308:WUT393316 B458844:B458852 IH458844:IH458852 SD458844:SD458852 ABZ458844:ABZ458852 ALV458844:ALV458852 AVR458844:AVR458852 BFN458844:BFN458852 BPJ458844:BPJ458852 BZF458844:BZF458852 CJB458844:CJB458852 CSX458844:CSX458852 DCT458844:DCT458852 DMP458844:DMP458852 DWL458844:DWL458852 EGH458844:EGH458852 EQD458844:EQD458852 EZZ458844:EZZ458852 FJV458844:FJV458852 FTR458844:FTR458852 GDN458844:GDN458852 GNJ458844:GNJ458852 GXF458844:GXF458852 HHB458844:HHB458852 HQX458844:HQX458852 IAT458844:IAT458852 IKP458844:IKP458852 IUL458844:IUL458852 JEH458844:JEH458852 JOD458844:JOD458852 JXZ458844:JXZ458852 KHV458844:KHV458852 KRR458844:KRR458852 LBN458844:LBN458852 LLJ458844:LLJ458852 LVF458844:LVF458852 MFB458844:MFB458852 MOX458844:MOX458852 MYT458844:MYT458852 NIP458844:NIP458852 NSL458844:NSL458852 OCH458844:OCH458852 OMD458844:OMD458852 OVZ458844:OVZ458852 PFV458844:PFV458852 PPR458844:PPR458852 PZN458844:PZN458852 QJJ458844:QJJ458852 QTF458844:QTF458852 RDB458844:RDB458852 RMX458844:RMX458852 RWT458844:RWT458852 SGP458844:SGP458852 SQL458844:SQL458852 TAH458844:TAH458852 TKD458844:TKD458852 TTZ458844:TTZ458852 UDV458844:UDV458852 UNR458844:UNR458852 UXN458844:UXN458852 VHJ458844:VHJ458852 VRF458844:VRF458852 WBB458844:WBB458852 WKX458844:WKX458852 WUT458844:WUT458852 B524380:B524388 IH524380:IH524388 SD524380:SD524388 ABZ524380:ABZ524388 ALV524380:ALV524388 AVR524380:AVR524388 BFN524380:BFN524388 BPJ524380:BPJ524388 BZF524380:BZF524388 CJB524380:CJB524388 CSX524380:CSX524388 DCT524380:DCT524388 DMP524380:DMP524388 DWL524380:DWL524388 EGH524380:EGH524388 EQD524380:EQD524388 EZZ524380:EZZ524388 FJV524380:FJV524388 FTR524380:FTR524388 GDN524380:GDN524388 GNJ524380:GNJ524388 GXF524380:GXF524388 HHB524380:HHB524388 HQX524380:HQX524388 IAT524380:IAT524388 IKP524380:IKP524388 IUL524380:IUL524388 JEH524380:JEH524388 JOD524380:JOD524388 JXZ524380:JXZ524388 KHV524380:KHV524388 KRR524380:KRR524388 LBN524380:LBN524388 LLJ524380:LLJ524388 LVF524380:LVF524388 MFB524380:MFB524388 MOX524380:MOX524388 MYT524380:MYT524388 NIP524380:NIP524388 NSL524380:NSL524388 OCH524380:OCH524388 OMD524380:OMD524388 OVZ524380:OVZ524388 PFV524380:PFV524388 PPR524380:PPR524388 PZN524380:PZN524388 QJJ524380:QJJ524388 QTF524380:QTF524388 RDB524380:RDB524388 RMX524380:RMX524388 RWT524380:RWT524388 SGP524380:SGP524388 SQL524380:SQL524388 TAH524380:TAH524388 TKD524380:TKD524388 TTZ524380:TTZ524388 UDV524380:UDV524388 UNR524380:UNR524388 UXN524380:UXN524388 VHJ524380:VHJ524388 VRF524380:VRF524388 WBB524380:WBB524388 WKX524380:WKX524388 WUT524380:WUT524388 B589916:B589924 IH589916:IH589924 SD589916:SD589924 ABZ589916:ABZ589924 ALV589916:ALV589924 AVR589916:AVR589924 BFN589916:BFN589924 BPJ589916:BPJ589924 BZF589916:BZF589924 CJB589916:CJB589924 CSX589916:CSX589924 DCT589916:DCT589924 DMP589916:DMP589924 DWL589916:DWL589924 EGH589916:EGH589924 EQD589916:EQD589924 EZZ589916:EZZ589924 FJV589916:FJV589924 FTR589916:FTR589924 GDN589916:GDN589924 GNJ589916:GNJ589924 GXF589916:GXF589924 HHB589916:HHB589924 HQX589916:HQX589924 IAT589916:IAT589924 IKP589916:IKP589924 IUL589916:IUL589924 JEH589916:JEH589924 JOD589916:JOD589924 JXZ589916:JXZ589924 KHV589916:KHV589924 KRR589916:KRR589924 LBN589916:LBN589924 LLJ589916:LLJ589924 LVF589916:LVF589924 MFB589916:MFB589924 MOX589916:MOX589924 MYT589916:MYT589924 NIP589916:NIP589924 NSL589916:NSL589924 OCH589916:OCH589924 OMD589916:OMD589924 OVZ589916:OVZ589924 PFV589916:PFV589924 PPR589916:PPR589924 PZN589916:PZN589924 QJJ589916:QJJ589924 QTF589916:QTF589924 RDB589916:RDB589924 RMX589916:RMX589924 RWT589916:RWT589924 SGP589916:SGP589924 SQL589916:SQL589924 TAH589916:TAH589924 TKD589916:TKD589924 TTZ589916:TTZ589924 UDV589916:UDV589924 UNR589916:UNR589924 UXN589916:UXN589924 VHJ589916:VHJ589924 VRF589916:VRF589924 WBB589916:WBB589924 WKX589916:WKX589924 WUT589916:WUT589924 B655452:B655460 IH655452:IH655460 SD655452:SD655460 ABZ655452:ABZ655460 ALV655452:ALV655460 AVR655452:AVR655460 BFN655452:BFN655460 BPJ655452:BPJ655460 BZF655452:BZF655460 CJB655452:CJB655460 CSX655452:CSX655460 DCT655452:DCT655460 DMP655452:DMP655460 DWL655452:DWL655460 EGH655452:EGH655460 EQD655452:EQD655460 EZZ655452:EZZ655460 FJV655452:FJV655460 FTR655452:FTR655460 GDN655452:GDN655460 GNJ655452:GNJ655460 GXF655452:GXF655460 HHB655452:HHB655460 HQX655452:HQX655460 IAT655452:IAT655460 IKP655452:IKP655460 IUL655452:IUL655460 JEH655452:JEH655460 JOD655452:JOD655460 JXZ655452:JXZ655460 KHV655452:KHV655460 KRR655452:KRR655460 LBN655452:LBN655460 LLJ655452:LLJ655460 LVF655452:LVF655460 MFB655452:MFB655460 MOX655452:MOX655460 MYT655452:MYT655460 NIP655452:NIP655460 NSL655452:NSL655460 OCH655452:OCH655460 OMD655452:OMD655460 OVZ655452:OVZ655460 PFV655452:PFV655460 PPR655452:PPR655460 PZN655452:PZN655460 QJJ655452:QJJ655460 QTF655452:QTF655460 RDB655452:RDB655460 RMX655452:RMX655460 RWT655452:RWT655460 SGP655452:SGP655460 SQL655452:SQL655460 TAH655452:TAH655460 TKD655452:TKD655460 TTZ655452:TTZ655460 UDV655452:UDV655460 UNR655452:UNR655460 UXN655452:UXN655460 VHJ655452:VHJ655460 VRF655452:VRF655460 WBB655452:WBB655460 WKX655452:WKX655460 WUT655452:WUT655460 B720988:B720996 IH720988:IH720996 SD720988:SD720996 ABZ720988:ABZ720996 ALV720988:ALV720996 AVR720988:AVR720996 BFN720988:BFN720996 BPJ720988:BPJ720996 BZF720988:BZF720996 CJB720988:CJB720996 CSX720988:CSX720996 DCT720988:DCT720996 DMP720988:DMP720996 DWL720988:DWL720996 EGH720988:EGH720996 EQD720988:EQD720996 EZZ720988:EZZ720996 FJV720988:FJV720996 FTR720988:FTR720996 GDN720988:GDN720996 GNJ720988:GNJ720996 GXF720988:GXF720996 HHB720988:HHB720996 HQX720988:HQX720996 IAT720988:IAT720996 IKP720988:IKP720996 IUL720988:IUL720996 JEH720988:JEH720996 JOD720988:JOD720996 JXZ720988:JXZ720996 KHV720988:KHV720996 KRR720988:KRR720996 LBN720988:LBN720996 LLJ720988:LLJ720996 LVF720988:LVF720996 MFB720988:MFB720996 MOX720988:MOX720996 MYT720988:MYT720996 NIP720988:NIP720996 NSL720988:NSL720996 OCH720988:OCH720996 OMD720988:OMD720996 OVZ720988:OVZ720996 PFV720988:PFV720996 PPR720988:PPR720996 PZN720988:PZN720996 QJJ720988:QJJ720996 QTF720988:QTF720996 RDB720988:RDB720996 RMX720988:RMX720996 RWT720988:RWT720996 SGP720988:SGP720996 SQL720988:SQL720996 TAH720988:TAH720996 TKD720988:TKD720996 TTZ720988:TTZ720996 UDV720988:UDV720996 UNR720988:UNR720996 UXN720988:UXN720996 VHJ720988:VHJ720996 VRF720988:VRF720996 WBB720988:WBB720996 WKX720988:WKX720996 WUT720988:WUT720996 B786524:B786532 IH786524:IH786532 SD786524:SD786532 ABZ786524:ABZ786532 ALV786524:ALV786532 AVR786524:AVR786532 BFN786524:BFN786532 BPJ786524:BPJ786532 BZF786524:BZF786532 CJB786524:CJB786532 CSX786524:CSX786532 DCT786524:DCT786532 DMP786524:DMP786532 DWL786524:DWL786532 EGH786524:EGH786532 EQD786524:EQD786532 EZZ786524:EZZ786532 FJV786524:FJV786532 FTR786524:FTR786532 GDN786524:GDN786532 GNJ786524:GNJ786532 GXF786524:GXF786532 HHB786524:HHB786532 HQX786524:HQX786532 IAT786524:IAT786532 IKP786524:IKP786532 IUL786524:IUL786532 JEH786524:JEH786532 JOD786524:JOD786532 JXZ786524:JXZ786532 KHV786524:KHV786532 KRR786524:KRR786532 LBN786524:LBN786532 LLJ786524:LLJ786532 LVF786524:LVF786532 MFB786524:MFB786532 MOX786524:MOX786532 MYT786524:MYT786532 NIP786524:NIP786532 NSL786524:NSL786532 OCH786524:OCH786532 OMD786524:OMD786532 OVZ786524:OVZ786532 PFV786524:PFV786532 PPR786524:PPR786532 PZN786524:PZN786532 QJJ786524:QJJ786532 QTF786524:QTF786532 RDB786524:RDB786532 RMX786524:RMX786532 RWT786524:RWT786532 SGP786524:SGP786532 SQL786524:SQL786532 TAH786524:TAH786532 TKD786524:TKD786532 TTZ786524:TTZ786532 UDV786524:UDV786532 UNR786524:UNR786532 UXN786524:UXN786532 VHJ786524:VHJ786532 VRF786524:VRF786532 WBB786524:WBB786532 WKX786524:WKX786532 WUT786524:WUT786532 B852060:B852068 IH852060:IH852068 SD852060:SD852068 ABZ852060:ABZ852068 ALV852060:ALV852068 AVR852060:AVR852068 BFN852060:BFN852068 BPJ852060:BPJ852068 BZF852060:BZF852068 CJB852060:CJB852068 CSX852060:CSX852068 DCT852060:DCT852068 DMP852060:DMP852068 DWL852060:DWL852068 EGH852060:EGH852068 EQD852060:EQD852068 EZZ852060:EZZ852068 FJV852060:FJV852068 FTR852060:FTR852068 GDN852060:GDN852068 GNJ852060:GNJ852068 GXF852060:GXF852068 HHB852060:HHB852068 HQX852060:HQX852068 IAT852060:IAT852068 IKP852060:IKP852068 IUL852060:IUL852068 JEH852060:JEH852068 JOD852060:JOD852068 JXZ852060:JXZ852068 KHV852060:KHV852068 KRR852060:KRR852068 LBN852060:LBN852068 LLJ852060:LLJ852068 LVF852060:LVF852068 MFB852060:MFB852068 MOX852060:MOX852068 MYT852060:MYT852068 NIP852060:NIP852068 NSL852060:NSL852068 OCH852060:OCH852068 OMD852060:OMD852068 OVZ852060:OVZ852068 PFV852060:PFV852068 PPR852060:PPR852068 PZN852060:PZN852068 QJJ852060:QJJ852068 QTF852060:QTF852068 RDB852060:RDB852068 RMX852060:RMX852068 RWT852060:RWT852068 SGP852060:SGP852068 SQL852060:SQL852068 TAH852060:TAH852068 TKD852060:TKD852068 TTZ852060:TTZ852068 UDV852060:UDV852068 UNR852060:UNR852068 UXN852060:UXN852068 VHJ852060:VHJ852068 VRF852060:VRF852068 WBB852060:WBB852068 WKX852060:WKX852068 WUT852060:WUT852068 B917596:B917604 IH917596:IH917604 SD917596:SD917604 ABZ917596:ABZ917604 ALV917596:ALV917604 AVR917596:AVR917604 BFN917596:BFN917604 BPJ917596:BPJ917604 BZF917596:BZF917604 CJB917596:CJB917604 CSX917596:CSX917604 DCT917596:DCT917604 DMP917596:DMP917604 DWL917596:DWL917604 EGH917596:EGH917604 EQD917596:EQD917604 EZZ917596:EZZ917604 FJV917596:FJV917604 FTR917596:FTR917604 GDN917596:GDN917604 GNJ917596:GNJ917604 GXF917596:GXF917604 HHB917596:HHB917604 HQX917596:HQX917604 IAT917596:IAT917604 IKP917596:IKP917604 IUL917596:IUL917604 JEH917596:JEH917604 JOD917596:JOD917604 JXZ917596:JXZ917604 KHV917596:KHV917604 KRR917596:KRR917604 LBN917596:LBN917604 LLJ917596:LLJ917604 LVF917596:LVF917604 MFB917596:MFB917604 MOX917596:MOX917604 MYT917596:MYT917604 NIP917596:NIP917604 NSL917596:NSL917604 OCH917596:OCH917604 OMD917596:OMD917604 OVZ917596:OVZ917604 PFV917596:PFV917604 PPR917596:PPR917604 PZN917596:PZN917604 QJJ917596:QJJ917604 QTF917596:QTF917604 RDB917596:RDB917604 RMX917596:RMX917604 RWT917596:RWT917604 SGP917596:SGP917604 SQL917596:SQL917604 TAH917596:TAH917604 TKD917596:TKD917604 TTZ917596:TTZ917604 UDV917596:UDV917604 UNR917596:UNR917604 UXN917596:UXN917604 VHJ917596:VHJ917604 VRF917596:VRF917604 WBB917596:WBB917604 WKX917596:WKX917604 WUT917596:WUT917604 B983132:B983140 IH983132:IH983140 SD983132:SD983140 ABZ983132:ABZ983140 ALV983132:ALV983140 AVR983132:AVR983140 BFN983132:BFN983140 BPJ983132:BPJ983140 BZF983132:BZF983140 CJB983132:CJB983140 CSX983132:CSX983140 DCT983132:DCT983140 DMP983132:DMP983140 DWL983132:DWL983140 EGH983132:EGH983140 EQD983132:EQD983140 EZZ983132:EZZ983140 FJV983132:FJV983140 FTR983132:FTR983140 GDN983132:GDN983140 GNJ983132:GNJ983140 GXF983132:GXF983140 HHB983132:HHB983140 HQX983132:HQX983140 IAT983132:IAT983140 IKP983132:IKP983140 IUL983132:IUL983140 JEH983132:JEH983140 JOD983132:JOD983140 JXZ983132:JXZ983140 KHV983132:KHV983140 KRR983132:KRR983140 LBN983132:LBN983140 LLJ983132:LLJ983140 LVF983132:LVF983140 MFB983132:MFB983140 MOX983132:MOX983140 MYT983132:MYT983140 NIP983132:NIP983140 NSL983132:NSL983140 OCH983132:OCH983140 OMD983132:OMD983140 OVZ983132:OVZ983140 PFV983132:PFV983140 PPR983132:PPR983140 PZN983132:PZN983140 QJJ983132:QJJ983140 QTF983132:QTF983140 RDB983132:RDB983140 RMX983132:RMX983140 RWT983132:RWT983140 SGP983132:SGP983140 SQL983132:SQL983140 TAH983132:TAH983140 TKD983132:TKD983140 TTZ983132:TTZ983140 UDV983132:UDV983140 UNR983132:UNR983140 UXN983132:UXN983140 VHJ983132:VHJ983140 VRF983132:VRF983140 WBB983132:WBB983140 WKX983132:WKX983140 WUT983132:WUT983140 B11:B51 IH54:IH78 SD54:SD78 ABZ54:ABZ78 ALV54:ALV78 AVR54:AVR78 BFN54:BFN78 BPJ54:BPJ78 BZF54:BZF78 CJB54:CJB78 CSX54:CSX78 DCT54:DCT78 DMP54:DMP78 DWL54:DWL78 EGH54:EGH78 EQD54:EQD78 EZZ54:EZZ78 FJV54:FJV78 FTR54:FTR78 GDN54:GDN78 GNJ54:GNJ78 GXF54:GXF78 HHB54:HHB78 HQX54:HQX78 IAT54:IAT78 IKP54:IKP78 IUL54:IUL78 JEH54:JEH78 JOD54:JOD78 JXZ54:JXZ78 KHV54:KHV78 KRR54:KRR78 LBN54:LBN78 LLJ54:LLJ78 LVF54:LVF78 MFB54:MFB78 MOX54:MOX78 MYT54:MYT78 NIP54:NIP78 NSL54:NSL78 OCH54:OCH78 OMD54:OMD78 OVZ54:OVZ78 PFV54:PFV78 PPR54:PPR78 PZN54:PZN78 QJJ54:QJJ78 QTF54:QTF78 RDB54:RDB78 RMX54:RMX78 RWT54:RWT78 SGP54:SGP78 SQL54:SQL78 TAH54:TAH78 TKD54:TKD78 TTZ54:TTZ78 UDV54:UDV78 UNR54:UNR78 UXN54:UXN78 VHJ54:VHJ78 VRF54:VRF78 WBB54:WBB78 WKX54:WKX78 WUT54:WUT78 B65639:B65647 IH65639:IH65647 SD65639:SD65647 ABZ65639:ABZ65647 ALV65639:ALV65647 AVR65639:AVR65647 BFN65639:BFN65647 BPJ65639:BPJ65647 BZF65639:BZF65647 CJB65639:CJB65647 CSX65639:CSX65647 DCT65639:DCT65647 DMP65639:DMP65647 DWL65639:DWL65647 EGH65639:EGH65647 EQD65639:EQD65647 EZZ65639:EZZ65647 FJV65639:FJV65647 FTR65639:FTR65647 GDN65639:GDN65647 GNJ65639:GNJ65647 GXF65639:GXF65647 HHB65639:HHB65647 HQX65639:HQX65647 IAT65639:IAT65647 IKP65639:IKP65647 IUL65639:IUL65647 JEH65639:JEH65647 JOD65639:JOD65647 JXZ65639:JXZ65647 KHV65639:KHV65647 KRR65639:KRR65647 LBN65639:LBN65647 LLJ65639:LLJ65647 LVF65639:LVF65647 MFB65639:MFB65647 MOX65639:MOX65647 MYT65639:MYT65647 NIP65639:NIP65647 NSL65639:NSL65647 OCH65639:OCH65647 OMD65639:OMD65647 OVZ65639:OVZ65647 PFV65639:PFV65647 PPR65639:PPR65647 PZN65639:PZN65647 QJJ65639:QJJ65647 QTF65639:QTF65647 RDB65639:RDB65647 RMX65639:RMX65647 RWT65639:RWT65647 SGP65639:SGP65647 SQL65639:SQL65647 TAH65639:TAH65647 TKD65639:TKD65647 TTZ65639:TTZ65647 UDV65639:UDV65647 UNR65639:UNR65647 UXN65639:UXN65647 VHJ65639:VHJ65647 VRF65639:VRF65647 WBB65639:WBB65647 WKX65639:WKX65647 WUT65639:WUT65647 B131175:B131183 IH131175:IH131183 SD131175:SD131183 ABZ131175:ABZ131183 ALV131175:ALV131183 AVR131175:AVR131183 BFN131175:BFN131183 BPJ131175:BPJ131183 BZF131175:BZF131183 CJB131175:CJB131183 CSX131175:CSX131183 DCT131175:DCT131183 DMP131175:DMP131183 DWL131175:DWL131183 EGH131175:EGH131183 EQD131175:EQD131183 EZZ131175:EZZ131183 FJV131175:FJV131183 FTR131175:FTR131183 GDN131175:GDN131183 GNJ131175:GNJ131183 GXF131175:GXF131183 HHB131175:HHB131183 HQX131175:HQX131183 IAT131175:IAT131183 IKP131175:IKP131183 IUL131175:IUL131183 JEH131175:JEH131183 JOD131175:JOD131183 JXZ131175:JXZ131183 KHV131175:KHV131183 KRR131175:KRR131183 LBN131175:LBN131183 LLJ131175:LLJ131183 LVF131175:LVF131183 MFB131175:MFB131183 MOX131175:MOX131183 MYT131175:MYT131183 NIP131175:NIP131183 NSL131175:NSL131183 OCH131175:OCH131183 OMD131175:OMD131183 OVZ131175:OVZ131183 PFV131175:PFV131183 PPR131175:PPR131183 PZN131175:PZN131183 QJJ131175:QJJ131183 QTF131175:QTF131183 RDB131175:RDB131183 RMX131175:RMX131183 RWT131175:RWT131183 SGP131175:SGP131183 SQL131175:SQL131183 TAH131175:TAH131183 TKD131175:TKD131183 TTZ131175:TTZ131183 UDV131175:UDV131183 UNR131175:UNR131183 UXN131175:UXN131183 VHJ131175:VHJ131183 VRF131175:VRF131183 WBB131175:WBB131183 WKX131175:WKX131183 WUT131175:WUT131183 B196711:B196719 IH196711:IH196719 SD196711:SD196719 ABZ196711:ABZ196719 ALV196711:ALV196719 AVR196711:AVR196719 BFN196711:BFN196719 BPJ196711:BPJ196719 BZF196711:BZF196719 CJB196711:CJB196719 CSX196711:CSX196719 DCT196711:DCT196719 DMP196711:DMP196719 DWL196711:DWL196719 EGH196711:EGH196719 EQD196711:EQD196719 EZZ196711:EZZ196719 FJV196711:FJV196719 FTR196711:FTR196719 GDN196711:GDN196719 GNJ196711:GNJ196719 GXF196711:GXF196719 HHB196711:HHB196719 HQX196711:HQX196719 IAT196711:IAT196719 IKP196711:IKP196719 IUL196711:IUL196719 JEH196711:JEH196719 JOD196711:JOD196719 JXZ196711:JXZ196719 KHV196711:KHV196719 KRR196711:KRR196719 LBN196711:LBN196719 LLJ196711:LLJ196719 LVF196711:LVF196719 MFB196711:MFB196719 MOX196711:MOX196719 MYT196711:MYT196719 NIP196711:NIP196719 NSL196711:NSL196719 OCH196711:OCH196719 OMD196711:OMD196719 OVZ196711:OVZ196719 PFV196711:PFV196719 PPR196711:PPR196719 PZN196711:PZN196719 QJJ196711:QJJ196719 QTF196711:QTF196719 RDB196711:RDB196719 RMX196711:RMX196719 RWT196711:RWT196719 SGP196711:SGP196719 SQL196711:SQL196719 TAH196711:TAH196719 TKD196711:TKD196719 TTZ196711:TTZ196719 UDV196711:UDV196719 UNR196711:UNR196719 UXN196711:UXN196719 VHJ196711:VHJ196719 VRF196711:VRF196719 WBB196711:WBB196719 WKX196711:WKX196719 WUT196711:WUT196719 B262247:B262255 IH262247:IH262255 SD262247:SD262255 ABZ262247:ABZ262255 ALV262247:ALV262255 AVR262247:AVR262255 BFN262247:BFN262255 BPJ262247:BPJ262255 BZF262247:BZF262255 CJB262247:CJB262255 CSX262247:CSX262255 DCT262247:DCT262255 DMP262247:DMP262255 DWL262247:DWL262255 EGH262247:EGH262255 EQD262247:EQD262255 EZZ262247:EZZ262255 FJV262247:FJV262255 FTR262247:FTR262255 GDN262247:GDN262255 GNJ262247:GNJ262255 GXF262247:GXF262255 HHB262247:HHB262255 HQX262247:HQX262255 IAT262247:IAT262255 IKP262247:IKP262255 IUL262247:IUL262255 JEH262247:JEH262255 JOD262247:JOD262255 JXZ262247:JXZ262255 KHV262247:KHV262255 KRR262247:KRR262255 LBN262247:LBN262255 LLJ262247:LLJ262255 LVF262247:LVF262255 MFB262247:MFB262255 MOX262247:MOX262255 MYT262247:MYT262255 NIP262247:NIP262255 NSL262247:NSL262255 OCH262247:OCH262255 OMD262247:OMD262255 OVZ262247:OVZ262255 PFV262247:PFV262255 PPR262247:PPR262255 PZN262247:PZN262255 QJJ262247:QJJ262255 QTF262247:QTF262255 RDB262247:RDB262255 RMX262247:RMX262255 RWT262247:RWT262255 SGP262247:SGP262255 SQL262247:SQL262255 TAH262247:TAH262255 TKD262247:TKD262255 TTZ262247:TTZ262255 UDV262247:UDV262255 UNR262247:UNR262255 UXN262247:UXN262255 VHJ262247:VHJ262255 VRF262247:VRF262255 WBB262247:WBB262255 WKX262247:WKX262255 WUT262247:WUT262255 B327783:B327791 IH327783:IH327791 SD327783:SD327791 ABZ327783:ABZ327791 ALV327783:ALV327791 AVR327783:AVR327791 BFN327783:BFN327791 BPJ327783:BPJ327791 BZF327783:BZF327791 CJB327783:CJB327791 CSX327783:CSX327791 DCT327783:DCT327791 DMP327783:DMP327791 DWL327783:DWL327791 EGH327783:EGH327791 EQD327783:EQD327791 EZZ327783:EZZ327791 FJV327783:FJV327791 FTR327783:FTR327791 GDN327783:GDN327791 GNJ327783:GNJ327791 GXF327783:GXF327791 HHB327783:HHB327791 HQX327783:HQX327791 IAT327783:IAT327791 IKP327783:IKP327791 IUL327783:IUL327791 JEH327783:JEH327791 JOD327783:JOD327791 JXZ327783:JXZ327791 KHV327783:KHV327791 KRR327783:KRR327791 LBN327783:LBN327791 LLJ327783:LLJ327791 LVF327783:LVF327791 MFB327783:MFB327791 MOX327783:MOX327791 MYT327783:MYT327791 NIP327783:NIP327791 NSL327783:NSL327791 OCH327783:OCH327791 OMD327783:OMD327791 OVZ327783:OVZ327791 PFV327783:PFV327791 PPR327783:PPR327791 PZN327783:PZN327791 QJJ327783:QJJ327791 QTF327783:QTF327791 RDB327783:RDB327791 RMX327783:RMX327791 RWT327783:RWT327791 SGP327783:SGP327791 SQL327783:SQL327791 TAH327783:TAH327791 TKD327783:TKD327791 TTZ327783:TTZ327791 UDV327783:UDV327791 UNR327783:UNR327791 UXN327783:UXN327791 VHJ327783:VHJ327791 VRF327783:VRF327791 WBB327783:WBB327791 WKX327783:WKX327791 WUT327783:WUT327791 B393319:B393327 IH393319:IH393327 SD393319:SD393327 ABZ393319:ABZ393327 ALV393319:ALV393327 AVR393319:AVR393327 BFN393319:BFN393327 BPJ393319:BPJ393327 BZF393319:BZF393327 CJB393319:CJB393327 CSX393319:CSX393327 DCT393319:DCT393327 DMP393319:DMP393327 DWL393319:DWL393327 EGH393319:EGH393327 EQD393319:EQD393327 EZZ393319:EZZ393327 FJV393319:FJV393327 FTR393319:FTR393327 GDN393319:GDN393327 GNJ393319:GNJ393327 GXF393319:GXF393327 HHB393319:HHB393327 HQX393319:HQX393327 IAT393319:IAT393327 IKP393319:IKP393327 IUL393319:IUL393327 JEH393319:JEH393327 JOD393319:JOD393327 JXZ393319:JXZ393327 KHV393319:KHV393327 KRR393319:KRR393327 LBN393319:LBN393327 LLJ393319:LLJ393327 LVF393319:LVF393327 MFB393319:MFB393327 MOX393319:MOX393327 MYT393319:MYT393327 NIP393319:NIP393327 NSL393319:NSL393327 OCH393319:OCH393327 OMD393319:OMD393327 OVZ393319:OVZ393327 PFV393319:PFV393327 PPR393319:PPR393327 PZN393319:PZN393327 QJJ393319:QJJ393327 QTF393319:QTF393327 RDB393319:RDB393327 RMX393319:RMX393327 RWT393319:RWT393327 SGP393319:SGP393327 SQL393319:SQL393327 TAH393319:TAH393327 TKD393319:TKD393327 TTZ393319:TTZ393327 UDV393319:UDV393327 UNR393319:UNR393327 UXN393319:UXN393327 VHJ393319:VHJ393327 VRF393319:VRF393327 WBB393319:WBB393327 WKX393319:WKX393327 WUT393319:WUT393327 B458855:B458863 IH458855:IH458863 SD458855:SD458863 ABZ458855:ABZ458863 ALV458855:ALV458863 AVR458855:AVR458863 BFN458855:BFN458863 BPJ458855:BPJ458863 BZF458855:BZF458863 CJB458855:CJB458863 CSX458855:CSX458863 DCT458855:DCT458863 DMP458855:DMP458863 DWL458855:DWL458863 EGH458855:EGH458863 EQD458855:EQD458863 EZZ458855:EZZ458863 FJV458855:FJV458863 FTR458855:FTR458863 GDN458855:GDN458863 GNJ458855:GNJ458863 GXF458855:GXF458863 HHB458855:HHB458863 HQX458855:HQX458863 IAT458855:IAT458863 IKP458855:IKP458863 IUL458855:IUL458863 JEH458855:JEH458863 JOD458855:JOD458863 JXZ458855:JXZ458863 KHV458855:KHV458863 KRR458855:KRR458863 LBN458855:LBN458863 LLJ458855:LLJ458863 LVF458855:LVF458863 MFB458855:MFB458863 MOX458855:MOX458863 MYT458855:MYT458863 NIP458855:NIP458863 NSL458855:NSL458863 OCH458855:OCH458863 OMD458855:OMD458863 OVZ458855:OVZ458863 PFV458855:PFV458863 PPR458855:PPR458863 PZN458855:PZN458863 QJJ458855:QJJ458863 QTF458855:QTF458863 RDB458855:RDB458863 RMX458855:RMX458863 RWT458855:RWT458863 SGP458855:SGP458863 SQL458855:SQL458863 TAH458855:TAH458863 TKD458855:TKD458863 TTZ458855:TTZ458863 UDV458855:UDV458863 UNR458855:UNR458863 UXN458855:UXN458863 VHJ458855:VHJ458863 VRF458855:VRF458863 WBB458855:WBB458863 WKX458855:WKX458863 WUT458855:WUT458863 B524391:B524399 IH524391:IH524399 SD524391:SD524399 ABZ524391:ABZ524399 ALV524391:ALV524399 AVR524391:AVR524399 BFN524391:BFN524399 BPJ524391:BPJ524399 BZF524391:BZF524399 CJB524391:CJB524399 CSX524391:CSX524399 DCT524391:DCT524399 DMP524391:DMP524399 DWL524391:DWL524399 EGH524391:EGH524399 EQD524391:EQD524399 EZZ524391:EZZ524399 FJV524391:FJV524399 FTR524391:FTR524399 GDN524391:GDN524399 GNJ524391:GNJ524399 GXF524391:GXF524399 HHB524391:HHB524399 HQX524391:HQX524399 IAT524391:IAT524399 IKP524391:IKP524399 IUL524391:IUL524399 JEH524391:JEH524399 JOD524391:JOD524399 JXZ524391:JXZ524399 KHV524391:KHV524399 KRR524391:KRR524399 LBN524391:LBN524399 LLJ524391:LLJ524399 LVF524391:LVF524399 MFB524391:MFB524399 MOX524391:MOX524399 MYT524391:MYT524399 NIP524391:NIP524399 NSL524391:NSL524399 OCH524391:OCH524399 OMD524391:OMD524399 OVZ524391:OVZ524399 PFV524391:PFV524399 PPR524391:PPR524399 PZN524391:PZN524399 QJJ524391:QJJ524399 QTF524391:QTF524399 RDB524391:RDB524399 RMX524391:RMX524399 RWT524391:RWT524399 SGP524391:SGP524399 SQL524391:SQL524399 TAH524391:TAH524399 TKD524391:TKD524399 TTZ524391:TTZ524399 UDV524391:UDV524399 UNR524391:UNR524399 UXN524391:UXN524399 VHJ524391:VHJ524399 VRF524391:VRF524399 WBB524391:WBB524399 WKX524391:WKX524399 WUT524391:WUT524399 B589927:B589935 IH589927:IH589935 SD589927:SD589935 ABZ589927:ABZ589935 ALV589927:ALV589935 AVR589927:AVR589935 BFN589927:BFN589935 BPJ589927:BPJ589935 BZF589927:BZF589935 CJB589927:CJB589935 CSX589927:CSX589935 DCT589927:DCT589935 DMP589927:DMP589935 DWL589927:DWL589935 EGH589927:EGH589935 EQD589927:EQD589935 EZZ589927:EZZ589935 FJV589927:FJV589935 FTR589927:FTR589935 GDN589927:GDN589935 GNJ589927:GNJ589935 GXF589927:GXF589935 HHB589927:HHB589935 HQX589927:HQX589935 IAT589927:IAT589935 IKP589927:IKP589935 IUL589927:IUL589935 JEH589927:JEH589935 JOD589927:JOD589935 JXZ589927:JXZ589935 KHV589927:KHV589935 KRR589927:KRR589935 LBN589927:LBN589935 LLJ589927:LLJ589935 LVF589927:LVF589935 MFB589927:MFB589935 MOX589927:MOX589935 MYT589927:MYT589935 NIP589927:NIP589935 NSL589927:NSL589935 OCH589927:OCH589935 OMD589927:OMD589935 OVZ589927:OVZ589935 PFV589927:PFV589935 PPR589927:PPR589935 PZN589927:PZN589935 QJJ589927:QJJ589935 QTF589927:QTF589935 RDB589927:RDB589935 RMX589927:RMX589935 RWT589927:RWT589935 SGP589927:SGP589935 SQL589927:SQL589935 TAH589927:TAH589935 TKD589927:TKD589935 TTZ589927:TTZ589935 UDV589927:UDV589935 UNR589927:UNR589935 UXN589927:UXN589935 VHJ589927:VHJ589935 VRF589927:VRF589935 WBB589927:WBB589935 WKX589927:WKX589935 WUT589927:WUT589935 B655463:B655471 IH655463:IH655471 SD655463:SD655471 ABZ655463:ABZ655471 ALV655463:ALV655471 AVR655463:AVR655471 BFN655463:BFN655471 BPJ655463:BPJ655471 BZF655463:BZF655471 CJB655463:CJB655471 CSX655463:CSX655471 DCT655463:DCT655471 DMP655463:DMP655471 DWL655463:DWL655471 EGH655463:EGH655471 EQD655463:EQD655471 EZZ655463:EZZ655471 FJV655463:FJV655471 FTR655463:FTR655471 GDN655463:GDN655471 GNJ655463:GNJ655471 GXF655463:GXF655471 HHB655463:HHB655471 HQX655463:HQX655471 IAT655463:IAT655471 IKP655463:IKP655471 IUL655463:IUL655471 JEH655463:JEH655471 JOD655463:JOD655471 JXZ655463:JXZ655471 KHV655463:KHV655471 KRR655463:KRR655471 LBN655463:LBN655471 LLJ655463:LLJ655471 LVF655463:LVF655471 MFB655463:MFB655471 MOX655463:MOX655471 MYT655463:MYT655471 NIP655463:NIP655471 NSL655463:NSL655471 OCH655463:OCH655471 OMD655463:OMD655471 OVZ655463:OVZ655471 PFV655463:PFV655471 PPR655463:PPR655471 PZN655463:PZN655471 QJJ655463:QJJ655471 QTF655463:QTF655471 RDB655463:RDB655471 RMX655463:RMX655471 RWT655463:RWT655471 SGP655463:SGP655471 SQL655463:SQL655471 TAH655463:TAH655471 TKD655463:TKD655471 TTZ655463:TTZ655471 UDV655463:UDV655471 UNR655463:UNR655471 UXN655463:UXN655471 VHJ655463:VHJ655471 VRF655463:VRF655471 WBB655463:WBB655471 WKX655463:WKX655471 WUT655463:WUT655471 B720999:B721007 IH720999:IH721007 SD720999:SD721007 ABZ720999:ABZ721007 ALV720999:ALV721007 AVR720999:AVR721007 BFN720999:BFN721007 BPJ720999:BPJ721007 BZF720999:BZF721007 CJB720999:CJB721007 CSX720999:CSX721007 DCT720999:DCT721007 DMP720999:DMP721007 DWL720999:DWL721007 EGH720999:EGH721007 EQD720999:EQD721007 EZZ720999:EZZ721007 FJV720999:FJV721007 FTR720999:FTR721007 GDN720999:GDN721007 GNJ720999:GNJ721007 GXF720999:GXF721007 HHB720999:HHB721007 HQX720999:HQX721007 IAT720999:IAT721007 IKP720999:IKP721007 IUL720999:IUL721007 JEH720999:JEH721007 JOD720999:JOD721007 JXZ720999:JXZ721007 KHV720999:KHV721007 KRR720999:KRR721007 LBN720999:LBN721007 LLJ720999:LLJ721007 LVF720999:LVF721007 MFB720999:MFB721007 MOX720999:MOX721007 MYT720999:MYT721007 NIP720999:NIP721007 NSL720999:NSL721007 OCH720999:OCH721007 OMD720999:OMD721007 OVZ720999:OVZ721007 PFV720999:PFV721007 PPR720999:PPR721007 PZN720999:PZN721007 QJJ720999:QJJ721007 QTF720999:QTF721007 RDB720999:RDB721007 RMX720999:RMX721007 RWT720999:RWT721007 SGP720999:SGP721007 SQL720999:SQL721007 TAH720999:TAH721007 TKD720999:TKD721007 TTZ720999:TTZ721007 UDV720999:UDV721007 UNR720999:UNR721007 UXN720999:UXN721007 VHJ720999:VHJ721007 VRF720999:VRF721007 WBB720999:WBB721007 WKX720999:WKX721007 WUT720999:WUT721007 B786535:B786543 IH786535:IH786543 SD786535:SD786543 ABZ786535:ABZ786543 ALV786535:ALV786543 AVR786535:AVR786543 BFN786535:BFN786543 BPJ786535:BPJ786543 BZF786535:BZF786543 CJB786535:CJB786543 CSX786535:CSX786543 DCT786535:DCT786543 DMP786535:DMP786543 DWL786535:DWL786543 EGH786535:EGH786543 EQD786535:EQD786543 EZZ786535:EZZ786543 FJV786535:FJV786543 FTR786535:FTR786543 GDN786535:GDN786543 GNJ786535:GNJ786543 GXF786535:GXF786543 HHB786535:HHB786543 HQX786535:HQX786543 IAT786535:IAT786543 IKP786535:IKP786543 IUL786535:IUL786543 JEH786535:JEH786543 JOD786535:JOD786543 JXZ786535:JXZ786543 KHV786535:KHV786543 KRR786535:KRR786543 LBN786535:LBN786543 LLJ786535:LLJ786543 LVF786535:LVF786543 MFB786535:MFB786543 MOX786535:MOX786543 MYT786535:MYT786543 NIP786535:NIP786543 NSL786535:NSL786543 OCH786535:OCH786543 OMD786535:OMD786543 OVZ786535:OVZ786543 PFV786535:PFV786543 PPR786535:PPR786543 PZN786535:PZN786543 QJJ786535:QJJ786543 QTF786535:QTF786543 RDB786535:RDB786543 RMX786535:RMX786543 RWT786535:RWT786543 SGP786535:SGP786543 SQL786535:SQL786543 TAH786535:TAH786543 TKD786535:TKD786543 TTZ786535:TTZ786543 UDV786535:UDV786543 UNR786535:UNR786543 UXN786535:UXN786543 VHJ786535:VHJ786543 VRF786535:VRF786543 WBB786535:WBB786543 WKX786535:WKX786543 WUT786535:WUT786543 B852071:B852079 IH852071:IH852079 SD852071:SD852079 ABZ852071:ABZ852079 ALV852071:ALV852079 AVR852071:AVR852079 BFN852071:BFN852079 BPJ852071:BPJ852079 BZF852071:BZF852079 CJB852071:CJB852079 CSX852071:CSX852079 DCT852071:DCT852079 DMP852071:DMP852079 DWL852071:DWL852079 EGH852071:EGH852079 EQD852071:EQD852079 EZZ852071:EZZ852079 FJV852071:FJV852079 FTR852071:FTR852079 GDN852071:GDN852079 GNJ852071:GNJ852079 GXF852071:GXF852079 HHB852071:HHB852079 HQX852071:HQX852079 IAT852071:IAT852079 IKP852071:IKP852079 IUL852071:IUL852079 JEH852071:JEH852079 JOD852071:JOD852079 JXZ852071:JXZ852079 KHV852071:KHV852079 KRR852071:KRR852079 LBN852071:LBN852079 LLJ852071:LLJ852079 LVF852071:LVF852079 MFB852071:MFB852079 MOX852071:MOX852079 MYT852071:MYT852079 NIP852071:NIP852079 NSL852071:NSL852079 OCH852071:OCH852079 OMD852071:OMD852079 OVZ852071:OVZ852079 PFV852071:PFV852079 PPR852071:PPR852079 PZN852071:PZN852079 QJJ852071:QJJ852079 QTF852071:QTF852079 RDB852071:RDB852079 RMX852071:RMX852079 RWT852071:RWT852079 SGP852071:SGP852079 SQL852071:SQL852079 TAH852071:TAH852079 TKD852071:TKD852079 TTZ852071:TTZ852079 UDV852071:UDV852079 UNR852071:UNR852079 UXN852071:UXN852079 VHJ852071:VHJ852079 VRF852071:VRF852079 WBB852071:WBB852079 WKX852071:WKX852079 WUT852071:WUT852079 B917607:B917615 IH917607:IH917615 SD917607:SD917615 ABZ917607:ABZ917615 ALV917607:ALV917615 AVR917607:AVR917615 BFN917607:BFN917615 BPJ917607:BPJ917615 BZF917607:BZF917615 CJB917607:CJB917615 CSX917607:CSX917615 DCT917607:DCT917615 DMP917607:DMP917615 DWL917607:DWL917615 EGH917607:EGH917615 EQD917607:EQD917615 EZZ917607:EZZ917615 FJV917607:FJV917615 FTR917607:FTR917615 GDN917607:GDN917615 GNJ917607:GNJ917615 GXF917607:GXF917615 HHB917607:HHB917615 HQX917607:HQX917615 IAT917607:IAT917615 IKP917607:IKP917615 IUL917607:IUL917615 JEH917607:JEH917615 JOD917607:JOD917615 JXZ917607:JXZ917615 KHV917607:KHV917615 KRR917607:KRR917615 LBN917607:LBN917615 LLJ917607:LLJ917615 LVF917607:LVF917615 MFB917607:MFB917615 MOX917607:MOX917615 MYT917607:MYT917615 NIP917607:NIP917615 NSL917607:NSL917615 OCH917607:OCH917615 OMD917607:OMD917615 OVZ917607:OVZ917615 PFV917607:PFV917615 PPR917607:PPR917615 PZN917607:PZN917615 QJJ917607:QJJ917615 QTF917607:QTF917615 RDB917607:RDB917615 RMX917607:RMX917615 RWT917607:RWT917615 SGP917607:SGP917615 SQL917607:SQL917615 TAH917607:TAH917615 TKD917607:TKD917615 TTZ917607:TTZ917615 UDV917607:UDV917615 UNR917607:UNR917615 UXN917607:UXN917615 VHJ917607:VHJ917615 VRF917607:VRF917615 WBB917607:WBB917615 WKX917607:WKX917615 WUT917607:WUT917615 B983143:B983151 IH983143:IH983151 SD983143:SD983151 ABZ983143:ABZ983151 ALV983143:ALV983151 AVR983143:AVR983151 BFN983143:BFN983151 BPJ983143:BPJ983151 BZF983143:BZF983151 CJB983143:CJB983151 CSX983143:CSX983151 DCT983143:DCT983151 DMP983143:DMP983151 DWL983143:DWL983151 EGH983143:EGH983151 EQD983143:EQD983151 EZZ983143:EZZ983151 FJV983143:FJV983151 FTR983143:FTR983151 GDN983143:GDN983151 GNJ983143:GNJ983151 GXF983143:GXF983151 HHB983143:HHB983151 HQX983143:HQX983151 IAT983143:IAT983151 IKP983143:IKP983151 IUL983143:IUL983151 JEH983143:JEH983151 JOD983143:JOD983151 JXZ983143:JXZ983151 KHV983143:KHV983151 KRR983143:KRR983151 LBN983143:LBN983151 LLJ983143:LLJ983151 LVF983143:LVF983151 MFB983143:MFB983151 MOX983143:MOX983151 MYT983143:MYT983151 NIP983143:NIP983151 NSL983143:NSL983151 OCH983143:OCH983151 OMD983143:OMD983151 OVZ983143:OVZ983151 PFV983143:PFV983151 PPR983143:PPR983151 PZN983143:PZN983151 QJJ983143:QJJ983151 QTF983143:QTF983151 RDB983143:RDB983151 RMX983143:RMX983151 RWT983143:RWT983151 SGP983143:SGP983151 SQL983143:SQL983151 TAH983143:TAH983151 TKD983143:TKD983151 TTZ983143:TTZ983151 UDV983143:UDV983151 UNR983143:UNR983151 UXN983143:UXN983151 VHJ983143:VHJ983151 VRF983143:VRF983151 WBB983143:WBB983151 WKX983143:WKX983151 B54:B78" xr:uid="{00000000-0002-0000-0300-000005000000}"/>
    <dataValidation type="list" allowBlank="1" showInputMessage="1" showErrorMessage="1" sqref="F146:F165" xr:uid="{00000000-0002-0000-0300-000006000000}">
      <formula1>"Si,No"</formula1>
    </dataValidation>
  </dataValidations>
  <hyperlinks>
    <hyperlink ref="P1" location="ins" display="Instructivo" xr:uid="{00000000-0004-0000-0300-000000000000}"/>
    <hyperlink ref="I132" location="IVA" display="Info IVA" xr:uid="{00000000-0004-0000-0300-000001000000}"/>
    <hyperlink ref="I130" location="gtosadm" display="Gastos de administración" xr:uid="{00000000-0004-0000-0300-000002000000}"/>
  </hyperlinks>
  <printOptions horizontalCentered="1"/>
  <pageMargins left="0" right="0" top="0" bottom="0" header="0" footer="0"/>
  <pageSetup scale="45"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xWindow="814" yWindow="711" count="1">
        <x14:dataValidation type="list" allowBlank="1" showInputMessage="1" showErrorMessage="1" xr:uid="{00000000-0002-0000-0300-000007000000}">
          <x14:formula1>
            <xm:f>Honorarios!$A$9:$A$15</xm:f>
          </x14:formula1>
          <xm:sqref>A11:A34</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2">
    <tabColor theme="5" tint="0.39997558519241921"/>
    <pageSetUpPr fitToPage="1"/>
  </sheetPr>
  <dimension ref="A1:J13"/>
  <sheetViews>
    <sheetView showGridLines="0" zoomScaleNormal="100" zoomScaleSheetLayoutView="100" zoomScalePageLayoutView="90" workbookViewId="0">
      <selection activeCell="B5" sqref="B5:F5"/>
    </sheetView>
  </sheetViews>
  <sheetFormatPr defaultColWidth="15.1640625" defaultRowHeight="20.100000000000001" customHeight="1"/>
  <cols>
    <col min="1" max="1" width="31" style="64" customWidth="1"/>
    <col min="2" max="2" width="20.33203125" style="64" customWidth="1"/>
    <col min="3" max="3" width="17.1640625" style="64" customWidth="1"/>
    <col min="4" max="4" width="18.5" style="64" customWidth="1"/>
    <col min="5" max="5" width="15.1640625" style="64" customWidth="1"/>
    <col min="6" max="6" width="22" style="64" customWidth="1"/>
    <col min="7" max="7" width="12.1640625" style="64" customWidth="1"/>
    <col min="8" max="230" width="15.1640625" style="64"/>
    <col min="231" max="231" width="2.83203125" style="64" customWidth="1"/>
    <col min="232" max="232" width="26.33203125" style="64" customWidth="1"/>
    <col min="233" max="233" width="11.83203125" style="64" customWidth="1"/>
    <col min="234" max="234" width="17.6640625" style="64" customWidth="1"/>
    <col min="235" max="236" width="12.83203125" style="64" bestFit="1" customWidth="1"/>
    <col min="237" max="237" width="15.1640625" style="64"/>
    <col min="238" max="238" width="17.6640625" style="64" customWidth="1"/>
    <col min="239" max="239" width="15.5" style="64" customWidth="1"/>
    <col min="240" max="486" width="15.1640625" style="64"/>
    <col min="487" max="487" width="2.83203125" style="64" customWidth="1"/>
    <col min="488" max="488" width="26.33203125" style="64" customWidth="1"/>
    <col min="489" max="489" width="11.83203125" style="64" customWidth="1"/>
    <col min="490" max="490" width="17.6640625" style="64" customWidth="1"/>
    <col min="491" max="492" width="12.83203125" style="64" bestFit="1" customWidth="1"/>
    <col min="493" max="493" width="15.1640625" style="64"/>
    <col min="494" max="494" width="17.6640625" style="64" customWidth="1"/>
    <col min="495" max="495" width="15.5" style="64" customWidth="1"/>
    <col min="496" max="742" width="15.1640625" style="64"/>
    <col min="743" max="743" width="2.83203125" style="64" customWidth="1"/>
    <col min="744" max="744" width="26.33203125" style="64" customWidth="1"/>
    <col min="745" max="745" width="11.83203125" style="64" customWidth="1"/>
    <col min="746" max="746" width="17.6640625" style="64" customWidth="1"/>
    <col min="747" max="748" width="12.83203125" style="64" bestFit="1" customWidth="1"/>
    <col min="749" max="749" width="15.1640625" style="64"/>
    <col min="750" max="750" width="17.6640625" style="64" customWidth="1"/>
    <col min="751" max="751" width="15.5" style="64" customWidth="1"/>
    <col min="752" max="998" width="15.1640625" style="64"/>
    <col min="999" max="999" width="2.83203125" style="64" customWidth="1"/>
    <col min="1000" max="1000" width="26.33203125" style="64" customWidth="1"/>
    <col min="1001" max="1001" width="11.83203125" style="64" customWidth="1"/>
    <col min="1002" max="1002" width="17.6640625" style="64" customWidth="1"/>
    <col min="1003" max="1004" width="12.83203125" style="64" bestFit="1" customWidth="1"/>
    <col min="1005" max="1005" width="15.1640625" style="64"/>
    <col min="1006" max="1006" width="17.6640625" style="64" customWidth="1"/>
    <col min="1007" max="1007" width="15.5" style="64" customWidth="1"/>
    <col min="1008" max="1254" width="15.1640625" style="64"/>
    <col min="1255" max="1255" width="2.83203125" style="64" customWidth="1"/>
    <col min="1256" max="1256" width="26.33203125" style="64" customWidth="1"/>
    <col min="1257" max="1257" width="11.83203125" style="64" customWidth="1"/>
    <col min="1258" max="1258" width="17.6640625" style="64" customWidth="1"/>
    <col min="1259" max="1260" width="12.83203125" style="64" bestFit="1" customWidth="1"/>
    <col min="1261" max="1261" width="15.1640625" style="64"/>
    <col min="1262" max="1262" width="17.6640625" style="64" customWidth="1"/>
    <col min="1263" max="1263" width="15.5" style="64" customWidth="1"/>
    <col min="1264" max="1510" width="15.1640625" style="64"/>
    <col min="1511" max="1511" width="2.83203125" style="64" customWidth="1"/>
    <col min="1512" max="1512" width="26.33203125" style="64" customWidth="1"/>
    <col min="1513" max="1513" width="11.83203125" style="64" customWidth="1"/>
    <col min="1514" max="1514" width="17.6640625" style="64" customWidth="1"/>
    <col min="1515" max="1516" width="12.83203125" style="64" bestFit="1" customWidth="1"/>
    <col min="1517" max="1517" width="15.1640625" style="64"/>
    <col min="1518" max="1518" width="17.6640625" style="64" customWidth="1"/>
    <col min="1519" max="1519" width="15.5" style="64" customWidth="1"/>
    <col min="1520" max="1766" width="15.1640625" style="64"/>
    <col min="1767" max="1767" width="2.83203125" style="64" customWidth="1"/>
    <col min="1768" max="1768" width="26.33203125" style="64" customWidth="1"/>
    <col min="1769" max="1769" width="11.83203125" style="64" customWidth="1"/>
    <col min="1770" max="1770" width="17.6640625" style="64" customWidth="1"/>
    <col min="1771" max="1772" width="12.83203125" style="64" bestFit="1" customWidth="1"/>
    <col min="1773" max="1773" width="15.1640625" style="64"/>
    <col min="1774" max="1774" width="17.6640625" style="64" customWidth="1"/>
    <col min="1775" max="1775" width="15.5" style="64" customWidth="1"/>
    <col min="1776" max="2022" width="15.1640625" style="64"/>
    <col min="2023" max="2023" width="2.83203125" style="64" customWidth="1"/>
    <col min="2024" max="2024" width="26.33203125" style="64" customWidth="1"/>
    <col min="2025" max="2025" width="11.83203125" style="64" customWidth="1"/>
    <col min="2026" max="2026" width="17.6640625" style="64" customWidth="1"/>
    <col min="2027" max="2028" width="12.83203125" style="64" bestFit="1" customWidth="1"/>
    <col min="2029" max="2029" width="15.1640625" style="64"/>
    <col min="2030" max="2030" width="17.6640625" style="64" customWidth="1"/>
    <col min="2031" max="2031" width="15.5" style="64" customWidth="1"/>
    <col min="2032" max="2278" width="15.1640625" style="64"/>
    <col min="2279" max="2279" width="2.83203125" style="64" customWidth="1"/>
    <col min="2280" max="2280" width="26.33203125" style="64" customWidth="1"/>
    <col min="2281" max="2281" width="11.83203125" style="64" customWidth="1"/>
    <col min="2282" max="2282" width="17.6640625" style="64" customWidth="1"/>
    <col min="2283" max="2284" width="12.83203125" style="64" bestFit="1" customWidth="1"/>
    <col min="2285" max="2285" width="15.1640625" style="64"/>
    <col min="2286" max="2286" width="17.6640625" style="64" customWidth="1"/>
    <col min="2287" max="2287" width="15.5" style="64" customWidth="1"/>
    <col min="2288" max="2534" width="15.1640625" style="64"/>
    <col min="2535" max="2535" width="2.83203125" style="64" customWidth="1"/>
    <col min="2536" max="2536" width="26.33203125" style="64" customWidth="1"/>
    <col min="2537" max="2537" width="11.83203125" style="64" customWidth="1"/>
    <col min="2538" max="2538" width="17.6640625" style="64" customWidth="1"/>
    <col min="2539" max="2540" width="12.83203125" style="64" bestFit="1" customWidth="1"/>
    <col min="2541" max="2541" width="15.1640625" style="64"/>
    <col min="2542" max="2542" width="17.6640625" style="64" customWidth="1"/>
    <col min="2543" max="2543" width="15.5" style="64" customWidth="1"/>
    <col min="2544" max="2790" width="15.1640625" style="64"/>
    <col min="2791" max="2791" width="2.83203125" style="64" customWidth="1"/>
    <col min="2792" max="2792" width="26.33203125" style="64" customWidth="1"/>
    <col min="2793" max="2793" width="11.83203125" style="64" customWidth="1"/>
    <col min="2794" max="2794" width="17.6640625" style="64" customWidth="1"/>
    <col min="2795" max="2796" width="12.83203125" style="64" bestFit="1" customWidth="1"/>
    <col min="2797" max="2797" width="15.1640625" style="64"/>
    <col min="2798" max="2798" width="17.6640625" style="64" customWidth="1"/>
    <col min="2799" max="2799" width="15.5" style="64" customWidth="1"/>
    <col min="2800" max="3046" width="15.1640625" style="64"/>
    <col min="3047" max="3047" width="2.83203125" style="64" customWidth="1"/>
    <col min="3048" max="3048" width="26.33203125" style="64" customWidth="1"/>
    <col min="3049" max="3049" width="11.83203125" style="64" customWidth="1"/>
    <col min="3050" max="3050" width="17.6640625" style="64" customWidth="1"/>
    <col min="3051" max="3052" width="12.83203125" style="64" bestFit="1" customWidth="1"/>
    <col min="3053" max="3053" width="15.1640625" style="64"/>
    <col min="3054" max="3054" width="17.6640625" style="64" customWidth="1"/>
    <col min="3055" max="3055" width="15.5" style="64" customWidth="1"/>
    <col min="3056" max="3302" width="15.1640625" style="64"/>
    <col min="3303" max="3303" width="2.83203125" style="64" customWidth="1"/>
    <col min="3304" max="3304" width="26.33203125" style="64" customWidth="1"/>
    <col min="3305" max="3305" width="11.83203125" style="64" customWidth="1"/>
    <col min="3306" max="3306" width="17.6640625" style="64" customWidth="1"/>
    <col min="3307" max="3308" width="12.83203125" style="64" bestFit="1" customWidth="1"/>
    <col min="3309" max="3309" width="15.1640625" style="64"/>
    <col min="3310" max="3310" width="17.6640625" style="64" customWidth="1"/>
    <col min="3311" max="3311" width="15.5" style="64" customWidth="1"/>
    <col min="3312" max="3558" width="15.1640625" style="64"/>
    <col min="3559" max="3559" width="2.83203125" style="64" customWidth="1"/>
    <col min="3560" max="3560" width="26.33203125" style="64" customWidth="1"/>
    <col min="3561" max="3561" width="11.83203125" style="64" customWidth="1"/>
    <col min="3562" max="3562" width="17.6640625" style="64" customWidth="1"/>
    <col min="3563" max="3564" width="12.83203125" style="64" bestFit="1" customWidth="1"/>
    <col min="3565" max="3565" width="15.1640625" style="64"/>
    <col min="3566" max="3566" width="17.6640625" style="64" customWidth="1"/>
    <col min="3567" max="3567" width="15.5" style="64" customWidth="1"/>
    <col min="3568" max="3814" width="15.1640625" style="64"/>
    <col min="3815" max="3815" width="2.83203125" style="64" customWidth="1"/>
    <col min="3816" max="3816" width="26.33203125" style="64" customWidth="1"/>
    <col min="3817" max="3817" width="11.83203125" style="64" customWidth="1"/>
    <col min="3818" max="3818" width="17.6640625" style="64" customWidth="1"/>
    <col min="3819" max="3820" width="12.83203125" style="64" bestFit="1" customWidth="1"/>
    <col min="3821" max="3821" width="15.1640625" style="64"/>
    <col min="3822" max="3822" width="17.6640625" style="64" customWidth="1"/>
    <col min="3823" max="3823" width="15.5" style="64" customWidth="1"/>
    <col min="3824" max="4070" width="15.1640625" style="64"/>
    <col min="4071" max="4071" width="2.83203125" style="64" customWidth="1"/>
    <col min="4072" max="4072" width="26.33203125" style="64" customWidth="1"/>
    <col min="4073" max="4073" width="11.83203125" style="64" customWidth="1"/>
    <col min="4074" max="4074" width="17.6640625" style="64" customWidth="1"/>
    <col min="4075" max="4076" width="12.83203125" style="64" bestFit="1" customWidth="1"/>
    <col min="4077" max="4077" width="15.1640625" style="64"/>
    <col min="4078" max="4078" width="17.6640625" style="64" customWidth="1"/>
    <col min="4079" max="4079" width="15.5" style="64" customWidth="1"/>
    <col min="4080" max="4326" width="15.1640625" style="64"/>
    <col min="4327" max="4327" width="2.83203125" style="64" customWidth="1"/>
    <col min="4328" max="4328" width="26.33203125" style="64" customWidth="1"/>
    <col min="4329" max="4329" width="11.83203125" style="64" customWidth="1"/>
    <col min="4330" max="4330" width="17.6640625" style="64" customWidth="1"/>
    <col min="4331" max="4332" width="12.83203125" style="64" bestFit="1" customWidth="1"/>
    <col min="4333" max="4333" width="15.1640625" style="64"/>
    <col min="4334" max="4334" width="17.6640625" style="64" customWidth="1"/>
    <col min="4335" max="4335" width="15.5" style="64" customWidth="1"/>
    <col min="4336" max="4582" width="15.1640625" style="64"/>
    <col min="4583" max="4583" width="2.83203125" style="64" customWidth="1"/>
    <col min="4584" max="4584" width="26.33203125" style="64" customWidth="1"/>
    <col min="4585" max="4585" width="11.83203125" style="64" customWidth="1"/>
    <col min="4586" max="4586" width="17.6640625" style="64" customWidth="1"/>
    <col min="4587" max="4588" width="12.83203125" style="64" bestFit="1" customWidth="1"/>
    <col min="4589" max="4589" width="15.1640625" style="64"/>
    <col min="4590" max="4590" width="17.6640625" style="64" customWidth="1"/>
    <col min="4591" max="4591" width="15.5" style="64" customWidth="1"/>
    <col min="4592" max="4838" width="15.1640625" style="64"/>
    <col min="4839" max="4839" width="2.83203125" style="64" customWidth="1"/>
    <col min="4840" max="4840" width="26.33203125" style="64" customWidth="1"/>
    <col min="4841" max="4841" width="11.83203125" style="64" customWidth="1"/>
    <col min="4842" max="4842" width="17.6640625" style="64" customWidth="1"/>
    <col min="4843" max="4844" width="12.83203125" style="64" bestFit="1" customWidth="1"/>
    <col min="4845" max="4845" width="15.1640625" style="64"/>
    <col min="4846" max="4846" width="17.6640625" style="64" customWidth="1"/>
    <col min="4847" max="4847" width="15.5" style="64" customWidth="1"/>
    <col min="4848" max="5094" width="15.1640625" style="64"/>
    <col min="5095" max="5095" width="2.83203125" style="64" customWidth="1"/>
    <col min="5096" max="5096" width="26.33203125" style="64" customWidth="1"/>
    <col min="5097" max="5097" width="11.83203125" style="64" customWidth="1"/>
    <col min="5098" max="5098" width="17.6640625" style="64" customWidth="1"/>
    <col min="5099" max="5100" width="12.83203125" style="64" bestFit="1" customWidth="1"/>
    <col min="5101" max="5101" width="15.1640625" style="64"/>
    <col min="5102" max="5102" width="17.6640625" style="64" customWidth="1"/>
    <col min="5103" max="5103" width="15.5" style="64" customWidth="1"/>
    <col min="5104" max="5350" width="15.1640625" style="64"/>
    <col min="5351" max="5351" width="2.83203125" style="64" customWidth="1"/>
    <col min="5352" max="5352" width="26.33203125" style="64" customWidth="1"/>
    <col min="5353" max="5353" width="11.83203125" style="64" customWidth="1"/>
    <col min="5354" max="5354" width="17.6640625" style="64" customWidth="1"/>
    <col min="5355" max="5356" width="12.83203125" style="64" bestFit="1" customWidth="1"/>
    <col min="5357" max="5357" width="15.1640625" style="64"/>
    <col min="5358" max="5358" width="17.6640625" style="64" customWidth="1"/>
    <col min="5359" max="5359" width="15.5" style="64" customWidth="1"/>
    <col min="5360" max="5606" width="15.1640625" style="64"/>
    <col min="5607" max="5607" width="2.83203125" style="64" customWidth="1"/>
    <col min="5608" max="5608" width="26.33203125" style="64" customWidth="1"/>
    <col min="5609" max="5609" width="11.83203125" style="64" customWidth="1"/>
    <col min="5610" max="5610" width="17.6640625" style="64" customWidth="1"/>
    <col min="5611" max="5612" width="12.83203125" style="64" bestFit="1" customWidth="1"/>
    <col min="5613" max="5613" width="15.1640625" style="64"/>
    <col min="5614" max="5614" width="17.6640625" style="64" customWidth="1"/>
    <col min="5615" max="5615" width="15.5" style="64" customWidth="1"/>
    <col min="5616" max="5862" width="15.1640625" style="64"/>
    <col min="5863" max="5863" width="2.83203125" style="64" customWidth="1"/>
    <col min="5864" max="5864" width="26.33203125" style="64" customWidth="1"/>
    <col min="5865" max="5865" width="11.83203125" style="64" customWidth="1"/>
    <col min="5866" max="5866" width="17.6640625" style="64" customWidth="1"/>
    <col min="5867" max="5868" width="12.83203125" style="64" bestFit="1" customWidth="1"/>
    <col min="5869" max="5869" width="15.1640625" style="64"/>
    <col min="5870" max="5870" width="17.6640625" style="64" customWidth="1"/>
    <col min="5871" max="5871" width="15.5" style="64" customWidth="1"/>
    <col min="5872" max="6118" width="15.1640625" style="64"/>
    <col min="6119" max="6119" width="2.83203125" style="64" customWidth="1"/>
    <col min="6120" max="6120" width="26.33203125" style="64" customWidth="1"/>
    <col min="6121" max="6121" width="11.83203125" style="64" customWidth="1"/>
    <col min="6122" max="6122" width="17.6640625" style="64" customWidth="1"/>
    <col min="6123" max="6124" width="12.83203125" style="64" bestFit="1" customWidth="1"/>
    <col min="6125" max="6125" width="15.1640625" style="64"/>
    <col min="6126" max="6126" width="17.6640625" style="64" customWidth="1"/>
    <col min="6127" max="6127" width="15.5" style="64" customWidth="1"/>
    <col min="6128" max="6374" width="15.1640625" style="64"/>
    <col min="6375" max="6375" width="2.83203125" style="64" customWidth="1"/>
    <col min="6376" max="6376" width="26.33203125" style="64" customWidth="1"/>
    <col min="6377" max="6377" width="11.83203125" style="64" customWidth="1"/>
    <col min="6378" max="6378" width="17.6640625" style="64" customWidth="1"/>
    <col min="6379" max="6380" width="12.83203125" style="64" bestFit="1" customWidth="1"/>
    <col min="6381" max="6381" width="15.1640625" style="64"/>
    <col min="6382" max="6382" width="17.6640625" style="64" customWidth="1"/>
    <col min="6383" max="6383" width="15.5" style="64" customWidth="1"/>
    <col min="6384" max="6630" width="15.1640625" style="64"/>
    <col min="6631" max="6631" width="2.83203125" style="64" customWidth="1"/>
    <col min="6632" max="6632" width="26.33203125" style="64" customWidth="1"/>
    <col min="6633" max="6633" width="11.83203125" style="64" customWidth="1"/>
    <col min="6634" max="6634" width="17.6640625" style="64" customWidth="1"/>
    <col min="6635" max="6636" width="12.83203125" style="64" bestFit="1" customWidth="1"/>
    <col min="6637" max="6637" width="15.1640625" style="64"/>
    <col min="6638" max="6638" width="17.6640625" style="64" customWidth="1"/>
    <col min="6639" max="6639" width="15.5" style="64" customWidth="1"/>
    <col min="6640" max="6886" width="15.1640625" style="64"/>
    <col min="6887" max="6887" width="2.83203125" style="64" customWidth="1"/>
    <col min="6888" max="6888" width="26.33203125" style="64" customWidth="1"/>
    <col min="6889" max="6889" width="11.83203125" style="64" customWidth="1"/>
    <col min="6890" max="6890" width="17.6640625" style="64" customWidth="1"/>
    <col min="6891" max="6892" width="12.83203125" style="64" bestFit="1" customWidth="1"/>
    <col min="6893" max="6893" width="15.1640625" style="64"/>
    <col min="6894" max="6894" width="17.6640625" style="64" customWidth="1"/>
    <col min="6895" max="6895" width="15.5" style="64" customWidth="1"/>
    <col min="6896" max="7142" width="15.1640625" style="64"/>
    <col min="7143" max="7143" width="2.83203125" style="64" customWidth="1"/>
    <col min="7144" max="7144" width="26.33203125" style="64" customWidth="1"/>
    <col min="7145" max="7145" width="11.83203125" style="64" customWidth="1"/>
    <col min="7146" max="7146" width="17.6640625" style="64" customWidth="1"/>
    <col min="7147" max="7148" width="12.83203125" style="64" bestFit="1" customWidth="1"/>
    <col min="7149" max="7149" width="15.1640625" style="64"/>
    <col min="7150" max="7150" width="17.6640625" style="64" customWidth="1"/>
    <col min="7151" max="7151" width="15.5" style="64" customWidth="1"/>
    <col min="7152" max="7398" width="15.1640625" style="64"/>
    <col min="7399" max="7399" width="2.83203125" style="64" customWidth="1"/>
    <col min="7400" max="7400" width="26.33203125" style="64" customWidth="1"/>
    <col min="7401" max="7401" width="11.83203125" style="64" customWidth="1"/>
    <col min="7402" max="7402" width="17.6640625" style="64" customWidth="1"/>
    <col min="7403" max="7404" width="12.83203125" style="64" bestFit="1" customWidth="1"/>
    <col min="7405" max="7405" width="15.1640625" style="64"/>
    <col min="7406" max="7406" width="17.6640625" style="64" customWidth="1"/>
    <col min="7407" max="7407" width="15.5" style="64" customWidth="1"/>
    <col min="7408" max="7654" width="15.1640625" style="64"/>
    <col min="7655" max="7655" width="2.83203125" style="64" customWidth="1"/>
    <col min="7656" max="7656" width="26.33203125" style="64" customWidth="1"/>
    <col min="7657" max="7657" width="11.83203125" style="64" customWidth="1"/>
    <col min="7658" max="7658" width="17.6640625" style="64" customWidth="1"/>
    <col min="7659" max="7660" width="12.83203125" style="64" bestFit="1" customWidth="1"/>
    <col min="7661" max="7661" width="15.1640625" style="64"/>
    <col min="7662" max="7662" width="17.6640625" style="64" customWidth="1"/>
    <col min="7663" max="7663" width="15.5" style="64" customWidth="1"/>
    <col min="7664" max="7910" width="15.1640625" style="64"/>
    <col min="7911" max="7911" width="2.83203125" style="64" customWidth="1"/>
    <col min="7912" max="7912" width="26.33203125" style="64" customWidth="1"/>
    <col min="7913" max="7913" width="11.83203125" style="64" customWidth="1"/>
    <col min="7914" max="7914" width="17.6640625" style="64" customWidth="1"/>
    <col min="7915" max="7916" width="12.83203125" style="64" bestFit="1" customWidth="1"/>
    <col min="7917" max="7917" width="15.1640625" style="64"/>
    <col min="7918" max="7918" width="17.6640625" style="64" customWidth="1"/>
    <col min="7919" max="7919" width="15.5" style="64" customWidth="1"/>
    <col min="7920" max="8166" width="15.1640625" style="64"/>
    <col min="8167" max="8167" width="2.83203125" style="64" customWidth="1"/>
    <col min="8168" max="8168" width="26.33203125" style="64" customWidth="1"/>
    <col min="8169" max="8169" width="11.83203125" style="64" customWidth="1"/>
    <col min="8170" max="8170" width="17.6640625" style="64" customWidth="1"/>
    <col min="8171" max="8172" width="12.83203125" style="64" bestFit="1" customWidth="1"/>
    <col min="8173" max="8173" width="15.1640625" style="64"/>
    <col min="8174" max="8174" width="17.6640625" style="64" customWidth="1"/>
    <col min="8175" max="8175" width="15.5" style="64" customWidth="1"/>
    <col min="8176" max="8422" width="15.1640625" style="64"/>
    <col min="8423" max="8423" width="2.83203125" style="64" customWidth="1"/>
    <col min="8424" max="8424" width="26.33203125" style="64" customWidth="1"/>
    <col min="8425" max="8425" width="11.83203125" style="64" customWidth="1"/>
    <col min="8426" max="8426" width="17.6640625" style="64" customWidth="1"/>
    <col min="8427" max="8428" width="12.83203125" style="64" bestFit="1" customWidth="1"/>
    <col min="8429" max="8429" width="15.1640625" style="64"/>
    <col min="8430" max="8430" width="17.6640625" style="64" customWidth="1"/>
    <col min="8431" max="8431" width="15.5" style="64" customWidth="1"/>
    <col min="8432" max="8678" width="15.1640625" style="64"/>
    <col min="8679" max="8679" width="2.83203125" style="64" customWidth="1"/>
    <col min="8680" max="8680" width="26.33203125" style="64" customWidth="1"/>
    <col min="8681" max="8681" width="11.83203125" style="64" customWidth="1"/>
    <col min="8682" max="8682" width="17.6640625" style="64" customWidth="1"/>
    <col min="8683" max="8684" width="12.83203125" style="64" bestFit="1" customWidth="1"/>
    <col min="8685" max="8685" width="15.1640625" style="64"/>
    <col min="8686" max="8686" width="17.6640625" style="64" customWidth="1"/>
    <col min="8687" max="8687" width="15.5" style="64" customWidth="1"/>
    <col min="8688" max="8934" width="15.1640625" style="64"/>
    <col min="8935" max="8935" width="2.83203125" style="64" customWidth="1"/>
    <col min="8936" max="8936" width="26.33203125" style="64" customWidth="1"/>
    <col min="8937" max="8937" width="11.83203125" style="64" customWidth="1"/>
    <col min="8938" max="8938" width="17.6640625" style="64" customWidth="1"/>
    <col min="8939" max="8940" width="12.83203125" style="64" bestFit="1" customWidth="1"/>
    <col min="8941" max="8941" width="15.1640625" style="64"/>
    <col min="8942" max="8942" width="17.6640625" style="64" customWidth="1"/>
    <col min="8943" max="8943" width="15.5" style="64" customWidth="1"/>
    <col min="8944" max="9190" width="15.1640625" style="64"/>
    <col min="9191" max="9191" width="2.83203125" style="64" customWidth="1"/>
    <col min="9192" max="9192" width="26.33203125" style="64" customWidth="1"/>
    <col min="9193" max="9193" width="11.83203125" style="64" customWidth="1"/>
    <col min="9194" max="9194" width="17.6640625" style="64" customWidth="1"/>
    <col min="9195" max="9196" width="12.83203125" style="64" bestFit="1" customWidth="1"/>
    <col min="9197" max="9197" width="15.1640625" style="64"/>
    <col min="9198" max="9198" width="17.6640625" style="64" customWidth="1"/>
    <col min="9199" max="9199" width="15.5" style="64" customWidth="1"/>
    <col min="9200" max="9446" width="15.1640625" style="64"/>
    <col min="9447" max="9447" width="2.83203125" style="64" customWidth="1"/>
    <col min="9448" max="9448" width="26.33203125" style="64" customWidth="1"/>
    <col min="9449" max="9449" width="11.83203125" style="64" customWidth="1"/>
    <col min="9450" max="9450" width="17.6640625" style="64" customWidth="1"/>
    <col min="9451" max="9452" width="12.83203125" style="64" bestFit="1" customWidth="1"/>
    <col min="9453" max="9453" width="15.1640625" style="64"/>
    <col min="9454" max="9454" width="17.6640625" style="64" customWidth="1"/>
    <col min="9455" max="9455" width="15.5" style="64" customWidth="1"/>
    <col min="9456" max="9702" width="15.1640625" style="64"/>
    <col min="9703" max="9703" width="2.83203125" style="64" customWidth="1"/>
    <col min="9704" max="9704" width="26.33203125" style="64" customWidth="1"/>
    <col min="9705" max="9705" width="11.83203125" style="64" customWidth="1"/>
    <col min="9706" max="9706" width="17.6640625" style="64" customWidth="1"/>
    <col min="9707" max="9708" width="12.83203125" style="64" bestFit="1" customWidth="1"/>
    <col min="9709" max="9709" width="15.1640625" style="64"/>
    <col min="9710" max="9710" width="17.6640625" style="64" customWidth="1"/>
    <col min="9711" max="9711" width="15.5" style="64" customWidth="1"/>
    <col min="9712" max="9958" width="15.1640625" style="64"/>
    <col min="9959" max="9959" width="2.83203125" style="64" customWidth="1"/>
    <col min="9960" max="9960" width="26.33203125" style="64" customWidth="1"/>
    <col min="9961" max="9961" width="11.83203125" style="64" customWidth="1"/>
    <col min="9962" max="9962" width="17.6640625" style="64" customWidth="1"/>
    <col min="9963" max="9964" width="12.83203125" style="64" bestFit="1" customWidth="1"/>
    <col min="9965" max="9965" width="15.1640625" style="64"/>
    <col min="9966" max="9966" width="17.6640625" style="64" customWidth="1"/>
    <col min="9967" max="9967" width="15.5" style="64" customWidth="1"/>
    <col min="9968" max="10214" width="15.1640625" style="64"/>
    <col min="10215" max="10215" width="2.83203125" style="64" customWidth="1"/>
    <col min="10216" max="10216" width="26.33203125" style="64" customWidth="1"/>
    <col min="10217" max="10217" width="11.83203125" style="64" customWidth="1"/>
    <col min="10218" max="10218" width="17.6640625" style="64" customWidth="1"/>
    <col min="10219" max="10220" width="12.83203125" style="64" bestFit="1" customWidth="1"/>
    <col min="10221" max="10221" width="15.1640625" style="64"/>
    <col min="10222" max="10222" width="17.6640625" style="64" customWidth="1"/>
    <col min="10223" max="10223" width="15.5" style="64" customWidth="1"/>
    <col min="10224" max="10470" width="15.1640625" style="64"/>
    <col min="10471" max="10471" width="2.83203125" style="64" customWidth="1"/>
    <col min="10472" max="10472" width="26.33203125" style="64" customWidth="1"/>
    <col min="10473" max="10473" width="11.83203125" style="64" customWidth="1"/>
    <col min="10474" max="10474" width="17.6640625" style="64" customWidth="1"/>
    <col min="10475" max="10476" width="12.83203125" style="64" bestFit="1" customWidth="1"/>
    <col min="10477" max="10477" width="15.1640625" style="64"/>
    <col min="10478" max="10478" width="17.6640625" style="64" customWidth="1"/>
    <col min="10479" max="10479" width="15.5" style="64" customWidth="1"/>
    <col min="10480" max="10726" width="15.1640625" style="64"/>
    <col min="10727" max="10727" width="2.83203125" style="64" customWidth="1"/>
    <col min="10728" max="10728" width="26.33203125" style="64" customWidth="1"/>
    <col min="10729" max="10729" width="11.83203125" style="64" customWidth="1"/>
    <col min="10730" max="10730" width="17.6640625" style="64" customWidth="1"/>
    <col min="10731" max="10732" width="12.83203125" style="64" bestFit="1" customWidth="1"/>
    <col min="10733" max="10733" width="15.1640625" style="64"/>
    <col min="10734" max="10734" width="17.6640625" style="64" customWidth="1"/>
    <col min="10735" max="10735" width="15.5" style="64" customWidth="1"/>
    <col min="10736" max="10982" width="15.1640625" style="64"/>
    <col min="10983" max="10983" width="2.83203125" style="64" customWidth="1"/>
    <col min="10984" max="10984" width="26.33203125" style="64" customWidth="1"/>
    <col min="10985" max="10985" width="11.83203125" style="64" customWidth="1"/>
    <col min="10986" max="10986" width="17.6640625" style="64" customWidth="1"/>
    <col min="10987" max="10988" width="12.83203125" style="64" bestFit="1" customWidth="1"/>
    <col min="10989" max="10989" width="15.1640625" style="64"/>
    <col min="10990" max="10990" width="17.6640625" style="64" customWidth="1"/>
    <col min="10991" max="10991" width="15.5" style="64" customWidth="1"/>
    <col min="10992" max="11238" width="15.1640625" style="64"/>
    <col min="11239" max="11239" width="2.83203125" style="64" customWidth="1"/>
    <col min="11240" max="11240" width="26.33203125" style="64" customWidth="1"/>
    <col min="11241" max="11241" width="11.83203125" style="64" customWidth="1"/>
    <col min="11242" max="11242" width="17.6640625" style="64" customWidth="1"/>
    <col min="11243" max="11244" width="12.83203125" style="64" bestFit="1" customWidth="1"/>
    <col min="11245" max="11245" width="15.1640625" style="64"/>
    <col min="11246" max="11246" width="17.6640625" style="64" customWidth="1"/>
    <col min="11247" max="11247" width="15.5" style="64" customWidth="1"/>
    <col min="11248" max="11494" width="15.1640625" style="64"/>
    <col min="11495" max="11495" width="2.83203125" style="64" customWidth="1"/>
    <col min="11496" max="11496" width="26.33203125" style="64" customWidth="1"/>
    <col min="11497" max="11497" width="11.83203125" style="64" customWidth="1"/>
    <col min="11498" max="11498" width="17.6640625" style="64" customWidth="1"/>
    <col min="11499" max="11500" width="12.83203125" style="64" bestFit="1" customWidth="1"/>
    <col min="11501" max="11501" width="15.1640625" style="64"/>
    <col min="11502" max="11502" width="17.6640625" style="64" customWidth="1"/>
    <col min="11503" max="11503" width="15.5" style="64" customWidth="1"/>
    <col min="11504" max="11750" width="15.1640625" style="64"/>
    <col min="11751" max="11751" width="2.83203125" style="64" customWidth="1"/>
    <col min="11752" max="11752" width="26.33203125" style="64" customWidth="1"/>
    <col min="11753" max="11753" width="11.83203125" style="64" customWidth="1"/>
    <col min="11754" max="11754" width="17.6640625" style="64" customWidth="1"/>
    <col min="11755" max="11756" width="12.83203125" style="64" bestFit="1" customWidth="1"/>
    <col min="11757" max="11757" width="15.1640625" style="64"/>
    <col min="11758" max="11758" width="17.6640625" style="64" customWidth="1"/>
    <col min="11759" max="11759" width="15.5" style="64" customWidth="1"/>
    <col min="11760" max="12006" width="15.1640625" style="64"/>
    <col min="12007" max="12007" width="2.83203125" style="64" customWidth="1"/>
    <col min="12008" max="12008" width="26.33203125" style="64" customWidth="1"/>
    <col min="12009" max="12009" width="11.83203125" style="64" customWidth="1"/>
    <col min="12010" max="12010" width="17.6640625" style="64" customWidth="1"/>
    <col min="12011" max="12012" width="12.83203125" style="64" bestFit="1" customWidth="1"/>
    <col min="12013" max="12013" width="15.1640625" style="64"/>
    <col min="12014" max="12014" width="17.6640625" style="64" customWidth="1"/>
    <col min="12015" max="12015" width="15.5" style="64" customWidth="1"/>
    <col min="12016" max="12262" width="15.1640625" style="64"/>
    <col min="12263" max="12263" width="2.83203125" style="64" customWidth="1"/>
    <col min="12264" max="12264" width="26.33203125" style="64" customWidth="1"/>
    <col min="12265" max="12265" width="11.83203125" style="64" customWidth="1"/>
    <col min="12266" max="12266" width="17.6640625" style="64" customWidth="1"/>
    <col min="12267" max="12268" width="12.83203125" style="64" bestFit="1" customWidth="1"/>
    <col min="12269" max="12269" width="15.1640625" style="64"/>
    <col min="12270" max="12270" width="17.6640625" style="64" customWidth="1"/>
    <col min="12271" max="12271" width="15.5" style="64" customWidth="1"/>
    <col min="12272" max="12518" width="15.1640625" style="64"/>
    <col min="12519" max="12519" width="2.83203125" style="64" customWidth="1"/>
    <col min="12520" max="12520" width="26.33203125" style="64" customWidth="1"/>
    <col min="12521" max="12521" width="11.83203125" style="64" customWidth="1"/>
    <col min="12522" max="12522" width="17.6640625" style="64" customWidth="1"/>
    <col min="12523" max="12524" width="12.83203125" style="64" bestFit="1" customWidth="1"/>
    <col min="12525" max="12525" width="15.1640625" style="64"/>
    <col min="12526" max="12526" width="17.6640625" style="64" customWidth="1"/>
    <col min="12527" max="12527" width="15.5" style="64" customWidth="1"/>
    <col min="12528" max="12774" width="15.1640625" style="64"/>
    <col min="12775" max="12775" width="2.83203125" style="64" customWidth="1"/>
    <col min="12776" max="12776" width="26.33203125" style="64" customWidth="1"/>
    <col min="12777" max="12777" width="11.83203125" style="64" customWidth="1"/>
    <col min="12778" max="12778" width="17.6640625" style="64" customWidth="1"/>
    <col min="12779" max="12780" width="12.83203125" style="64" bestFit="1" customWidth="1"/>
    <col min="12781" max="12781" width="15.1640625" style="64"/>
    <col min="12782" max="12782" width="17.6640625" style="64" customWidth="1"/>
    <col min="12783" max="12783" width="15.5" style="64" customWidth="1"/>
    <col min="12784" max="13030" width="15.1640625" style="64"/>
    <col min="13031" max="13031" width="2.83203125" style="64" customWidth="1"/>
    <col min="13032" max="13032" width="26.33203125" style="64" customWidth="1"/>
    <col min="13033" max="13033" width="11.83203125" style="64" customWidth="1"/>
    <col min="13034" max="13034" width="17.6640625" style="64" customWidth="1"/>
    <col min="13035" max="13036" width="12.83203125" style="64" bestFit="1" customWidth="1"/>
    <col min="13037" max="13037" width="15.1640625" style="64"/>
    <col min="13038" max="13038" width="17.6640625" style="64" customWidth="1"/>
    <col min="13039" max="13039" width="15.5" style="64" customWidth="1"/>
    <col min="13040" max="13286" width="15.1640625" style="64"/>
    <col min="13287" max="13287" width="2.83203125" style="64" customWidth="1"/>
    <col min="13288" max="13288" width="26.33203125" style="64" customWidth="1"/>
    <col min="13289" max="13289" width="11.83203125" style="64" customWidth="1"/>
    <col min="13290" max="13290" width="17.6640625" style="64" customWidth="1"/>
    <col min="13291" max="13292" width="12.83203125" style="64" bestFit="1" customWidth="1"/>
    <col min="13293" max="13293" width="15.1640625" style="64"/>
    <col min="13294" max="13294" width="17.6640625" style="64" customWidth="1"/>
    <col min="13295" max="13295" width="15.5" style="64" customWidth="1"/>
    <col min="13296" max="13542" width="15.1640625" style="64"/>
    <col min="13543" max="13543" width="2.83203125" style="64" customWidth="1"/>
    <col min="13544" max="13544" width="26.33203125" style="64" customWidth="1"/>
    <col min="13545" max="13545" width="11.83203125" style="64" customWidth="1"/>
    <col min="13546" max="13546" width="17.6640625" style="64" customWidth="1"/>
    <col min="13547" max="13548" width="12.83203125" style="64" bestFit="1" customWidth="1"/>
    <col min="13549" max="13549" width="15.1640625" style="64"/>
    <col min="13550" max="13550" width="17.6640625" style="64" customWidth="1"/>
    <col min="13551" max="13551" width="15.5" style="64" customWidth="1"/>
    <col min="13552" max="13798" width="15.1640625" style="64"/>
    <col min="13799" max="13799" width="2.83203125" style="64" customWidth="1"/>
    <col min="13800" max="13800" width="26.33203125" style="64" customWidth="1"/>
    <col min="13801" max="13801" width="11.83203125" style="64" customWidth="1"/>
    <col min="13802" max="13802" width="17.6640625" style="64" customWidth="1"/>
    <col min="13803" max="13804" width="12.83203125" style="64" bestFit="1" customWidth="1"/>
    <col min="13805" max="13805" width="15.1640625" style="64"/>
    <col min="13806" max="13806" width="17.6640625" style="64" customWidth="1"/>
    <col min="13807" max="13807" width="15.5" style="64" customWidth="1"/>
    <col min="13808" max="14054" width="15.1640625" style="64"/>
    <col min="14055" max="14055" width="2.83203125" style="64" customWidth="1"/>
    <col min="14056" max="14056" width="26.33203125" style="64" customWidth="1"/>
    <col min="14057" max="14057" width="11.83203125" style="64" customWidth="1"/>
    <col min="14058" max="14058" width="17.6640625" style="64" customWidth="1"/>
    <col min="14059" max="14060" width="12.83203125" style="64" bestFit="1" customWidth="1"/>
    <col min="14061" max="14061" width="15.1640625" style="64"/>
    <col min="14062" max="14062" width="17.6640625" style="64" customWidth="1"/>
    <col min="14063" max="14063" width="15.5" style="64" customWidth="1"/>
    <col min="14064" max="14310" width="15.1640625" style="64"/>
    <col min="14311" max="14311" width="2.83203125" style="64" customWidth="1"/>
    <col min="14312" max="14312" width="26.33203125" style="64" customWidth="1"/>
    <col min="14313" max="14313" width="11.83203125" style="64" customWidth="1"/>
    <col min="14314" max="14314" width="17.6640625" style="64" customWidth="1"/>
    <col min="14315" max="14316" width="12.83203125" style="64" bestFit="1" customWidth="1"/>
    <col min="14317" max="14317" width="15.1640625" style="64"/>
    <col min="14318" max="14318" width="17.6640625" style="64" customWidth="1"/>
    <col min="14319" max="14319" width="15.5" style="64" customWidth="1"/>
    <col min="14320" max="14566" width="15.1640625" style="64"/>
    <col min="14567" max="14567" width="2.83203125" style="64" customWidth="1"/>
    <col min="14568" max="14568" width="26.33203125" style="64" customWidth="1"/>
    <col min="14569" max="14569" width="11.83203125" style="64" customWidth="1"/>
    <col min="14570" max="14570" width="17.6640625" style="64" customWidth="1"/>
    <col min="14571" max="14572" width="12.83203125" style="64" bestFit="1" customWidth="1"/>
    <col min="14573" max="14573" width="15.1640625" style="64"/>
    <col min="14574" max="14574" width="17.6640625" style="64" customWidth="1"/>
    <col min="14575" max="14575" width="15.5" style="64" customWidth="1"/>
    <col min="14576" max="14822" width="15.1640625" style="64"/>
    <col min="14823" max="14823" width="2.83203125" style="64" customWidth="1"/>
    <col min="14824" max="14824" width="26.33203125" style="64" customWidth="1"/>
    <col min="14825" max="14825" width="11.83203125" style="64" customWidth="1"/>
    <col min="14826" max="14826" width="17.6640625" style="64" customWidth="1"/>
    <col min="14827" max="14828" width="12.83203125" style="64" bestFit="1" customWidth="1"/>
    <col min="14829" max="14829" width="15.1640625" style="64"/>
    <col min="14830" max="14830" width="17.6640625" style="64" customWidth="1"/>
    <col min="14831" max="14831" width="15.5" style="64" customWidth="1"/>
    <col min="14832" max="15078" width="15.1640625" style="64"/>
    <col min="15079" max="15079" width="2.83203125" style="64" customWidth="1"/>
    <col min="15080" max="15080" width="26.33203125" style="64" customWidth="1"/>
    <col min="15081" max="15081" width="11.83203125" style="64" customWidth="1"/>
    <col min="15082" max="15082" width="17.6640625" style="64" customWidth="1"/>
    <col min="15083" max="15084" width="12.83203125" style="64" bestFit="1" customWidth="1"/>
    <col min="15085" max="15085" width="15.1640625" style="64"/>
    <col min="15086" max="15086" width="17.6640625" style="64" customWidth="1"/>
    <col min="15087" max="15087" width="15.5" style="64" customWidth="1"/>
    <col min="15088" max="15334" width="15.1640625" style="64"/>
    <col min="15335" max="15335" width="2.83203125" style="64" customWidth="1"/>
    <col min="15336" max="15336" width="26.33203125" style="64" customWidth="1"/>
    <col min="15337" max="15337" width="11.83203125" style="64" customWidth="1"/>
    <col min="15338" max="15338" width="17.6640625" style="64" customWidth="1"/>
    <col min="15339" max="15340" width="12.83203125" style="64" bestFit="1" customWidth="1"/>
    <col min="15341" max="15341" width="15.1640625" style="64"/>
    <col min="15342" max="15342" width="17.6640625" style="64" customWidth="1"/>
    <col min="15343" max="15343" width="15.5" style="64" customWidth="1"/>
    <col min="15344" max="15590" width="15.1640625" style="64"/>
    <col min="15591" max="15591" width="2.83203125" style="64" customWidth="1"/>
    <col min="15592" max="15592" width="26.33203125" style="64" customWidth="1"/>
    <col min="15593" max="15593" width="11.83203125" style="64" customWidth="1"/>
    <col min="15594" max="15594" width="17.6640625" style="64" customWidth="1"/>
    <col min="15595" max="15596" width="12.83203125" style="64" bestFit="1" customWidth="1"/>
    <col min="15597" max="15597" width="15.1640625" style="64"/>
    <col min="15598" max="15598" width="17.6640625" style="64" customWidth="1"/>
    <col min="15599" max="15599" width="15.5" style="64" customWidth="1"/>
    <col min="15600" max="15846" width="15.1640625" style="64"/>
    <col min="15847" max="15847" width="2.83203125" style="64" customWidth="1"/>
    <col min="15848" max="15848" width="26.33203125" style="64" customWidth="1"/>
    <col min="15849" max="15849" width="11.83203125" style="64" customWidth="1"/>
    <col min="15850" max="15850" width="17.6640625" style="64" customWidth="1"/>
    <col min="15851" max="15852" width="12.83203125" style="64" bestFit="1" customWidth="1"/>
    <col min="15853" max="15853" width="15.1640625" style="64"/>
    <col min="15854" max="15854" width="17.6640625" style="64" customWidth="1"/>
    <col min="15855" max="15855" width="15.5" style="64" customWidth="1"/>
    <col min="15856" max="16102" width="15.1640625" style="64"/>
    <col min="16103" max="16103" width="2.83203125" style="64" customWidth="1"/>
    <col min="16104" max="16104" width="26.33203125" style="64" customWidth="1"/>
    <col min="16105" max="16105" width="11.83203125" style="64" customWidth="1"/>
    <col min="16106" max="16106" width="17.6640625" style="64" customWidth="1"/>
    <col min="16107" max="16108" width="12.83203125" style="64" bestFit="1" customWidth="1"/>
    <col min="16109" max="16109" width="15.1640625" style="64"/>
    <col min="16110" max="16110" width="17.6640625" style="64" customWidth="1"/>
    <col min="16111" max="16111" width="15.5" style="64" customWidth="1"/>
    <col min="16112" max="16384" width="15.1640625" style="64"/>
  </cols>
  <sheetData>
    <row r="1" spans="1:10" ht="20.100000000000001" customHeight="1">
      <c r="A1" s="1072"/>
      <c r="B1" s="1102" t="s">
        <v>0</v>
      </c>
      <c r="C1" s="1103"/>
      <c r="D1" s="1103"/>
      <c r="E1" s="1103"/>
      <c r="F1" s="1104"/>
      <c r="G1" s="815" t="s">
        <v>104</v>
      </c>
      <c r="H1" s="65"/>
    </row>
    <row r="2" spans="1:10" ht="20.100000000000001" customHeight="1">
      <c r="A2" s="1074"/>
      <c r="B2" s="1105" t="s">
        <v>426</v>
      </c>
      <c r="C2" s="1106"/>
      <c r="D2" s="1106"/>
      <c r="E2" s="1106"/>
      <c r="F2" s="1107"/>
      <c r="G2" s="815" t="s">
        <v>427</v>
      </c>
    </row>
    <row r="3" spans="1:10" ht="20.100000000000001" customHeight="1" thickBot="1">
      <c r="A3" s="1076"/>
      <c r="B3" s="1083" t="s">
        <v>2</v>
      </c>
      <c r="C3" s="1084"/>
      <c r="D3" s="1108"/>
      <c r="E3" s="1083" t="s">
        <v>3</v>
      </c>
      <c r="F3" s="1085"/>
    </row>
    <row r="4" spans="1:10" ht="20.100000000000001" customHeight="1" thickBot="1">
      <c r="A4" s="1086"/>
      <c r="B4" s="1086"/>
      <c r="C4" s="1086"/>
      <c r="D4" s="1086"/>
      <c r="E4" s="1086"/>
      <c r="F4" s="1086"/>
    </row>
    <row r="5" spans="1:10" ht="29.25" customHeight="1" thickBot="1">
      <c r="A5" s="459" t="s">
        <v>107</v>
      </c>
      <c r="B5" s="1091">
        <f>'PE PSP'!R5</f>
        <v>0</v>
      </c>
      <c r="C5" s="1091"/>
      <c r="D5" s="1091"/>
      <c r="E5" s="1091"/>
      <c r="F5" s="1092"/>
      <c r="G5" s="644"/>
    </row>
    <row r="6" spans="1:10" ht="51.75" customHeight="1" thickBot="1">
      <c r="A6" s="459" t="s">
        <v>109</v>
      </c>
      <c r="B6" s="1091">
        <f>'PE PSP'!R6</f>
        <v>0</v>
      </c>
      <c r="C6" s="1091"/>
      <c r="D6" s="1091"/>
      <c r="E6" s="1091"/>
      <c r="F6" s="1092"/>
      <c r="G6" s="644"/>
    </row>
    <row r="7" spans="1:10" ht="20.100000000000001" customHeight="1" thickBot="1">
      <c r="B7" s="72"/>
      <c r="C7" s="72"/>
      <c r="D7" s="72"/>
      <c r="E7" s="72"/>
      <c r="F7" s="72"/>
    </row>
    <row r="8" spans="1:10" ht="27.75" customHeight="1">
      <c r="A8" s="456" t="s">
        <v>391</v>
      </c>
      <c r="B8" s="457" t="s">
        <v>122</v>
      </c>
      <c r="C8" s="457" t="s">
        <v>394</v>
      </c>
      <c r="D8" s="457" t="s">
        <v>395</v>
      </c>
      <c r="E8" s="457" t="s">
        <v>396</v>
      </c>
      <c r="F8" s="458" t="s">
        <v>397</v>
      </c>
    </row>
    <row r="9" spans="1:10" ht="20.100000000000001" customHeight="1">
      <c r="A9" s="711"/>
      <c r="B9" s="712" t="s">
        <v>428</v>
      </c>
      <c r="C9" s="713"/>
      <c r="D9" s="11" t="str">
        <f>IFERROR(VLOOKUP(A9,Honorarios!$A$9:$D$15,2,FALSE),"")</f>
        <v/>
      </c>
      <c r="E9" s="692" t="str">
        <f>IFERROR(VLOOKUP(A9,Honorarios!$A$9:$D$15,3,FALSE),"")</f>
        <v/>
      </c>
      <c r="F9" s="714">
        <f>IFERROR(C9*D9*E9,0)</f>
        <v>0</v>
      </c>
      <c r="G9" s="816" t="s">
        <v>429</v>
      </c>
    </row>
    <row r="10" spans="1:10" ht="20.100000000000001" hidden="1" customHeight="1">
      <c r="A10" s="711"/>
      <c r="B10" s="712"/>
      <c r="C10" s="713"/>
      <c r="D10" s="11"/>
      <c r="E10" s="692"/>
      <c r="F10" s="714"/>
      <c r="G10" s="816"/>
    </row>
    <row r="11" spans="1:10" ht="20.100000000000001" customHeight="1">
      <c r="A11" s="1100" t="s">
        <v>430</v>
      </c>
      <c r="B11" s="1101"/>
      <c r="C11" s="1101"/>
      <c r="D11" s="1101"/>
      <c r="E11" s="1101"/>
      <c r="F11" s="473">
        <f>F9+F10</f>
        <v>0</v>
      </c>
      <c r="G11" s="134"/>
    </row>
    <row r="12" spans="1:10" ht="20.100000000000001" customHeight="1">
      <c r="A12" s="1100" t="s">
        <v>412</v>
      </c>
      <c r="B12" s="1101"/>
      <c r="C12" s="1101"/>
      <c r="D12" s="1101"/>
      <c r="E12" s="1101"/>
      <c r="F12" s="473">
        <v>0</v>
      </c>
      <c r="G12" s="621" t="s">
        <v>431</v>
      </c>
      <c r="H12" s="622"/>
      <c r="I12" s="622"/>
      <c r="J12" s="622"/>
    </row>
    <row r="13" spans="1:10" ht="20.100000000000001" customHeight="1" thickBot="1">
      <c r="A13" s="1098" t="s">
        <v>424</v>
      </c>
      <c r="B13" s="1099"/>
      <c r="C13" s="1099"/>
      <c r="D13" s="1099"/>
      <c r="E13" s="1099"/>
      <c r="F13" s="455">
        <f>F11+F12</f>
        <v>0</v>
      </c>
    </row>
  </sheetData>
  <sheetProtection algorithmName="SHA-512" hashValue="Snqe2ld3XYvYHAvmpsgawgXSoZVZMjxPT+g4eQf0pgvbWi7Trz2r/re1NbbUq7rz9vXpe/UJCj8K4Lb7y12Z4g==" saltValue="6CFkL8E2CjV44FDRlkuy8A==" spinCount="100000" sheet="1" objects="1" scenarios="1" formatCells="0" formatColumns="0" formatRows="0" insertColumns="0" insertRows="0" insertHyperlinks="0" deleteColumns="0" deleteRows="0" sort="0" autoFilter="0" pivotTables="0"/>
  <mergeCells count="11">
    <mergeCell ref="A13:E13"/>
    <mergeCell ref="A11:E11"/>
    <mergeCell ref="B5:F5"/>
    <mergeCell ref="B6:F6"/>
    <mergeCell ref="A1:A3"/>
    <mergeCell ref="A4:F4"/>
    <mergeCell ref="B1:F1"/>
    <mergeCell ref="B2:F2"/>
    <mergeCell ref="B3:D3"/>
    <mergeCell ref="E3:F3"/>
    <mergeCell ref="A12:E12"/>
  </mergeCells>
  <dataValidations count="6">
    <dataValidation allowBlank="1" showInputMessage="1" showErrorMessage="1" prompt="diligencie la cantidad del personal requerido" sqref="WUK982973:WUK982981 HY65458:HY65466 RU65458:RU65466 ABQ65458:ABQ65466 ALM65458:ALM65466 AVI65458:AVI65466 BFE65458:BFE65466 BPA65458:BPA65466 BYW65458:BYW65466 CIS65458:CIS65466 CSO65458:CSO65466 DCK65458:DCK65466 DMG65458:DMG65466 DWC65458:DWC65466 EFY65458:EFY65466 EPU65458:EPU65466 EZQ65458:EZQ65466 FJM65458:FJM65466 FTI65458:FTI65466 GDE65458:GDE65466 GNA65458:GNA65466 GWW65458:GWW65466 HGS65458:HGS65466 HQO65458:HQO65466 IAK65458:IAK65466 IKG65458:IKG65466 IUC65458:IUC65466 JDY65458:JDY65466 JNU65458:JNU65466 JXQ65458:JXQ65466 KHM65458:KHM65466 KRI65458:KRI65466 LBE65458:LBE65466 LLA65458:LLA65466 LUW65458:LUW65466 MES65458:MES65466 MOO65458:MOO65466 MYK65458:MYK65466 NIG65458:NIG65466 NSC65458:NSC65466 OBY65458:OBY65466 OLU65458:OLU65466 OVQ65458:OVQ65466 PFM65458:PFM65466 PPI65458:PPI65466 PZE65458:PZE65466 QJA65458:QJA65466 QSW65458:QSW65466 RCS65458:RCS65466 RMO65458:RMO65466 RWK65458:RWK65466 SGG65458:SGG65466 SQC65458:SQC65466 SZY65458:SZY65466 TJU65458:TJU65466 TTQ65458:TTQ65466 UDM65458:UDM65466 UNI65458:UNI65466 UXE65458:UXE65466 VHA65458:VHA65466 VQW65458:VQW65466 WAS65458:WAS65466 WKO65458:WKO65466 WUK65458:WUK65466 HY130994:HY131002 RU130994:RU131002 ABQ130994:ABQ131002 ALM130994:ALM131002 AVI130994:AVI131002 BFE130994:BFE131002 BPA130994:BPA131002 BYW130994:BYW131002 CIS130994:CIS131002 CSO130994:CSO131002 DCK130994:DCK131002 DMG130994:DMG131002 DWC130994:DWC131002 EFY130994:EFY131002 EPU130994:EPU131002 EZQ130994:EZQ131002 FJM130994:FJM131002 FTI130994:FTI131002 GDE130994:GDE131002 GNA130994:GNA131002 GWW130994:GWW131002 HGS130994:HGS131002 HQO130994:HQO131002 IAK130994:IAK131002 IKG130994:IKG131002 IUC130994:IUC131002 JDY130994:JDY131002 JNU130994:JNU131002 JXQ130994:JXQ131002 KHM130994:KHM131002 KRI130994:KRI131002 LBE130994:LBE131002 LLA130994:LLA131002 LUW130994:LUW131002 MES130994:MES131002 MOO130994:MOO131002 MYK130994:MYK131002 NIG130994:NIG131002 NSC130994:NSC131002 OBY130994:OBY131002 OLU130994:OLU131002 OVQ130994:OVQ131002 PFM130994:PFM131002 PPI130994:PPI131002 PZE130994:PZE131002 QJA130994:QJA131002 QSW130994:QSW131002 RCS130994:RCS131002 RMO130994:RMO131002 RWK130994:RWK131002 SGG130994:SGG131002 SQC130994:SQC131002 SZY130994:SZY131002 TJU130994:TJU131002 TTQ130994:TTQ131002 UDM130994:UDM131002 UNI130994:UNI131002 UXE130994:UXE131002 VHA130994:VHA131002 VQW130994:VQW131002 WAS130994:WAS131002 WKO130994:WKO131002 WUK130994:WUK131002 HY196530:HY196538 RU196530:RU196538 ABQ196530:ABQ196538 ALM196530:ALM196538 AVI196530:AVI196538 BFE196530:BFE196538 BPA196530:BPA196538 BYW196530:BYW196538 CIS196530:CIS196538 CSO196530:CSO196538 DCK196530:DCK196538 DMG196530:DMG196538 DWC196530:DWC196538 EFY196530:EFY196538 EPU196530:EPU196538 EZQ196530:EZQ196538 FJM196530:FJM196538 FTI196530:FTI196538 GDE196530:GDE196538 GNA196530:GNA196538 GWW196530:GWW196538 HGS196530:HGS196538 HQO196530:HQO196538 IAK196530:IAK196538 IKG196530:IKG196538 IUC196530:IUC196538 JDY196530:JDY196538 JNU196530:JNU196538 JXQ196530:JXQ196538 KHM196530:KHM196538 KRI196530:KRI196538 LBE196530:LBE196538 LLA196530:LLA196538 LUW196530:LUW196538 MES196530:MES196538 MOO196530:MOO196538 MYK196530:MYK196538 NIG196530:NIG196538 NSC196530:NSC196538 OBY196530:OBY196538 OLU196530:OLU196538 OVQ196530:OVQ196538 PFM196530:PFM196538 PPI196530:PPI196538 PZE196530:PZE196538 QJA196530:QJA196538 QSW196530:QSW196538 RCS196530:RCS196538 RMO196530:RMO196538 RWK196530:RWK196538 SGG196530:SGG196538 SQC196530:SQC196538 SZY196530:SZY196538 TJU196530:TJU196538 TTQ196530:TTQ196538 UDM196530:UDM196538 UNI196530:UNI196538 UXE196530:UXE196538 VHA196530:VHA196538 VQW196530:VQW196538 WAS196530:WAS196538 WKO196530:WKO196538 WUK196530:WUK196538 HY262066:HY262074 RU262066:RU262074 ABQ262066:ABQ262074 ALM262066:ALM262074 AVI262066:AVI262074 BFE262066:BFE262074 BPA262066:BPA262074 BYW262066:BYW262074 CIS262066:CIS262074 CSO262066:CSO262074 DCK262066:DCK262074 DMG262066:DMG262074 DWC262066:DWC262074 EFY262066:EFY262074 EPU262066:EPU262074 EZQ262066:EZQ262074 FJM262066:FJM262074 FTI262066:FTI262074 GDE262066:GDE262074 GNA262066:GNA262074 GWW262066:GWW262074 HGS262066:HGS262074 HQO262066:HQO262074 IAK262066:IAK262074 IKG262066:IKG262074 IUC262066:IUC262074 JDY262066:JDY262074 JNU262066:JNU262074 JXQ262066:JXQ262074 KHM262066:KHM262074 KRI262066:KRI262074 LBE262066:LBE262074 LLA262066:LLA262074 LUW262066:LUW262074 MES262066:MES262074 MOO262066:MOO262074 MYK262066:MYK262074 NIG262066:NIG262074 NSC262066:NSC262074 OBY262066:OBY262074 OLU262066:OLU262074 OVQ262066:OVQ262074 PFM262066:PFM262074 PPI262066:PPI262074 PZE262066:PZE262074 QJA262066:QJA262074 QSW262066:QSW262074 RCS262066:RCS262074 RMO262066:RMO262074 RWK262066:RWK262074 SGG262066:SGG262074 SQC262066:SQC262074 SZY262066:SZY262074 TJU262066:TJU262074 TTQ262066:TTQ262074 UDM262066:UDM262074 UNI262066:UNI262074 UXE262066:UXE262074 VHA262066:VHA262074 VQW262066:VQW262074 WAS262066:WAS262074 WKO262066:WKO262074 WUK262066:WUK262074 HY327602:HY327610 RU327602:RU327610 ABQ327602:ABQ327610 ALM327602:ALM327610 AVI327602:AVI327610 BFE327602:BFE327610 BPA327602:BPA327610 BYW327602:BYW327610 CIS327602:CIS327610 CSO327602:CSO327610 DCK327602:DCK327610 DMG327602:DMG327610 DWC327602:DWC327610 EFY327602:EFY327610 EPU327602:EPU327610 EZQ327602:EZQ327610 FJM327602:FJM327610 FTI327602:FTI327610 GDE327602:GDE327610 GNA327602:GNA327610 GWW327602:GWW327610 HGS327602:HGS327610 HQO327602:HQO327610 IAK327602:IAK327610 IKG327602:IKG327610 IUC327602:IUC327610 JDY327602:JDY327610 JNU327602:JNU327610 JXQ327602:JXQ327610 KHM327602:KHM327610 KRI327602:KRI327610 LBE327602:LBE327610 LLA327602:LLA327610 LUW327602:LUW327610 MES327602:MES327610 MOO327602:MOO327610 MYK327602:MYK327610 NIG327602:NIG327610 NSC327602:NSC327610 OBY327602:OBY327610 OLU327602:OLU327610 OVQ327602:OVQ327610 PFM327602:PFM327610 PPI327602:PPI327610 PZE327602:PZE327610 QJA327602:QJA327610 QSW327602:QSW327610 RCS327602:RCS327610 RMO327602:RMO327610 RWK327602:RWK327610 SGG327602:SGG327610 SQC327602:SQC327610 SZY327602:SZY327610 TJU327602:TJU327610 TTQ327602:TTQ327610 UDM327602:UDM327610 UNI327602:UNI327610 UXE327602:UXE327610 VHA327602:VHA327610 VQW327602:VQW327610 WAS327602:WAS327610 WKO327602:WKO327610 WUK327602:WUK327610 HY393138:HY393146 RU393138:RU393146 ABQ393138:ABQ393146 ALM393138:ALM393146 AVI393138:AVI393146 BFE393138:BFE393146 BPA393138:BPA393146 BYW393138:BYW393146 CIS393138:CIS393146 CSO393138:CSO393146 DCK393138:DCK393146 DMG393138:DMG393146 DWC393138:DWC393146 EFY393138:EFY393146 EPU393138:EPU393146 EZQ393138:EZQ393146 FJM393138:FJM393146 FTI393138:FTI393146 GDE393138:GDE393146 GNA393138:GNA393146 GWW393138:GWW393146 HGS393138:HGS393146 HQO393138:HQO393146 IAK393138:IAK393146 IKG393138:IKG393146 IUC393138:IUC393146 JDY393138:JDY393146 JNU393138:JNU393146 JXQ393138:JXQ393146 KHM393138:KHM393146 KRI393138:KRI393146 LBE393138:LBE393146 LLA393138:LLA393146 LUW393138:LUW393146 MES393138:MES393146 MOO393138:MOO393146 MYK393138:MYK393146 NIG393138:NIG393146 NSC393138:NSC393146 OBY393138:OBY393146 OLU393138:OLU393146 OVQ393138:OVQ393146 PFM393138:PFM393146 PPI393138:PPI393146 PZE393138:PZE393146 QJA393138:QJA393146 QSW393138:QSW393146 RCS393138:RCS393146 RMO393138:RMO393146 RWK393138:RWK393146 SGG393138:SGG393146 SQC393138:SQC393146 SZY393138:SZY393146 TJU393138:TJU393146 TTQ393138:TTQ393146 UDM393138:UDM393146 UNI393138:UNI393146 UXE393138:UXE393146 VHA393138:VHA393146 VQW393138:VQW393146 WAS393138:WAS393146 WKO393138:WKO393146 WUK393138:WUK393146 HY458674:HY458682 RU458674:RU458682 ABQ458674:ABQ458682 ALM458674:ALM458682 AVI458674:AVI458682 BFE458674:BFE458682 BPA458674:BPA458682 BYW458674:BYW458682 CIS458674:CIS458682 CSO458674:CSO458682 DCK458674:DCK458682 DMG458674:DMG458682 DWC458674:DWC458682 EFY458674:EFY458682 EPU458674:EPU458682 EZQ458674:EZQ458682 FJM458674:FJM458682 FTI458674:FTI458682 GDE458674:GDE458682 GNA458674:GNA458682 GWW458674:GWW458682 HGS458674:HGS458682 HQO458674:HQO458682 IAK458674:IAK458682 IKG458674:IKG458682 IUC458674:IUC458682 JDY458674:JDY458682 JNU458674:JNU458682 JXQ458674:JXQ458682 KHM458674:KHM458682 KRI458674:KRI458682 LBE458674:LBE458682 LLA458674:LLA458682 LUW458674:LUW458682 MES458674:MES458682 MOO458674:MOO458682 MYK458674:MYK458682 NIG458674:NIG458682 NSC458674:NSC458682 OBY458674:OBY458682 OLU458674:OLU458682 OVQ458674:OVQ458682 PFM458674:PFM458682 PPI458674:PPI458682 PZE458674:PZE458682 QJA458674:QJA458682 QSW458674:QSW458682 RCS458674:RCS458682 RMO458674:RMO458682 RWK458674:RWK458682 SGG458674:SGG458682 SQC458674:SQC458682 SZY458674:SZY458682 TJU458674:TJU458682 TTQ458674:TTQ458682 UDM458674:UDM458682 UNI458674:UNI458682 UXE458674:UXE458682 VHA458674:VHA458682 VQW458674:VQW458682 WAS458674:WAS458682 WKO458674:WKO458682 WUK458674:WUK458682 HY524210:HY524218 RU524210:RU524218 ABQ524210:ABQ524218 ALM524210:ALM524218 AVI524210:AVI524218 BFE524210:BFE524218 BPA524210:BPA524218 BYW524210:BYW524218 CIS524210:CIS524218 CSO524210:CSO524218 DCK524210:DCK524218 DMG524210:DMG524218 DWC524210:DWC524218 EFY524210:EFY524218 EPU524210:EPU524218 EZQ524210:EZQ524218 FJM524210:FJM524218 FTI524210:FTI524218 GDE524210:GDE524218 GNA524210:GNA524218 GWW524210:GWW524218 HGS524210:HGS524218 HQO524210:HQO524218 IAK524210:IAK524218 IKG524210:IKG524218 IUC524210:IUC524218 JDY524210:JDY524218 JNU524210:JNU524218 JXQ524210:JXQ524218 KHM524210:KHM524218 KRI524210:KRI524218 LBE524210:LBE524218 LLA524210:LLA524218 LUW524210:LUW524218 MES524210:MES524218 MOO524210:MOO524218 MYK524210:MYK524218 NIG524210:NIG524218 NSC524210:NSC524218 OBY524210:OBY524218 OLU524210:OLU524218 OVQ524210:OVQ524218 PFM524210:PFM524218 PPI524210:PPI524218 PZE524210:PZE524218 QJA524210:QJA524218 QSW524210:QSW524218 RCS524210:RCS524218 RMO524210:RMO524218 RWK524210:RWK524218 SGG524210:SGG524218 SQC524210:SQC524218 SZY524210:SZY524218 TJU524210:TJU524218 TTQ524210:TTQ524218 UDM524210:UDM524218 UNI524210:UNI524218 UXE524210:UXE524218 VHA524210:VHA524218 VQW524210:VQW524218 WAS524210:WAS524218 WKO524210:WKO524218 WUK524210:WUK524218 HY589746:HY589754 RU589746:RU589754 ABQ589746:ABQ589754 ALM589746:ALM589754 AVI589746:AVI589754 BFE589746:BFE589754 BPA589746:BPA589754 BYW589746:BYW589754 CIS589746:CIS589754 CSO589746:CSO589754 DCK589746:DCK589754 DMG589746:DMG589754 DWC589746:DWC589754 EFY589746:EFY589754 EPU589746:EPU589754 EZQ589746:EZQ589754 FJM589746:FJM589754 FTI589746:FTI589754 GDE589746:GDE589754 GNA589746:GNA589754 GWW589746:GWW589754 HGS589746:HGS589754 HQO589746:HQO589754 IAK589746:IAK589754 IKG589746:IKG589754 IUC589746:IUC589754 JDY589746:JDY589754 JNU589746:JNU589754 JXQ589746:JXQ589754 KHM589746:KHM589754 KRI589746:KRI589754 LBE589746:LBE589754 LLA589746:LLA589754 LUW589746:LUW589754 MES589746:MES589754 MOO589746:MOO589754 MYK589746:MYK589754 NIG589746:NIG589754 NSC589746:NSC589754 OBY589746:OBY589754 OLU589746:OLU589754 OVQ589746:OVQ589754 PFM589746:PFM589754 PPI589746:PPI589754 PZE589746:PZE589754 QJA589746:QJA589754 QSW589746:QSW589754 RCS589746:RCS589754 RMO589746:RMO589754 RWK589746:RWK589754 SGG589746:SGG589754 SQC589746:SQC589754 SZY589746:SZY589754 TJU589746:TJU589754 TTQ589746:TTQ589754 UDM589746:UDM589754 UNI589746:UNI589754 UXE589746:UXE589754 VHA589746:VHA589754 VQW589746:VQW589754 WAS589746:WAS589754 WKO589746:WKO589754 WUK589746:WUK589754 HY655282:HY655290 RU655282:RU655290 ABQ655282:ABQ655290 ALM655282:ALM655290 AVI655282:AVI655290 BFE655282:BFE655290 BPA655282:BPA655290 BYW655282:BYW655290 CIS655282:CIS655290 CSO655282:CSO655290 DCK655282:DCK655290 DMG655282:DMG655290 DWC655282:DWC655290 EFY655282:EFY655290 EPU655282:EPU655290 EZQ655282:EZQ655290 FJM655282:FJM655290 FTI655282:FTI655290 GDE655282:GDE655290 GNA655282:GNA655290 GWW655282:GWW655290 HGS655282:HGS655290 HQO655282:HQO655290 IAK655282:IAK655290 IKG655282:IKG655290 IUC655282:IUC655290 JDY655282:JDY655290 JNU655282:JNU655290 JXQ655282:JXQ655290 KHM655282:KHM655290 KRI655282:KRI655290 LBE655282:LBE655290 LLA655282:LLA655290 LUW655282:LUW655290 MES655282:MES655290 MOO655282:MOO655290 MYK655282:MYK655290 NIG655282:NIG655290 NSC655282:NSC655290 OBY655282:OBY655290 OLU655282:OLU655290 OVQ655282:OVQ655290 PFM655282:PFM655290 PPI655282:PPI655290 PZE655282:PZE655290 QJA655282:QJA655290 QSW655282:QSW655290 RCS655282:RCS655290 RMO655282:RMO655290 RWK655282:RWK655290 SGG655282:SGG655290 SQC655282:SQC655290 SZY655282:SZY655290 TJU655282:TJU655290 TTQ655282:TTQ655290 UDM655282:UDM655290 UNI655282:UNI655290 UXE655282:UXE655290 VHA655282:VHA655290 VQW655282:VQW655290 WAS655282:WAS655290 WKO655282:WKO655290 WUK655282:WUK655290 HY720818:HY720826 RU720818:RU720826 ABQ720818:ABQ720826 ALM720818:ALM720826 AVI720818:AVI720826 BFE720818:BFE720826 BPA720818:BPA720826 BYW720818:BYW720826 CIS720818:CIS720826 CSO720818:CSO720826 DCK720818:DCK720826 DMG720818:DMG720826 DWC720818:DWC720826 EFY720818:EFY720826 EPU720818:EPU720826 EZQ720818:EZQ720826 FJM720818:FJM720826 FTI720818:FTI720826 GDE720818:GDE720826 GNA720818:GNA720826 GWW720818:GWW720826 HGS720818:HGS720826 HQO720818:HQO720826 IAK720818:IAK720826 IKG720818:IKG720826 IUC720818:IUC720826 JDY720818:JDY720826 JNU720818:JNU720826 JXQ720818:JXQ720826 KHM720818:KHM720826 KRI720818:KRI720826 LBE720818:LBE720826 LLA720818:LLA720826 LUW720818:LUW720826 MES720818:MES720826 MOO720818:MOO720826 MYK720818:MYK720826 NIG720818:NIG720826 NSC720818:NSC720826 OBY720818:OBY720826 OLU720818:OLU720826 OVQ720818:OVQ720826 PFM720818:PFM720826 PPI720818:PPI720826 PZE720818:PZE720826 QJA720818:QJA720826 QSW720818:QSW720826 RCS720818:RCS720826 RMO720818:RMO720826 RWK720818:RWK720826 SGG720818:SGG720826 SQC720818:SQC720826 SZY720818:SZY720826 TJU720818:TJU720826 TTQ720818:TTQ720826 UDM720818:UDM720826 UNI720818:UNI720826 UXE720818:UXE720826 VHA720818:VHA720826 VQW720818:VQW720826 WAS720818:WAS720826 WKO720818:WKO720826 WUK720818:WUK720826 HY786354:HY786362 RU786354:RU786362 ABQ786354:ABQ786362 ALM786354:ALM786362 AVI786354:AVI786362 BFE786354:BFE786362 BPA786354:BPA786362 BYW786354:BYW786362 CIS786354:CIS786362 CSO786354:CSO786362 DCK786354:DCK786362 DMG786354:DMG786362 DWC786354:DWC786362 EFY786354:EFY786362 EPU786354:EPU786362 EZQ786354:EZQ786362 FJM786354:FJM786362 FTI786354:FTI786362 GDE786354:GDE786362 GNA786354:GNA786362 GWW786354:GWW786362 HGS786354:HGS786362 HQO786354:HQO786362 IAK786354:IAK786362 IKG786354:IKG786362 IUC786354:IUC786362 JDY786354:JDY786362 JNU786354:JNU786362 JXQ786354:JXQ786362 KHM786354:KHM786362 KRI786354:KRI786362 LBE786354:LBE786362 LLA786354:LLA786362 LUW786354:LUW786362 MES786354:MES786362 MOO786354:MOO786362 MYK786354:MYK786362 NIG786354:NIG786362 NSC786354:NSC786362 OBY786354:OBY786362 OLU786354:OLU786362 OVQ786354:OVQ786362 PFM786354:PFM786362 PPI786354:PPI786362 PZE786354:PZE786362 QJA786354:QJA786362 QSW786354:QSW786362 RCS786354:RCS786362 RMO786354:RMO786362 RWK786354:RWK786362 SGG786354:SGG786362 SQC786354:SQC786362 SZY786354:SZY786362 TJU786354:TJU786362 TTQ786354:TTQ786362 UDM786354:UDM786362 UNI786354:UNI786362 UXE786354:UXE786362 VHA786354:VHA786362 VQW786354:VQW786362 WAS786354:WAS786362 WKO786354:WKO786362 WUK786354:WUK786362 HY851890:HY851898 RU851890:RU851898 ABQ851890:ABQ851898 ALM851890:ALM851898 AVI851890:AVI851898 BFE851890:BFE851898 BPA851890:BPA851898 BYW851890:BYW851898 CIS851890:CIS851898 CSO851890:CSO851898 DCK851890:DCK851898 DMG851890:DMG851898 DWC851890:DWC851898 EFY851890:EFY851898 EPU851890:EPU851898 EZQ851890:EZQ851898 FJM851890:FJM851898 FTI851890:FTI851898 GDE851890:GDE851898 GNA851890:GNA851898 GWW851890:GWW851898 HGS851890:HGS851898 HQO851890:HQO851898 IAK851890:IAK851898 IKG851890:IKG851898 IUC851890:IUC851898 JDY851890:JDY851898 JNU851890:JNU851898 JXQ851890:JXQ851898 KHM851890:KHM851898 KRI851890:KRI851898 LBE851890:LBE851898 LLA851890:LLA851898 LUW851890:LUW851898 MES851890:MES851898 MOO851890:MOO851898 MYK851890:MYK851898 NIG851890:NIG851898 NSC851890:NSC851898 OBY851890:OBY851898 OLU851890:OLU851898 OVQ851890:OVQ851898 PFM851890:PFM851898 PPI851890:PPI851898 PZE851890:PZE851898 QJA851890:QJA851898 QSW851890:QSW851898 RCS851890:RCS851898 RMO851890:RMO851898 RWK851890:RWK851898 SGG851890:SGG851898 SQC851890:SQC851898 SZY851890:SZY851898 TJU851890:TJU851898 TTQ851890:TTQ851898 UDM851890:UDM851898 UNI851890:UNI851898 UXE851890:UXE851898 VHA851890:VHA851898 VQW851890:VQW851898 WAS851890:WAS851898 WKO851890:WKO851898 WUK851890:WUK851898 HY917426:HY917434 RU917426:RU917434 ABQ917426:ABQ917434 ALM917426:ALM917434 AVI917426:AVI917434 BFE917426:BFE917434 BPA917426:BPA917434 BYW917426:BYW917434 CIS917426:CIS917434 CSO917426:CSO917434 DCK917426:DCK917434 DMG917426:DMG917434 DWC917426:DWC917434 EFY917426:EFY917434 EPU917426:EPU917434 EZQ917426:EZQ917434 FJM917426:FJM917434 FTI917426:FTI917434 GDE917426:GDE917434 GNA917426:GNA917434 GWW917426:GWW917434 HGS917426:HGS917434 HQO917426:HQO917434 IAK917426:IAK917434 IKG917426:IKG917434 IUC917426:IUC917434 JDY917426:JDY917434 JNU917426:JNU917434 JXQ917426:JXQ917434 KHM917426:KHM917434 KRI917426:KRI917434 LBE917426:LBE917434 LLA917426:LLA917434 LUW917426:LUW917434 MES917426:MES917434 MOO917426:MOO917434 MYK917426:MYK917434 NIG917426:NIG917434 NSC917426:NSC917434 OBY917426:OBY917434 OLU917426:OLU917434 OVQ917426:OVQ917434 PFM917426:PFM917434 PPI917426:PPI917434 PZE917426:PZE917434 QJA917426:QJA917434 QSW917426:QSW917434 RCS917426:RCS917434 RMO917426:RMO917434 RWK917426:RWK917434 SGG917426:SGG917434 SQC917426:SQC917434 SZY917426:SZY917434 TJU917426:TJU917434 TTQ917426:TTQ917434 UDM917426:UDM917434 UNI917426:UNI917434 UXE917426:UXE917434 VHA917426:VHA917434 VQW917426:VQW917434 WAS917426:WAS917434 WKO917426:WKO917434 WUK917426:WUK917434 HY982962:HY982970 RU982962:RU982970 ABQ982962:ABQ982970 ALM982962:ALM982970 AVI982962:AVI982970 BFE982962:BFE982970 BPA982962:BPA982970 BYW982962:BYW982970 CIS982962:CIS982970 CSO982962:CSO982970 DCK982962:DCK982970 DMG982962:DMG982970 DWC982962:DWC982970 EFY982962:EFY982970 EPU982962:EPU982970 EZQ982962:EZQ982970 FJM982962:FJM982970 FTI982962:FTI982970 GDE982962:GDE982970 GNA982962:GNA982970 GWW982962:GWW982970 HGS982962:HGS982970 HQO982962:HQO982970 IAK982962:IAK982970 IKG982962:IKG982970 IUC982962:IUC982970 JDY982962:JDY982970 JNU982962:JNU982970 JXQ982962:JXQ982970 KHM982962:KHM982970 KRI982962:KRI982970 LBE982962:LBE982970 LLA982962:LLA982970 LUW982962:LUW982970 MES982962:MES982970 MOO982962:MOO982970 MYK982962:MYK982970 NIG982962:NIG982970 NSC982962:NSC982970 OBY982962:OBY982970 OLU982962:OLU982970 OVQ982962:OVQ982970 PFM982962:PFM982970 PPI982962:PPI982970 PZE982962:PZE982970 QJA982962:QJA982970 QSW982962:QSW982970 RCS982962:RCS982970 RMO982962:RMO982970 RWK982962:RWK982970 SGG982962:SGG982970 SQC982962:SQC982970 SZY982962:SZY982970 TJU982962:TJU982970 TTQ982962:TTQ982970 UDM982962:UDM982970 UNI982962:UNI982970 UXE982962:UXE982970 VHA982962:VHA982970 VQW982962:VQW982970 WAS982962:WAS982970 WKO982962:WKO982970 WUK982962:WUK982970 HY65469:HY65477 RU65469:RU65477 ABQ65469:ABQ65477 ALM65469:ALM65477 AVI65469:AVI65477 BFE65469:BFE65477 BPA65469:BPA65477 BYW65469:BYW65477 CIS65469:CIS65477 CSO65469:CSO65477 DCK65469:DCK65477 DMG65469:DMG65477 DWC65469:DWC65477 EFY65469:EFY65477 EPU65469:EPU65477 EZQ65469:EZQ65477 FJM65469:FJM65477 FTI65469:FTI65477 GDE65469:GDE65477 GNA65469:GNA65477 GWW65469:GWW65477 HGS65469:HGS65477 HQO65469:HQO65477 IAK65469:IAK65477 IKG65469:IKG65477 IUC65469:IUC65477 JDY65469:JDY65477 JNU65469:JNU65477 JXQ65469:JXQ65477 KHM65469:KHM65477 KRI65469:KRI65477 LBE65469:LBE65477 LLA65469:LLA65477 LUW65469:LUW65477 MES65469:MES65477 MOO65469:MOO65477 MYK65469:MYK65477 NIG65469:NIG65477 NSC65469:NSC65477 OBY65469:OBY65477 OLU65469:OLU65477 OVQ65469:OVQ65477 PFM65469:PFM65477 PPI65469:PPI65477 PZE65469:PZE65477 QJA65469:QJA65477 QSW65469:QSW65477 RCS65469:RCS65477 RMO65469:RMO65477 RWK65469:RWK65477 SGG65469:SGG65477 SQC65469:SQC65477 SZY65469:SZY65477 TJU65469:TJU65477 TTQ65469:TTQ65477 UDM65469:UDM65477 UNI65469:UNI65477 UXE65469:UXE65477 VHA65469:VHA65477 VQW65469:VQW65477 WAS65469:WAS65477 WKO65469:WKO65477 WUK65469:WUK65477 HY131005:HY131013 RU131005:RU131013 ABQ131005:ABQ131013 ALM131005:ALM131013 AVI131005:AVI131013 BFE131005:BFE131013 BPA131005:BPA131013 BYW131005:BYW131013 CIS131005:CIS131013 CSO131005:CSO131013 DCK131005:DCK131013 DMG131005:DMG131013 DWC131005:DWC131013 EFY131005:EFY131013 EPU131005:EPU131013 EZQ131005:EZQ131013 FJM131005:FJM131013 FTI131005:FTI131013 GDE131005:GDE131013 GNA131005:GNA131013 GWW131005:GWW131013 HGS131005:HGS131013 HQO131005:HQO131013 IAK131005:IAK131013 IKG131005:IKG131013 IUC131005:IUC131013 JDY131005:JDY131013 JNU131005:JNU131013 JXQ131005:JXQ131013 KHM131005:KHM131013 KRI131005:KRI131013 LBE131005:LBE131013 LLA131005:LLA131013 LUW131005:LUW131013 MES131005:MES131013 MOO131005:MOO131013 MYK131005:MYK131013 NIG131005:NIG131013 NSC131005:NSC131013 OBY131005:OBY131013 OLU131005:OLU131013 OVQ131005:OVQ131013 PFM131005:PFM131013 PPI131005:PPI131013 PZE131005:PZE131013 QJA131005:QJA131013 QSW131005:QSW131013 RCS131005:RCS131013 RMO131005:RMO131013 RWK131005:RWK131013 SGG131005:SGG131013 SQC131005:SQC131013 SZY131005:SZY131013 TJU131005:TJU131013 TTQ131005:TTQ131013 UDM131005:UDM131013 UNI131005:UNI131013 UXE131005:UXE131013 VHA131005:VHA131013 VQW131005:VQW131013 WAS131005:WAS131013 WKO131005:WKO131013 WUK131005:WUK131013 HY196541:HY196549 RU196541:RU196549 ABQ196541:ABQ196549 ALM196541:ALM196549 AVI196541:AVI196549 BFE196541:BFE196549 BPA196541:BPA196549 BYW196541:BYW196549 CIS196541:CIS196549 CSO196541:CSO196549 DCK196541:DCK196549 DMG196541:DMG196549 DWC196541:DWC196549 EFY196541:EFY196549 EPU196541:EPU196549 EZQ196541:EZQ196549 FJM196541:FJM196549 FTI196541:FTI196549 GDE196541:GDE196549 GNA196541:GNA196549 GWW196541:GWW196549 HGS196541:HGS196549 HQO196541:HQO196549 IAK196541:IAK196549 IKG196541:IKG196549 IUC196541:IUC196549 JDY196541:JDY196549 JNU196541:JNU196549 JXQ196541:JXQ196549 KHM196541:KHM196549 KRI196541:KRI196549 LBE196541:LBE196549 LLA196541:LLA196549 LUW196541:LUW196549 MES196541:MES196549 MOO196541:MOO196549 MYK196541:MYK196549 NIG196541:NIG196549 NSC196541:NSC196549 OBY196541:OBY196549 OLU196541:OLU196549 OVQ196541:OVQ196549 PFM196541:PFM196549 PPI196541:PPI196549 PZE196541:PZE196549 QJA196541:QJA196549 QSW196541:QSW196549 RCS196541:RCS196549 RMO196541:RMO196549 RWK196541:RWK196549 SGG196541:SGG196549 SQC196541:SQC196549 SZY196541:SZY196549 TJU196541:TJU196549 TTQ196541:TTQ196549 UDM196541:UDM196549 UNI196541:UNI196549 UXE196541:UXE196549 VHA196541:VHA196549 VQW196541:VQW196549 WAS196541:WAS196549 WKO196541:WKO196549 WUK196541:WUK196549 HY262077:HY262085 RU262077:RU262085 ABQ262077:ABQ262085 ALM262077:ALM262085 AVI262077:AVI262085 BFE262077:BFE262085 BPA262077:BPA262085 BYW262077:BYW262085 CIS262077:CIS262085 CSO262077:CSO262085 DCK262077:DCK262085 DMG262077:DMG262085 DWC262077:DWC262085 EFY262077:EFY262085 EPU262077:EPU262085 EZQ262077:EZQ262085 FJM262077:FJM262085 FTI262077:FTI262085 GDE262077:GDE262085 GNA262077:GNA262085 GWW262077:GWW262085 HGS262077:HGS262085 HQO262077:HQO262085 IAK262077:IAK262085 IKG262077:IKG262085 IUC262077:IUC262085 JDY262077:JDY262085 JNU262077:JNU262085 JXQ262077:JXQ262085 KHM262077:KHM262085 KRI262077:KRI262085 LBE262077:LBE262085 LLA262077:LLA262085 LUW262077:LUW262085 MES262077:MES262085 MOO262077:MOO262085 MYK262077:MYK262085 NIG262077:NIG262085 NSC262077:NSC262085 OBY262077:OBY262085 OLU262077:OLU262085 OVQ262077:OVQ262085 PFM262077:PFM262085 PPI262077:PPI262085 PZE262077:PZE262085 QJA262077:QJA262085 QSW262077:QSW262085 RCS262077:RCS262085 RMO262077:RMO262085 RWK262077:RWK262085 SGG262077:SGG262085 SQC262077:SQC262085 SZY262077:SZY262085 TJU262077:TJU262085 TTQ262077:TTQ262085 UDM262077:UDM262085 UNI262077:UNI262085 UXE262077:UXE262085 VHA262077:VHA262085 VQW262077:VQW262085 WAS262077:WAS262085 WKO262077:WKO262085 WUK262077:WUK262085 HY327613:HY327621 RU327613:RU327621 ABQ327613:ABQ327621 ALM327613:ALM327621 AVI327613:AVI327621 BFE327613:BFE327621 BPA327613:BPA327621 BYW327613:BYW327621 CIS327613:CIS327621 CSO327613:CSO327621 DCK327613:DCK327621 DMG327613:DMG327621 DWC327613:DWC327621 EFY327613:EFY327621 EPU327613:EPU327621 EZQ327613:EZQ327621 FJM327613:FJM327621 FTI327613:FTI327621 GDE327613:GDE327621 GNA327613:GNA327621 GWW327613:GWW327621 HGS327613:HGS327621 HQO327613:HQO327621 IAK327613:IAK327621 IKG327613:IKG327621 IUC327613:IUC327621 JDY327613:JDY327621 JNU327613:JNU327621 JXQ327613:JXQ327621 KHM327613:KHM327621 KRI327613:KRI327621 LBE327613:LBE327621 LLA327613:LLA327621 LUW327613:LUW327621 MES327613:MES327621 MOO327613:MOO327621 MYK327613:MYK327621 NIG327613:NIG327621 NSC327613:NSC327621 OBY327613:OBY327621 OLU327613:OLU327621 OVQ327613:OVQ327621 PFM327613:PFM327621 PPI327613:PPI327621 PZE327613:PZE327621 QJA327613:QJA327621 QSW327613:QSW327621 RCS327613:RCS327621 RMO327613:RMO327621 RWK327613:RWK327621 SGG327613:SGG327621 SQC327613:SQC327621 SZY327613:SZY327621 TJU327613:TJU327621 TTQ327613:TTQ327621 UDM327613:UDM327621 UNI327613:UNI327621 UXE327613:UXE327621 VHA327613:VHA327621 VQW327613:VQW327621 WAS327613:WAS327621 WKO327613:WKO327621 WUK327613:WUK327621 HY393149:HY393157 RU393149:RU393157 ABQ393149:ABQ393157 ALM393149:ALM393157 AVI393149:AVI393157 BFE393149:BFE393157 BPA393149:BPA393157 BYW393149:BYW393157 CIS393149:CIS393157 CSO393149:CSO393157 DCK393149:DCK393157 DMG393149:DMG393157 DWC393149:DWC393157 EFY393149:EFY393157 EPU393149:EPU393157 EZQ393149:EZQ393157 FJM393149:FJM393157 FTI393149:FTI393157 GDE393149:GDE393157 GNA393149:GNA393157 GWW393149:GWW393157 HGS393149:HGS393157 HQO393149:HQO393157 IAK393149:IAK393157 IKG393149:IKG393157 IUC393149:IUC393157 JDY393149:JDY393157 JNU393149:JNU393157 JXQ393149:JXQ393157 KHM393149:KHM393157 KRI393149:KRI393157 LBE393149:LBE393157 LLA393149:LLA393157 LUW393149:LUW393157 MES393149:MES393157 MOO393149:MOO393157 MYK393149:MYK393157 NIG393149:NIG393157 NSC393149:NSC393157 OBY393149:OBY393157 OLU393149:OLU393157 OVQ393149:OVQ393157 PFM393149:PFM393157 PPI393149:PPI393157 PZE393149:PZE393157 QJA393149:QJA393157 QSW393149:QSW393157 RCS393149:RCS393157 RMO393149:RMO393157 RWK393149:RWK393157 SGG393149:SGG393157 SQC393149:SQC393157 SZY393149:SZY393157 TJU393149:TJU393157 TTQ393149:TTQ393157 UDM393149:UDM393157 UNI393149:UNI393157 UXE393149:UXE393157 VHA393149:VHA393157 VQW393149:VQW393157 WAS393149:WAS393157 WKO393149:WKO393157 WUK393149:WUK393157 HY458685:HY458693 RU458685:RU458693 ABQ458685:ABQ458693 ALM458685:ALM458693 AVI458685:AVI458693 BFE458685:BFE458693 BPA458685:BPA458693 BYW458685:BYW458693 CIS458685:CIS458693 CSO458685:CSO458693 DCK458685:DCK458693 DMG458685:DMG458693 DWC458685:DWC458693 EFY458685:EFY458693 EPU458685:EPU458693 EZQ458685:EZQ458693 FJM458685:FJM458693 FTI458685:FTI458693 GDE458685:GDE458693 GNA458685:GNA458693 GWW458685:GWW458693 HGS458685:HGS458693 HQO458685:HQO458693 IAK458685:IAK458693 IKG458685:IKG458693 IUC458685:IUC458693 JDY458685:JDY458693 JNU458685:JNU458693 JXQ458685:JXQ458693 KHM458685:KHM458693 KRI458685:KRI458693 LBE458685:LBE458693 LLA458685:LLA458693 LUW458685:LUW458693 MES458685:MES458693 MOO458685:MOO458693 MYK458685:MYK458693 NIG458685:NIG458693 NSC458685:NSC458693 OBY458685:OBY458693 OLU458685:OLU458693 OVQ458685:OVQ458693 PFM458685:PFM458693 PPI458685:PPI458693 PZE458685:PZE458693 QJA458685:QJA458693 QSW458685:QSW458693 RCS458685:RCS458693 RMO458685:RMO458693 RWK458685:RWK458693 SGG458685:SGG458693 SQC458685:SQC458693 SZY458685:SZY458693 TJU458685:TJU458693 TTQ458685:TTQ458693 UDM458685:UDM458693 UNI458685:UNI458693 UXE458685:UXE458693 VHA458685:VHA458693 VQW458685:VQW458693 WAS458685:WAS458693 WKO458685:WKO458693 WUK458685:WUK458693 HY524221:HY524229 RU524221:RU524229 ABQ524221:ABQ524229 ALM524221:ALM524229 AVI524221:AVI524229 BFE524221:BFE524229 BPA524221:BPA524229 BYW524221:BYW524229 CIS524221:CIS524229 CSO524221:CSO524229 DCK524221:DCK524229 DMG524221:DMG524229 DWC524221:DWC524229 EFY524221:EFY524229 EPU524221:EPU524229 EZQ524221:EZQ524229 FJM524221:FJM524229 FTI524221:FTI524229 GDE524221:GDE524229 GNA524221:GNA524229 GWW524221:GWW524229 HGS524221:HGS524229 HQO524221:HQO524229 IAK524221:IAK524229 IKG524221:IKG524229 IUC524221:IUC524229 JDY524221:JDY524229 JNU524221:JNU524229 JXQ524221:JXQ524229 KHM524221:KHM524229 KRI524221:KRI524229 LBE524221:LBE524229 LLA524221:LLA524229 LUW524221:LUW524229 MES524221:MES524229 MOO524221:MOO524229 MYK524221:MYK524229 NIG524221:NIG524229 NSC524221:NSC524229 OBY524221:OBY524229 OLU524221:OLU524229 OVQ524221:OVQ524229 PFM524221:PFM524229 PPI524221:PPI524229 PZE524221:PZE524229 QJA524221:QJA524229 QSW524221:QSW524229 RCS524221:RCS524229 RMO524221:RMO524229 RWK524221:RWK524229 SGG524221:SGG524229 SQC524221:SQC524229 SZY524221:SZY524229 TJU524221:TJU524229 TTQ524221:TTQ524229 UDM524221:UDM524229 UNI524221:UNI524229 UXE524221:UXE524229 VHA524221:VHA524229 VQW524221:VQW524229 WAS524221:WAS524229 WKO524221:WKO524229 WUK524221:WUK524229 HY589757:HY589765 RU589757:RU589765 ABQ589757:ABQ589765 ALM589757:ALM589765 AVI589757:AVI589765 BFE589757:BFE589765 BPA589757:BPA589765 BYW589757:BYW589765 CIS589757:CIS589765 CSO589757:CSO589765 DCK589757:DCK589765 DMG589757:DMG589765 DWC589757:DWC589765 EFY589757:EFY589765 EPU589757:EPU589765 EZQ589757:EZQ589765 FJM589757:FJM589765 FTI589757:FTI589765 GDE589757:GDE589765 GNA589757:GNA589765 GWW589757:GWW589765 HGS589757:HGS589765 HQO589757:HQO589765 IAK589757:IAK589765 IKG589757:IKG589765 IUC589757:IUC589765 JDY589757:JDY589765 JNU589757:JNU589765 JXQ589757:JXQ589765 KHM589757:KHM589765 KRI589757:KRI589765 LBE589757:LBE589765 LLA589757:LLA589765 LUW589757:LUW589765 MES589757:MES589765 MOO589757:MOO589765 MYK589757:MYK589765 NIG589757:NIG589765 NSC589757:NSC589765 OBY589757:OBY589765 OLU589757:OLU589765 OVQ589757:OVQ589765 PFM589757:PFM589765 PPI589757:PPI589765 PZE589757:PZE589765 QJA589757:QJA589765 QSW589757:QSW589765 RCS589757:RCS589765 RMO589757:RMO589765 RWK589757:RWK589765 SGG589757:SGG589765 SQC589757:SQC589765 SZY589757:SZY589765 TJU589757:TJU589765 TTQ589757:TTQ589765 UDM589757:UDM589765 UNI589757:UNI589765 UXE589757:UXE589765 VHA589757:VHA589765 VQW589757:VQW589765 WAS589757:WAS589765 WKO589757:WKO589765 WUK589757:WUK589765 HY655293:HY655301 RU655293:RU655301 ABQ655293:ABQ655301 ALM655293:ALM655301 AVI655293:AVI655301 BFE655293:BFE655301 BPA655293:BPA655301 BYW655293:BYW655301 CIS655293:CIS655301 CSO655293:CSO655301 DCK655293:DCK655301 DMG655293:DMG655301 DWC655293:DWC655301 EFY655293:EFY655301 EPU655293:EPU655301 EZQ655293:EZQ655301 FJM655293:FJM655301 FTI655293:FTI655301 GDE655293:GDE655301 GNA655293:GNA655301 GWW655293:GWW655301 HGS655293:HGS655301 HQO655293:HQO655301 IAK655293:IAK655301 IKG655293:IKG655301 IUC655293:IUC655301 JDY655293:JDY655301 JNU655293:JNU655301 JXQ655293:JXQ655301 KHM655293:KHM655301 KRI655293:KRI655301 LBE655293:LBE655301 LLA655293:LLA655301 LUW655293:LUW655301 MES655293:MES655301 MOO655293:MOO655301 MYK655293:MYK655301 NIG655293:NIG655301 NSC655293:NSC655301 OBY655293:OBY655301 OLU655293:OLU655301 OVQ655293:OVQ655301 PFM655293:PFM655301 PPI655293:PPI655301 PZE655293:PZE655301 QJA655293:QJA655301 QSW655293:QSW655301 RCS655293:RCS655301 RMO655293:RMO655301 RWK655293:RWK655301 SGG655293:SGG655301 SQC655293:SQC655301 SZY655293:SZY655301 TJU655293:TJU655301 TTQ655293:TTQ655301 UDM655293:UDM655301 UNI655293:UNI655301 UXE655293:UXE655301 VHA655293:VHA655301 VQW655293:VQW655301 WAS655293:WAS655301 WKO655293:WKO655301 WUK655293:WUK655301 HY720829:HY720837 RU720829:RU720837 ABQ720829:ABQ720837 ALM720829:ALM720837 AVI720829:AVI720837 BFE720829:BFE720837 BPA720829:BPA720837 BYW720829:BYW720837 CIS720829:CIS720837 CSO720829:CSO720837 DCK720829:DCK720837 DMG720829:DMG720837 DWC720829:DWC720837 EFY720829:EFY720837 EPU720829:EPU720837 EZQ720829:EZQ720837 FJM720829:FJM720837 FTI720829:FTI720837 GDE720829:GDE720837 GNA720829:GNA720837 GWW720829:GWW720837 HGS720829:HGS720837 HQO720829:HQO720837 IAK720829:IAK720837 IKG720829:IKG720837 IUC720829:IUC720837 JDY720829:JDY720837 JNU720829:JNU720837 JXQ720829:JXQ720837 KHM720829:KHM720837 KRI720829:KRI720837 LBE720829:LBE720837 LLA720829:LLA720837 LUW720829:LUW720837 MES720829:MES720837 MOO720829:MOO720837 MYK720829:MYK720837 NIG720829:NIG720837 NSC720829:NSC720837 OBY720829:OBY720837 OLU720829:OLU720837 OVQ720829:OVQ720837 PFM720829:PFM720837 PPI720829:PPI720837 PZE720829:PZE720837 QJA720829:QJA720837 QSW720829:QSW720837 RCS720829:RCS720837 RMO720829:RMO720837 RWK720829:RWK720837 SGG720829:SGG720837 SQC720829:SQC720837 SZY720829:SZY720837 TJU720829:TJU720837 TTQ720829:TTQ720837 UDM720829:UDM720837 UNI720829:UNI720837 UXE720829:UXE720837 VHA720829:VHA720837 VQW720829:VQW720837 WAS720829:WAS720837 WKO720829:WKO720837 WUK720829:WUK720837 HY786365:HY786373 RU786365:RU786373 ABQ786365:ABQ786373 ALM786365:ALM786373 AVI786365:AVI786373 BFE786365:BFE786373 BPA786365:BPA786373 BYW786365:BYW786373 CIS786365:CIS786373 CSO786365:CSO786373 DCK786365:DCK786373 DMG786365:DMG786373 DWC786365:DWC786373 EFY786365:EFY786373 EPU786365:EPU786373 EZQ786365:EZQ786373 FJM786365:FJM786373 FTI786365:FTI786373 GDE786365:GDE786373 GNA786365:GNA786373 GWW786365:GWW786373 HGS786365:HGS786373 HQO786365:HQO786373 IAK786365:IAK786373 IKG786365:IKG786373 IUC786365:IUC786373 JDY786365:JDY786373 JNU786365:JNU786373 JXQ786365:JXQ786373 KHM786365:KHM786373 KRI786365:KRI786373 LBE786365:LBE786373 LLA786365:LLA786373 LUW786365:LUW786373 MES786365:MES786373 MOO786365:MOO786373 MYK786365:MYK786373 NIG786365:NIG786373 NSC786365:NSC786373 OBY786365:OBY786373 OLU786365:OLU786373 OVQ786365:OVQ786373 PFM786365:PFM786373 PPI786365:PPI786373 PZE786365:PZE786373 QJA786365:QJA786373 QSW786365:QSW786373 RCS786365:RCS786373 RMO786365:RMO786373 RWK786365:RWK786373 SGG786365:SGG786373 SQC786365:SQC786373 SZY786365:SZY786373 TJU786365:TJU786373 TTQ786365:TTQ786373 UDM786365:UDM786373 UNI786365:UNI786373 UXE786365:UXE786373 VHA786365:VHA786373 VQW786365:VQW786373 WAS786365:WAS786373 WKO786365:WKO786373 WUK786365:WUK786373 HY851901:HY851909 RU851901:RU851909 ABQ851901:ABQ851909 ALM851901:ALM851909 AVI851901:AVI851909 BFE851901:BFE851909 BPA851901:BPA851909 BYW851901:BYW851909 CIS851901:CIS851909 CSO851901:CSO851909 DCK851901:DCK851909 DMG851901:DMG851909 DWC851901:DWC851909 EFY851901:EFY851909 EPU851901:EPU851909 EZQ851901:EZQ851909 FJM851901:FJM851909 FTI851901:FTI851909 GDE851901:GDE851909 GNA851901:GNA851909 GWW851901:GWW851909 HGS851901:HGS851909 HQO851901:HQO851909 IAK851901:IAK851909 IKG851901:IKG851909 IUC851901:IUC851909 JDY851901:JDY851909 JNU851901:JNU851909 JXQ851901:JXQ851909 KHM851901:KHM851909 KRI851901:KRI851909 LBE851901:LBE851909 LLA851901:LLA851909 LUW851901:LUW851909 MES851901:MES851909 MOO851901:MOO851909 MYK851901:MYK851909 NIG851901:NIG851909 NSC851901:NSC851909 OBY851901:OBY851909 OLU851901:OLU851909 OVQ851901:OVQ851909 PFM851901:PFM851909 PPI851901:PPI851909 PZE851901:PZE851909 QJA851901:QJA851909 QSW851901:QSW851909 RCS851901:RCS851909 RMO851901:RMO851909 RWK851901:RWK851909 SGG851901:SGG851909 SQC851901:SQC851909 SZY851901:SZY851909 TJU851901:TJU851909 TTQ851901:TTQ851909 UDM851901:UDM851909 UNI851901:UNI851909 UXE851901:UXE851909 VHA851901:VHA851909 VQW851901:VQW851909 WAS851901:WAS851909 WKO851901:WKO851909 WUK851901:WUK851909 HY917437:HY917445 RU917437:RU917445 ABQ917437:ABQ917445 ALM917437:ALM917445 AVI917437:AVI917445 BFE917437:BFE917445 BPA917437:BPA917445 BYW917437:BYW917445 CIS917437:CIS917445 CSO917437:CSO917445 DCK917437:DCK917445 DMG917437:DMG917445 DWC917437:DWC917445 EFY917437:EFY917445 EPU917437:EPU917445 EZQ917437:EZQ917445 FJM917437:FJM917445 FTI917437:FTI917445 GDE917437:GDE917445 GNA917437:GNA917445 GWW917437:GWW917445 HGS917437:HGS917445 HQO917437:HQO917445 IAK917437:IAK917445 IKG917437:IKG917445 IUC917437:IUC917445 JDY917437:JDY917445 JNU917437:JNU917445 JXQ917437:JXQ917445 KHM917437:KHM917445 KRI917437:KRI917445 LBE917437:LBE917445 LLA917437:LLA917445 LUW917437:LUW917445 MES917437:MES917445 MOO917437:MOO917445 MYK917437:MYK917445 NIG917437:NIG917445 NSC917437:NSC917445 OBY917437:OBY917445 OLU917437:OLU917445 OVQ917437:OVQ917445 PFM917437:PFM917445 PPI917437:PPI917445 PZE917437:PZE917445 QJA917437:QJA917445 QSW917437:QSW917445 RCS917437:RCS917445 RMO917437:RMO917445 RWK917437:RWK917445 SGG917437:SGG917445 SQC917437:SQC917445 SZY917437:SZY917445 TJU917437:TJU917445 TTQ917437:TTQ917445 UDM917437:UDM917445 UNI917437:UNI917445 UXE917437:UXE917445 VHA917437:VHA917445 VQW917437:VQW917445 WAS917437:WAS917445 WKO917437:WKO917445 WUK917437:WUK917445 HY982973:HY982981 RU982973:RU982981 ABQ982973:ABQ982981 ALM982973:ALM982981 AVI982973:AVI982981 BFE982973:BFE982981 BPA982973:BPA982981 BYW982973:BYW982981 CIS982973:CIS982981 CSO982973:CSO982981 DCK982973:DCK982981 DMG982973:DMG982981 DWC982973:DWC982981 EFY982973:EFY982981 EPU982973:EPU982981 EZQ982973:EZQ982981 FJM982973:FJM982981 FTI982973:FTI982981 GDE982973:GDE982981 GNA982973:GNA982981 GWW982973:GWW982981 HGS982973:HGS982981 HQO982973:HQO982981 IAK982973:IAK982981 IKG982973:IKG982981 IUC982973:IUC982981 JDY982973:JDY982981 JNU982973:JNU982981 JXQ982973:JXQ982981 KHM982973:KHM982981 KRI982973:KRI982981 LBE982973:LBE982981 LLA982973:LLA982981 LUW982973:LUW982981 MES982973:MES982981 MOO982973:MOO982981 MYK982973:MYK982981 NIG982973:NIG982981 NSC982973:NSC982981 OBY982973:OBY982981 OLU982973:OLU982981 OVQ982973:OVQ982981 PFM982973:PFM982981 PPI982973:PPI982981 PZE982973:PZE982981 QJA982973:QJA982981 QSW982973:QSW982981 RCS982973:RCS982981 RMO982973:RMO982981 RWK982973:RWK982981 SGG982973:SGG982981 SQC982973:SQC982981 SZY982973:SZY982981 TJU982973:TJU982981 TTQ982973:TTQ982981 UDM982973:UDM982981 UNI982973:UNI982981 UXE982973:UXE982981 VHA982973:VHA982981 VQW982973:VQW982981 WAS982973:WAS982981 WKO982973:WKO982981 WUK9:WUK10 WKO9:WKO10 WAS9:WAS10 VQW9:VQW10 VHA9:VHA10 UXE9:UXE10 UNI9:UNI10 UDM9:UDM10 TTQ9:TTQ10 TJU9:TJU10 SZY9:SZY10 SQC9:SQC10 SGG9:SGG10 RWK9:RWK10 RMO9:RMO10 RCS9:RCS10 QSW9:QSW10 QJA9:QJA10 PZE9:PZE10 PPI9:PPI10 PFM9:PFM10 OVQ9:OVQ10 OLU9:OLU10 OBY9:OBY10 NSC9:NSC10 NIG9:NIG10 MYK9:MYK10 MOO9:MOO10 MES9:MES10 LUW9:LUW10 LLA9:LLA10 LBE9:LBE10 KRI9:KRI10 KHM9:KHM10 JXQ9:JXQ10 JNU9:JNU10 JDY9:JDY10 IUC9:IUC10 IKG9:IKG10 IAK9:IAK10 HQO9:HQO10 HGS9:HGS10 GWW9:GWW10 GNA9:GNA10 GDE9:GDE10 FTI9:FTI10 FJM9:FJM10 EZQ9:EZQ10 EPU9:EPU10 EFY9:EFY10 DWC9:DWC10 DMG9:DMG10 DCK9:DCK10 CSO9:CSO10 CIS9:CIS10 BYW9:BYW10 BPA9:BPA10 BFE9:BFE10 AVI9:AVI10 ALM9:ALM10 ABQ9:ABQ10 RU9:RU10 HY9:HY10" xr:uid="{00000000-0002-0000-0400-000000000000}"/>
    <dataValidation allowBlank="1" showInputMessage="1" showErrorMessage="1" prompt="definir la unidad de medida con la cual se asigna el valor unitario." sqref="WUM982973:WUM982981 B65458:B65466 IA65458:IA65466 RW65458:RW65466 ABS65458:ABS65466 ALO65458:ALO65466 AVK65458:AVK65466 BFG65458:BFG65466 BPC65458:BPC65466 BYY65458:BYY65466 CIU65458:CIU65466 CSQ65458:CSQ65466 DCM65458:DCM65466 DMI65458:DMI65466 DWE65458:DWE65466 EGA65458:EGA65466 EPW65458:EPW65466 EZS65458:EZS65466 FJO65458:FJO65466 FTK65458:FTK65466 GDG65458:GDG65466 GNC65458:GNC65466 GWY65458:GWY65466 HGU65458:HGU65466 HQQ65458:HQQ65466 IAM65458:IAM65466 IKI65458:IKI65466 IUE65458:IUE65466 JEA65458:JEA65466 JNW65458:JNW65466 JXS65458:JXS65466 KHO65458:KHO65466 KRK65458:KRK65466 LBG65458:LBG65466 LLC65458:LLC65466 LUY65458:LUY65466 MEU65458:MEU65466 MOQ65458:MOQ65466 MYM65458:MYM65466 NII65458:NII65466 NSE65458:NSE65466 OCA65458:OCA65466 OLW65458:OLW65466 OVS65458:OVS65466 PFO65458:PFO65466 PPK65458:PPK65466 PZG65458:PZG65466 QJC65458:QJC65466 QSY65458:QSY65466 RCU65458:RCU65466 RMQ65458:RMQ65466 RWM65458:RWM65466 SGI65458:SGI65466 SQE65458:SQE65466 TAA65458:TAA65466 TJW65458:TJW65466 TTS65458:TTS65466 UDO65458:UDO65466 UNK65458:UNK65466 UXG65458:UXG65466 VHC65458:VHC65466 VQY65458:VQY65466 WAU65458:WAU65466 WKQ65458:WKQ65466 WUM65458:WUM65466 B130994:B131002 IA130994:IA131002 RW130994:RW131002 ABS130994:ABS131002 ALO130994:ALO131002 AVK130994:AVK131002 BFG130994:BFG131002 BPC130994:BPC131002 BYY130994:BYY131002 CIU130994:CIU131002 CSQ130994:CSQ131002 DCM130994:DCM131002 DMI130994:DMI131002 DWE130994:DWE131002 EGA130994:EGA131002 EPW130994:EPW131002 EZS130994:EZS131002 FJO130994:FJO131002 FTK130994:FTK131002 GDG130994:GDG131002 GNC130994:GNC131002 GWY130994:GWY131002 HGU130994:HGU131002 HQQ130994:HQQ131002 IAM130994:IAM131002 IKI130994:IKI131002 IUE130994:IUE131002 JEA130994:JEA131002 JNW130994:JNW131002 JXS130994:JXS131002 KHO130994:KHO131002 KRK130994:KRK131002 LBG130994:LBG131002 LLC130994:LLC131002 LUY130994:LUY131002 MEU130994:MEU131002 MOQ130994:MOQ131002 MYM130994:MYM131002 NII130994:NII131002 NSE130994:NSE131002 OCA130994:OCA131002 OLW130994:OLW131002 OVS130994:OVS131002 PFO130994:PFO131002 PPK130994:PPK131002 PZG130994:PZG131002 QJC130994:QJC131002 QSY130994:QSY131002 RCU130994:RCU131002 RMQ130994:RMQ131002 RWM130994:RWM131002 SGI130994:SGI131002 SQE130994:SQE131002 TAA130994:TAA131002 TJW130994:TJW131002 TTS130994:TTS131002 UDO130994:UDO131002 UNK130994:UNK131002 UXG130994:UXG131002 VHC130994:VHC131002 VQY130994:VQY131002 WAU130994:WAU131002 WKQ130994:WKQ131002 WUM130994:WUM131002 B196530:B196538 IA196530:IA196538 RW196530:RW196538 ABS196530:ABS196538 ALO196530:ALO196538 AVK196530:AVK196538 BFG196530:BFG196538 BPC196530:BPC196538 BYY196530:BYY196538 CIU196530:CIU196538 CSQ196530:CSQ196538 DCM196530:DCM196538 DMI196530:DMI196538 DWE196530:DWE196538 EGA196530:EGA196538 EPW196530:EPW196538 EZS196530:EZS196538 FJO196530:FJO196538 FTK196530:FTK196538 GDG196530:GDG196538 GNC196530:GNC196538 GWY196530:GWY196538 HGU196530:HGU196538 HQQ196530:HQQ196538 IAM196530:IAM196538 IKI196530:IKI196538 IUE196530:IUE196538 JEA196530:JEA196538 JNW196530:JNW196538 JXS196530:JXS196538 KHO196530:KHO196538 KRK196530:KRK196538 LBG196530:LBG196538 LLC196530:LLC196538 LUY196530:LUY196538 MEU196530:MEU196538 MOQ196530:MOQ196538 MYM196530:MYM196538 NII196530:NII196538 NSE196530:NSE196538 OCA196530:OCA196538 OLW196530:OLW196538 OVS196530:OVS196538 PFO196530:PFO196538 PPK196530:PPK196538 PZG196530:PZG196538 QJC196530:QJC196538 QSY196530:QSY196538 RCU196530:RCU196538 RMQ196530:RMQ196538 RWM196530:RWM196538 SGI196530:SGI196538 SQE196530:SQE196538 TAA196530:TAA196538 TJW196530:TJW196538 TTS196530:TTS196538 UDO196530:UDO196538 UNK196530:UNK196538 UXG196530:UXG196538 VHC196530:VHC196538 VQY196530:VQY196538 WAU196530:WAU196538 WKQ196530:WKQ196538 WUM196530:WUM196538 B262066:B262074 IA262066:IA262074 RW262066:RW262074 ABS262066:ABS262074 ALO262066:ALO262074 AVK262066:AVK262074 BFG262066:BFG262074 BPC262066:BPC262074 BYY262066:BYY262074 CIU262066:CIU262074 CSQ262066:CSQ262074 DCM262066:DCM262074 DMI262066:DMI262074 DWE262066:DWE262074 EGA262066:EGA262074 EPW262066:EPW262074 EZS262066:EZS262074 FJO262066:FJO262074 FTK262066:FTK262074 GDG262066:GDG262074 GNC262066:GNC262074 GWY262066:GWY262074 HGU262066:HGU262074 HQQ262066:HQQ262074 IAM262066:IAM262074 IKI262066:IKI262074 IUE262066:IUE262074 JEA262066:JEA262074 JNW262066:JNW262074 JXS262066:JXS262074 KHO262066:KHO262074 KRK262066:KRK262074 LBG262066:LBG262074 LLC262066:LLC262074 LUY262066:LUY262074 MEU262066:MEU262074 MOQ262066:MOQ262074 MYM262066:MYM262074 NII262066:NII262074 NSE262066:NSE262074 OCA262066:OCA262074 OLW262066:OLW262074 OVS262066:OVS262074 PFO262066:PFO262074 PPK262066:PPK262074 PZG262066:PZG262074 QJC262066:QJC262074 QSY262066:QSY262074 RCU262066:RCU262074 RMQ262066:RMQ262074 RWM262066:RWM262074 SGI262066:SGI262074 SQE262066:SQE262074 TAA262066:TAA262074 TJW262066:TJW262074 TTS262066:TTS262074 UDO262066:UDO262074 UNK262066:UNK262074 UXG262066:UXG262074 VHC262066:VHC262074 VQY262066:VQY262074 WAU262066:WAU262074 WKQ262066:WKQ262074 WUM262066:WUM262074 B327602:B327610 IA327602:IA327610 RW327602:RW327610 ABS327602:ABS327610 ALO327602:ALO327610 AVK327602:AVK327610 BFG327602:BFG327610 BPC327602:BPC327610 BYY327602:BYY327610 CIU327602:CIU327610 CSQ327602:CSQ327610 DCM327602:DCM327610 DMI327602:DMI327610 DWE327602:DWE327610 EGA327602:EGA327610 EPW327602:EPW327610 EZS327602:EZS327610 FJO327602:FJO327610 FTK327602:FTK327610 GDG327602:GDG327610 GNC327602:GNC327610 GWY327602:GWY327610 HGU327602:HGU327610 HQQ327602:HQQ327610 IAM327602:IAM327610 IKI327602:IKI327610 IUE327602:IUE327610 JEA327602:JEA327610 JNW327602:JNW327610 JXS327602:JXS327610 KHO327602:KHO327610 KRK327602:KRK327610 LBG327602:LBG327610 LLC327602:LLC327610 LUY327602:LUY327610 MEU327602:MEU327610 MOQ327602:MOQ327610 MYM327602:MYM327610 NII327602:NII327610 NSE327602:NSE327610 OCA327602:OCA327610 OLW327602:OLW327610 OVS327602:OVS327610 PFO327602:PFO327610 PPK327602:PPK327610 PZG327602:PZG327610 QJC327602:QJC327610 QSY327602:QSY327610 RCU327602:RCU327610 RMQ327602:RMQ327610 RWM327602:RWM327610 SGI327602:SGI327610 SQE327602:SQE327610 TAA327602:TAA327610 TJW327602:TJW327610 TTS327602:TTS327610 UDO327602:UDO327610 UNK327602:UNK327610 UXG327602:UXG327610 VHC327602:VHC327610 VQY327602:VQY327610 WAU327602:WAU327610 WKQ327602:WKQ327610 WUM327602:WUM327610 B393138:B393146 IA393138:IA393146 RW393138:RW393146 ABS393138:ABS393146 ALO393138:ALO393146 AVK393138:AVK393146 BFG393138:BFG393146 BPC393138:BPC393146 BYY393138:BYY393146 CIU393138:CIU393146 CSQ393138:CSQ393146 DCM393138:DCM393146 DMI393138:DMI393146 DWE393138:DWE393146 EGA393138:EGA393146 EPW393138:EPW393146 EZS393138:EZS393146 FJO393138:FJO393146 FTK393138:FTK393146 GDG393138:GDG393146 GNC393138:GNC393146 GWY393138:GWY393146 HGU393138:HGU393146 HQQ393138:HQQ393146 IAM393138:IAM393146 IKI393138:IKI393146 IUE393138:IUE393146 JEA393138:JEA393146 JNW393138:JNW393146 JXS393138:JXS393146 KHO393138:KHO393146 KRK393138:KRK393146 LBG393138:LBG393146 LLC393138:LLC393146 LUY393138:LUY393146 MEU393138:MEU393146 MOQ393138:MOQ393146 MYM393138:MYM393146 NII393138:NII393146 NSE393138:NSE393146 OCA393138:OCA393146 OLW393138:OLW393146 OVS393138:OVS393146 PFO393138:PFO393146 PPK393138:PPK393146 PZG393138:PZG393146 QJC393138:QJC393146 QSY393138:QSY393146 RCU393138:RCU393146 RMQ393138:RMQ393146 RWM393138:RWM393146 SGI393138:SGI393146 SQE393138:SQE393146 TAA393138:TAA393146 TJW393138:TJW393146 TTS393138:TTS393146 UDO393138:UDO393146 UNK393138:UNK393146 UXG393138:UXG393146 VHC393138:VHC393146 VQY393138:VQY393146 WAU393138:WAU393146 WKQ393138:WKQ393146 WUM393138:WUM393146 B458674:B458682 IA458674:IA458682 RW458674:RW458682 ABS458674:ABS458682 ALO458674:ALO458682 AVK458674:AVK458682 BFG458674:BFG458682 BPC458674:BPC458682 BYY458674:BYY458682 CIU458674:CIU458682 CSQ458674:CSQ458682 DCM458674:DCM458682 DMI458674:DMI458682 DWE458674:DWE458682 EGA458674:EGA458682 EPW458674:EPW458682 EZS458674:EZS458682 FJO458674:FJO458682 FTK458674:FTK458682 GDG458674:GDG458682 GNC458674:GNC458682 GWY458674:GWY458682 HGU458674:HGU458682 HQQ458674:HQQ458682 IAM458674:IAM458682 IKI458674:IKI458682 IUE458674:IUE458682 JEA458674:JEA458682 JNW458674:JNW458682 JXS458674:JXS458682 KHO458674:KHO458682 KRK458674:KRK458682 LBG458674:LBG458682 LLC458674:LLC458682 LUY458674:LUY458682 MEU458674:MEU458682 MOQ458674:MOQ458682 MYM458674:MYM458682 NII458674:NII458682 NSE458674:NSE458682 OCA458674:OCA458682 OLW458674:OLW458682 OVS458674:OVS458682 PFO458674:PFO458682 PPK458674:PPK458682 PZG458674:PZG458682 QJC458674:QJC458682 QSY458674:QSY458682 RCU458674:RCU458682 RMQ458674:RMQ458682 RWM458674:RWM458682 SGI458674:SGI458682 SQE458674:SQE458682 TAA458674:TAA458682 TJW458674:TJW458682 TTS458674:TTS458682 UDO458674:UDO458682 UNK458674:UNK458682 UXG458674:UXG458682 VHC458674:VHC458682 VQY458674:VQY458682 WAU458674:WAU458682 WKQ458674:WKQ458682 WUM458674:WUM458682 B524210:B524218 IA524210:IA524218 RW524210:RW524218 ABS524210:ABS524218 ALO524210:ALO524218 AVK524210:AVK524218 BFG524210:BFG524218 BPC524210:BPC524218 BYY524210:BYY524218 CIU524210:CIU524218 CSQ524210:CSQ524218 DCM524210:DCM524218 DMI524210:DMI524218 DWE524210:DWE524218 EGA524210:EGA524218 EPW524210:EPW524218 EZS524210:EZS524218 FJO524210:FJO524218 FTK524210:FTK524218 GDG524210:GDG524218 GNC524210:GNC524218 GWY524210:GWY524218 HGU524210:HGU524218 HQQ524210:HQQ524218 IAM524210:IAM524218 IKI524210:IKI524218 IUE524210:IUE524218 JEA524210:JEA524218 JNW524210:JNW524218 JXS524210:JXS524218 KHO524210:KHO524218 KRK524210:KRK524218 LBG524210:LBG524218 LLC524210:LLC524218 LUY524210:LUY524218 MEU524210:MEU524218 MOQ524210:MOQ524218 MYM524210:MYM524218 NII524210:NII524218 NSE524210:NSE524218 OCA524210:OCA524218 OLW524210:OLW524218 OVS524210:OVS524218 PFO524210:PFO524218 PPK524210:PPK524218 PZG524210:PZG524218 QJC524210:QJC524218 QSY524210:QSY524218 RCU524210:RCU524218 RMQ524210:RMQ524218 RWM524210:RWM524218 SGI524210:SGI524218 SQE524210:SQE524218 TAA524210:TAA524218 TJW524210:TJW524218 TTS524210:TTS524218 UDO524210:UDO524218 UNK524210:UNK524218 UXG524210:UXG524218 VHC524210:VHC524218 VQY524210:VQY524218 WAU524210:WAU524218 WKQ524210:WKQ524218 WUM524210:WUM524218 B589746:B589754 IA589746:IA589754 RW589746:RW589754 ABS589746:ABS589754 ALO589746:ALO589754 AVK589746:AVK589754 BFG589746:BFG589754 BPC589746:BPC589754 BYY589746:BYY589754 CIU589746:CIU589754 CSQ589746:CSQ589754 DCM589746:DCM589754 DMI589746:DMI589754 DWE589746:DWE589754 EGA589746:EGA589754 EPW589746:EPW589754 EZS589746:EZS589754 FJO589746:FJO589754 FTK589746:FTK589754 GDG589746:GDG589754 GNC589746:GNC589754 GWY589746:GWY589754 HGU589746:HGU589754 HQQ589746:HQQ589754 IAM589746:IAM589754 IKI589746:IKI589754 IUE589746:IUE589754 JEA589746:JEA589754 JNW589746:JNW589754 JXS589746:JXS589754 KHO589746:KHO589754 KRK589746:KRK589754 LBG589746:LBG589754 LLC589746:LLC589754 LUY589746:LUY589754 MEU589746:MEU589754 MOQ589746:MOQ589754 MYM589746:MYM589754 NII589746:NII589754 NSE589746:NSE589754 OCA589746:OCA589754 OLW589746:OLW589754 OVS589746:OVS589754 PFO589746:PFO589754 PPK589746:PPK589754 PZG589746:PZG589754 QJC589746:QJC589754 QSY589746:QSY589754 RCU589746:RCU589754 RMQ589746:RMQ589754 RWM589746:RWM589754 SGI589746:SGI589754 SQE589746:SQE589754 TAA589746:TAA589754 TJW589746:TJW589754 TTS589746:TTS589754 UDO589746:UDO589754 UNK589746:UNK589754 UXG589746:UXG589754 VHC589746:VHC589754 VQY589746:VQY589754 WAU589746:WAU589754 WKQ589746:WKQ589754 WUM589746:WUM589754 B655282:B655290 IA655282:IA655290 RW655282:RW655290 ABS655282:ABS655290 ALO655282:ALO655290 AVK655282:AVK655290 BFG655282:BFG655290 BPC655282:BPC655290 BYY655282:BYY655290 CIU655282:CIU655290 CSQ655282:CSQ655290 DCM655282:DCM655290 DMI655282:DMI655290 DWE655282:DWE655290 EGA655282:EGA655290 EPW655282:EPW655290 EZS655282:EZS655290 FJO655282:FJO655290 FTK655282:FTK655290 GDG655282:GDG655290 GNC655282:GNC655290 GWY655282:GWY655290 HGU655282:HGU655290 HQQ655282:HQQ655290 IAM655282:IAM655290 IKI655282:IKI655290 IUE655282:IUE655290 JEA655282:JEA655290 JNW655282:JNW655290 JXS655282:JXS655290 KHO655282:KHO655290 KRK655282:KRK655290 LBG655282:LBG655290 LLC655282:LLC655290 LUY655282:LUY655290 MEU655282:MEU655290 MOQ655282:MOQ655290 MYM655282:MYM655290 NII655282:NII655290 NSE655282:NSE655290 OCA655282:OCA655290 OLW655282:OLW655290 OVS655282:OVS655290 PFO655282:PFO655290 PPK655282:PPK655290 PZG655282:PZG655290 QJC655282:QJC655290 QSY655282:QSY655290 RCU655282:RCU655290 RMQ655282:RMQ655290 RWM655282:RWM655290 SGI655282:SGI655290 SQE655282:SQE655290 TAA655282:TAA655290 TJW655282:TJW655290 TTS655282:TTS655290 UDO655282:UDO655290 UNK655282:UNK655290 UXG655282:UXG655290 VHC655282:VHC655290 VQY655282:VQY655290 WAU655282:WAU655290 WKQ655282:WKQ655290 WUM655282:WUM655290 B720818:B720826 IA720818:IA720826 RW720818:RW720826 ABS720818:ABS720826 ALO720818:ALO720826 AVK720818:AVK720826 BFG720818:BFG720826 BPC720818:BPC720826 BYY720818:BYY720826 CIU720818:CIU720826 CSQ720818:CSQ720826 DCM720818:DCM720826 DMI720818:DMI720826 DWE720818:DWE720826 EGA720818:EGA720826 EPW720818:EPW720826 EZS720818:EZS720826 FJO720818:FJO720826 FTK720818:FTK720826 GDG720818:GDG720826 GNC720818:GNC720826 GWY720818:GWY720826 HGU720818:HGU720826 HQQ720818:HQQ720826 IAM720818:IAM720826 IKI720818:IKI720826 IUE720818:IUE720826 JEA720818:JEA720826 JNW720818:JNW720826 JXS720818:JXS720826 KHO720818:KHO720826 KRK720818:KRK720826 LBG720818:LBG720826 LLC720818:LLC720826 LUY720818:LUY720826 MEU720818:MEU720826 MOQ720818:MOQ720826 MYM720818:MYM720826 NII720818:NII720826 NSE720818:NSE720826 OCA720818:OCA720826 OLW720818:OLW720826 OVS720818:OVS720826 PFO720818:PFO720826 PPK720818:PPK720826 PZG720818:PZG720826 QJC720818:QJC720826 QSY720818:QSY720826 RCU720818:RCU720826 RMQ720818:RMQ720826 RWM720818:RWM720826 SGI720818:SGI720826 SQE720818:SQE720826 TAA720818:TAA720826 TJW720818:TJW720826 TTS720818:TTS720826 UDO720818:UDO720826 UNK720818:UNK720826 UXG720818:UXG720826 VHC720818:VHC720826 VQY720818:VQY720826 WAU720818:WAU720826 WKQ720818:WKQ720826 WUM720818:WUM720826 B786354:B786362 IA786354:IA786362 RW786354:RW786362 ABS786354:ABS786362 ALO786354:ALO786362 AVK786354:AVK786362 BFG786354:BFG786362 BPC786354:BPC786362 BYY786354:BYY786362 CIU786354:CIU786362 CSQ786354:CSQ786362 DCM786354:DCM786362 DMI786354:DMI786362 DWE786354:DWE786362 EGA786354:EGA786362 EPW786354:EPW786362 EZS786354:EZS786362 FJO786354:FJO786362 FTK786354:FTK786362 GDG786354:GDG786362 GNC786354:GNC786362 GWY786354:GWY786362 HGU786354:HGU786362 HQQ786354:HQQ786362 IAM786354:IAM786362 IKI786354:IKI786362 IUE786354:IUE786362 JEA786354:JEA786362 JNW786354:JNW786362 JXS786354:JXS786362 KHO786354:KHO786362 KRK786354:KRK786362 LBG786354:LBG786362 LLC786354:LLC786362 LUY786354:LUY786362 MEU786354:MEU786362 MOQ786354:MOQ786362 MYM786354:MYM786362 NII786354:NII786362 NSE786354:NSE786362 OCA786354:OCA786362 OLW786354:OLW786362 OVS786354:OVS786362 PFO786354:PFO786362 PPK786354:PPK786362 PZG786354:PZG786362 QJC786354:QJC786362 QSY786354:QSY786362 RCU786354:RCU786362 RMQ786354:RMQ786362 RWM786354:RWM786362 SGI786354:SGI786362 SQE786354:SQE786362 TAA786354:TAA786362 TJW786354:TJW786362 TTS786354:TTS786362 UDO786354:UDO786362 UNK786354:UNK786362 UXG786354:UXG786362 VHC786354:VHC786362 VQY786354:VQY786362 WAU786354:WAU786362 WKQ786354:WKQ786362 WUM786354:WUM786362 B851890:B851898 IA851890:IA851898 RW851890:RW851898 ABS851890:ABS851898 ALO851890:ALO851898 AVK851890:AVK851898 BFG851890:BFG851898 BPC851890:BPC851898 BYY851890:BYY851898 CIU851890:CIU851898 CSQ851890:CSQ851898 DCM851890:DCM851898 DMI851890:DMI851898 DWE851890:DWE851898 EGA851890:EGA851898 EPW851890:EPW851898 EZS851890:EZS851898 FJO851890:FJO851898 FTK851890:FTK851898 GDG851890:GDG851898 GNC851890:GNC851898 GWY851890:GWY851898 HGU851890:HGU851898 HQQ851890:HQQ851898 IAM851890:IAM851898 IKI851890:IKI851898 IUE851890:IUE851898 JEA851890:JEA851898 JNW851890:JNW851898 JXS851890:JXS851898 KHO851890:KHO851898 KRK851890:KRK851898 LBG851890:LBG851898 LLC851890:LLC851898 LUY851890:LUY851898 MEU851890:MEU851898 MOQ851890:MOQ851898 MYM851890:MYM851898 NII851890:NII851898 NSE851890:NSE851898 OCA851890:OCA851898 OLW851890:OLW851898 OVS851890:OVS851898 PFO851890:PFO851898 PPK851890:PPK851898 PZG851890:PZG851898 QJC851890:QJC851898 QSY851890:QSY851898 RCU851890:RCU851898 RMQ851890:RMQ851898 RWM851890:RWM851898 SGI851890:SGI851898 SQE851890:SQE851898 TAA851890:TAA851898 TJW851890:TJW851898 TTS851890:TTS851898 UDO851890:UDO851898 UNK851890:UNK851898 UXG851890:UXG851898 VHC851890:VHC851898 VQY851890:VQY851898 WAU851890:WAU851898 WKQ851890:WKQ851898 WUM851890:WUM851898 B917426:B917434 IA917426:IA917434 RW917426:RW917434 ABS917426:ABS917434 ALO917426:ALO917434 AVK917426:AVK917434 BFG917426:BFG917434 BPC917426:BPC917434 BYY917426:BYY917434 CIU917426:CIU917434 CSQ917426:CSQ917434 DCM917426:DCM917434 DMI917426:DMI917434 DWE917426:DWE917434 EGA917426:EGA917434 EPW917426:EPW917434 EZS917426:EZS917434 FJO917426:FJO917434 FTK917426:FTK917434 GDG917426:GDG917434 GNC917426:GNC917434 GWY917426:GWY917434 HGU917426:HGU917434 HQQ917426:HQQ917434 IAM917426:IAM917434 IKI917426:IKI917434 IUE917426:IUE917434 JEA917426:JEA917434 JNW917426:JNW917434 JXS917426:JXS917434 KHO917426:KHO917434 KRK917426:KRK917434 LBG917426:LBG917434 LLC917426:LLC917434 LUY917426:LUY917434 MEU917426:MEU917434 MOQ917426:MOQ917434 MYM917426:MYM917434 NII917426:NII917434 NSE917426:NSE917434 OCA917426:OCA917434 OLW917426:OLW917434 OVS917426:OVS917434 PFO917426:PFO917434 PPK917426:PPK917434 PZG917426:PZG917434 QJC917426:QJC917434 QSY917426:QSY917434 RCU917426:RCU917434 RMQ917426:RMQ917434 RWM917426:RWM917434 SGI917426:SGI917434 SQE917426:SQE917434 TAA917426:TAA917434 TJW917426:TJW917434 TTS917426:TTS917434 UDO917426:UDO917434 UNK917426:UNK917434 UXG917426:UXG917434 VHC917426:VHC917434 VQY917426:VQY917434 WAU917426:WAU917434 WKQ917426:WKQ917434 WUM917426:WUM917434 B982962:B982970 IA982962:IA982970 RW982962:RW982970 ABS982962:ABS982970 ALO982962:ALO982970 AVK982962:AVK982970 BFG982962:BFG982970 BPC982962:BPC982970 BYY982962:BYY982970 CIU982962:CIU982970 CSQ982962:CSQ982970 DCM982962:DCM982970 DMI982962:DMI982970 DWE982962:DWE982970 EGA982962:EGA982970 EPW982962:EPW982970 EZS982962:EZS982970 FJO982962:FJO982970 FTK982962:FTK982970 GDG982962:GDG982970 GNC982962:GNC982970 GWY982962:GWY982970 HGU982962:HGU982970 HQQ982962:HQQ982970 IAM982962:IAM982970 IKI982962:IKI982970 IUE982962:IUE982970 JEA982962:JEA982970 JNW982962:JNW982970 JXS982962:JXS982970 KHO982962:KHO982970 KRK982962:KRK982970 LBG982962:LBG982970 LLC982962:LLC982970 LUY982962:LUY982970 MEU982962:MEU982970 MOQ982962:MOQ982970 MYM982962:MYM982970 NII982962:NII982970 NSE982962:NSE982970 OCA982962:OCA982970 OLW982962:OLW982970 OVS982962:OVS982970 PFO982962:PFO982970 PPK982962:PPK982970 PZG982962:PZG982970 QJC982962:QJC982970 QSY982962:QSY982970 RCU982962:RCU982970 RMQ982962:RMQ982970 RWM982962:RWM982970 SGI982962:SGI982970 SQE982962:SQE982970 TAA982962:TAA982970 TJW982962:TJW982970 TTS982962:TTS982970 UDO982962:UDO982970 UNK982962:UNK982970 UXG982962:UXG982970 VHC982962:VHC982970 VQY982962:VQY982970 WAU982962:WAU982970 WKQ982962:WKQ982970 WUM982962:WUM982970 B65469:B65477 IA65469:IA65477 RW65469:RW65477 ABS65469:ABS65477 ALO65469:ALO65477 AVK65469:AVK65477 BFG65469:BFG65477 BPC65469:BPC65477 BYY65469:BYY65477 CIU65469:CIU65477 CSQ65469:CSQ65477 DCM65469:DCM65477 DMI65469:DMI65477 DWE65469:DWE65477 EGA65469:EGA65477 EPW65469:EPW65477 EZS65469:EZS65477 FJO65469:FJO65477 FTK65469:FTK65477 GDG65469:GDG65477 GNC65469:GNC65477 GWY65469:GWY65477 HGU65469:HGU65477 HQQ65469:HQQ65477 IAM65469:IAM65477 IKI65469:IKI65477 IUE65469:IUE65477 JEA65469:JEA65477 JNW65469:JNW65477 JXS65469:JXS65477 KHO65469:KHO65477 KRK65469:KRK65477 LBG65469:LBG65477 LLC65469:LLC65477 LUY65469:LUY65477 MEU65469:MEU65477 MOQ65469:MOQ65477 MYM65469:MYM65477 NII65469:NII65477 NSE65469:NSE65477 OCA65469:OCA65477 OLW65469:OLW65477 OVS65469:OVS65477 PFO65469:PFO65477 PPK65469:PPK65477 PZG65469:PZG65477 QJC65469:QJC65477 QSY65469:QSY65477 RCU65469:RCU65477 RMQ65469:RMQ65477 RWM65469:RWM65477 SGI65469:SGI65477 SQE65469:SQE65477 TAA65469:TAA65477 TJW65469:TJW65477 TTS65469:TTS65477 UDO65469:UDO65477 UNK65469:UNK65477 UXG65469:UXG65477 VHC65469:VHC65477 VQY65469:VQY65477 WAU65469:WAU65477 WKQ65469:WKQ65477 WUM65469:WUM65477 B131005:B131013 IA131005:IA131013 RW131005:RW131013 ABS131005:ABS131013 ALO131005:ALO131013 AVK131005:AVK131013 BFG131005:BFG131013 BPC131005:BPC131013 BYY131005:BYY131013 CIU131005:CIU131013 CSQ131005:CSQ131013 DCM131005:DCM131013 DMI131005:DMI131013 DWE131005:DWE131013 EGA131005:EGA131013 EPW131005:EPW131013 EZS131005:EZS131013 FJO131005:FJO131013 FTK131005:FTK131013 GDG131005:GDG131013 GNC131005:GNC131013 GWY131005:GWY131013 HGU131005:HGU131013 HQQ131005:HQQ131013 IAM131005:IAM131013 IKI131005:IKI131013 IUE131005:IUE131013 JEA131005:JEA131013 JNW131005:JNW131013 JXS131005:JXS131013 KHO131005:KHO131013 KRK131005:KRK131013 LBG131005:LBG131013 LLC131005:LLC131013 LUY131005:LUY131013 MEU131005:MEU131013 MOQ131005:MOQ131013 MYM131005:MYM131013 NII131005:NII131013 NSE131005:NSE131013 OCA131005:OCA131013 OLW131005:OLW131013 OVS131005:OVS131013 PFO131005:PFO131013 PPK131005:PPK131013 PZG131005:PZG131013 QJC131005:QJC131013 QSY131005:QSY131013 RCU131005:RCU131013 RMQ131005:RMQ131013 RWM131005:RWM131013 SGI131005:SGI131013 SQE131005:SQE131013 TAA131005:TAA131013 TJW131005:TJW131013 TTS131005:TTS131013 UDO131005:UDO131013 UNK131005:UNK131013 UXG131005:UXG131013 VHC131005:VHC131013 VQY131005:VQY131013 WAU131005:WAU131013 WKQ131005:WKQ131013 WUM131005:WUM131013 B196541:B196549 IA196541:IA196549 RW196541:RW196549 ABS196541:ABS196549 ALO196541:ALO196549 AVK196541:AVK196549 BFG196541:BFG196549 BPC196541:BPC196549 BYY196541:BYY196549 CIU196541:CIU196549 CSQ196541:CSQ196549 DCM196541:DCM196549 DMI196541:DMI196549 DWE196541:DWE196549 EGA196541:EGA196549 EPW196541:EPW196549 EZS196541:EZS196549 FJO196541:FJO196549 FTK196541:FTK196549 GDG196541:GDG196549 GNC196541:GNC196549 GWY196541:GWY196549 HGU196541:HGU196549 HQQ196541:HQQ196549 IAM196541:IAM196549 IKI196541:IKI196549 IUE196541:IUE196549 JEA196541:JEA196549 JNW196541:JNW196549 JXS196541:JXS196549 KHO196541:KHO196549 KRK196541:KRK196549 LBG196541:LBG196549 LLC196541:LLC196549 LUY196541:LUY196549 MEU196541:MEU196549 MOQ196541:MOQ196549 MYM196541:MYM196549 NII196541:NII196549 NSE196541:NSE196549 OCA196541:OCA196549 OLW196541:OLW196549 OVS196541:OVS196549 PFO196541:PFO196549 PPK196541:PPK196549 PZG196541:PZG196549 QJC196541:QJC196549 QSY196541:QSY196549 RCU196541:RCU196549 RMQ196541:RMQ196549 RWM196541:RWM196549 SGI196541:SGI196549 SQE196541:SQE196549 TAA196541:TAA196549 TJW196541:TJW196549 TTS196541:TTS196549 UDO196541:UDO196549 UNK196541:UNK196549 UXG196541:UXG196549 VHC196541:VHC196549 VQY196541:VQY196549 WAU196541:WAU196549 WKQ196541:WKQ196549 WUM196541:WUM196549 B262077:B262085 IA262077:IA262085 RW262077:RW262085 ABS262077:ABS262085 ALO262077:ALO262085 AVK262077:AVK262085 BFG262077:BFG262085 BPC262077:BPC262085 BYY262077:BYY262085 CIU262077:CIU262085 CSQ262077:CSQ262085 DCM262077:DCM262085 DMI262077:DMI262085 DWE262077:DWE262085 EGA262077:EGA262085 EPW262077:EPW262085 EZS262077:EZS262085 FJO262077:FJO262085 FTK262077:FTK262085 GDG262077:GDG262085 GNC262077:GNC262085 GWY262077:GWY262085 HGU262077:HGU262085 HQQ262077:HQQ262085 IAM262077:IAM262085 IKI262077:IKI262085 IUE262077:IUE262085 JEA262077:JEA262085 JNW262077:JNW262085 JXS262077:JXS262085 KHO262077:KHO262085 KRK262077:KRK262085 LBG262077:LBG262085 LLC262077:LLC262085 LUY262077:LUY262085 MEU262077:MEU262085 MOQ262077:MOQ262085 MYM262077:MYM262085 NII262077:NII262085 NSE262077:NSE262085 OCA262077:OCA262085 OLW262077:OLW262085 OVS262077:OVS262085 PFO262077:PFO262085 PPK262077:PPK262085 PZG262077:PZG262085 QJC262077:QJC262085 QSY262077:QSY262085 RCU262077:RCU262085 RMQ262077:RMQ262085 RWM262077:RWM262085 SGI262077:SGI262085 SQE262077:SQE262085 TAA262077:TAA262085 TJW262077:TJW262085 TTS262077:TTS262085 UDO262077:UDO262085 UNK262077:UNK262085 UXG262077:UXG262085 VHC262077:VHC262085 VQY262077:VQY262085 WAU262077:WAU262085 WKQ262077:WKQ262085 WUM262077:WUM262085 B327613:B327621 IA327613:IA327621 RW327613:RW327621 ABS327613:ABS327621 ALO327613:ALO327621 AVK327613:AVK327621 BFG327613:BFG327621 BPC327613:BPC327621 BYY327613:BYY327621 CIU327613:CIU327621 CSQ327613:CSQ327621 DCM327613:DCM327621 DMI327613:DMI327621 DWE327613:DWE327621 EGA327613:EGA327621 EPW327613:EPW327621 EZS327613:EZS327621 FJO327613:FJO327621 FTK327613:FTK327621 GDG327613:GDG327621 GNC327613:GNC327621 GWY327613:GWY327621 HGU327613:HGU327621 HQQ327613:HQQ327621 IAM327613:IAM327621 IKI327613:IKI327621 IUE327613:IUE327621 JEA327613:JEA327621 JNW327613:JNW327621 JXS327613:JXS327621 KHO327613:KHO327621 KRK327613:KRK327621 LBG327613:LBG327621 LLC327613:LLC327621 LUY327613:LUY327621 MEU327613:MEU327621 MOQ327613:MOQ327621 MYM327613:MYM327621 NII327613:NII327621 NSE327613:NSE327621 OCA327613:OCA327621 OLW327613:OLW327621 OVS327613:OVS327621 PFO327613:PFO327621 PPK327613:PPK327621 PZG327613:PZG327621 QJC327613:QJC327621 QSY327613:QSY327621 RCU327613:RCU327621 RMQ327613:RMQ327621 RWM327613:RWM327621 SGI327613:SGI327621 SQE327613:SQE327621 TAA327613:TAA327621 TJW327613:TJW327621 TTS327613:TTS327621 UDO327613:UDO327621 UNK327613:UNK327621 UXG327613:UXG327621 VHC327613:VHC327621 VQY327613:VQY327621 WAU327613:WAU327621 WKQ327613:WKQ327621 WUM327613:WUM327621 B393149:B393157 IA393149:IA393157 RW393149:RW393157 ABS393149:ABS393157 ALO393149:ALO393157 AVK393149:AVK393157 BFG393149:BFG393157 BPC393149:BPC393157 BYY393149:BYY393157 CIU393149:CIU393157 CSQ393149:CSQ393157 DCM393149:DCM393157 DMI393149:DMI393157 DWE393149:DWE393157 EGA393149:EGA393157 EPW393149:EPW393157 EZS393149:EZS393157 FJO393149:FJO393157 FTK393149:FTK393157 GDG393149:GDG393157 GNC393149:GNC393157 GWY393149:GWY393157 HGU393149:HGU393157 HQQ393149:HQQ393157 IAM393149:IAM393157 IKI393149:IKI393157 IUE393149:IUE393157 JEA393149:JEA393157 JNW393149:JNW393157 JXS393149:JXS393157 KHO393149:KHO393157 KRK393149:KRK393157 LBG393149:LBG393157 LLC393149:LLC393157 LUY393149:LUY393157 MEU393149:MEU393157 MOQ393149:MOQ393157 MYM393149:MYM393157 NII393149:NII393157 NSE393149:NSE393157 OCA393149:OCA393157 OLW393149:OLW393157 OVS393149:OVS393157 PFO393149:PFO393157 PPK393149:PPK393157 PZG393149:PZG393157 QJC393149:QJC393157 QSY393149:QSY393157 RCU393149:RCU393157 RMQ393149:RMQ393157 RWM393149:RWM393157 SGI393149:SGI393157 SQE393149:SQE393157 TAA393149:TAA393157 TJW393149:TJW393157 TTS393149:TTS393157 UDO393149:UDO393157 UNK393149:UNK393157 UXG393149:UXG393157 VHC393149:VHC393157 VQY393149:VQY393157 WAU393149:WAU393157 WKQ393149:WKQ393157 WUM393149:WUM393157 B458685:B458693 IA458685:IA458693 RW458685:RW458693 ABS458685:ABS458693 ALO458685:ALO458693 AVK458685:AVK458693 BFG458685:BFG458693 BPC458685:BPC458693 BYY458685:BYY458693 CIU458685:CIU458693 CSQ458685:CSQ458693 DCM458685:DCM458693 DMI458685:DMI458693 DWE458685:DWE458693 EGA458685:EGA458693 EPW458685:EPW458693 EZS458685:EZS458693 FJO458685:FJO458693 FTK458685:FTK458693 GDG458685:GDG458693 GNC458685:GNC458693 GWY458685:GWY458693 HGU458685:HGU458693 HQQ458685:HQQ458693 IAM458685:IAM458693 IKI458685:IKI458693 IUE458685:IUE458693 JEA458685:JEA458693 JNW458685:JNW458693 JXS458685:JXS458693 KHO458685:KHO458693 KRK458685:KRK458693 LBG458685:LBG458693 LLC458685:LLC458693 LUY458685:LUY458693 MEU458685:MEU458693 MOQ458685:MOQ458693 MYM458685:MYM458693 NII458685:NII458693 NSE458685:NSE458693 OCA458685:OCA458693 OLW458685:OLW458693 OVS458685:OVS458693 PFO458685:PFO458693 PPK458685:PPK458693 PZG458685:PZG458693 QJC458685:QJC458693 QSY458685:QSY458693 RCU458685:RCU458693 RMQ458685:RMQ458693 RWM458685:RWM458693 SGI458685:SGI458693 SQE458685:SQE458693 TAA458685:TAA458693 TJW458685:TJW458693 TTS458685:TTS458693 UDO458685:UDO458693 UNK458685:UNK458693 UXG458685:UXG458693 VHC458685:VHC458693 VQY458685:VQY458693 WAU458685:WAU458693 WKQ458685:WKQ458693 WUM458685:WUM458693 B524221:B524229 IA524221:IA524229 RW524221:RW524229 ABS524221:ABS524229 ALO524221:ALO524229 AVK524221:AVK524229 BFG524221:BFG524229 BPC524221:BPC524229 BYY524221:BYY524229 CIU524221:CIU524229 CSQ524221:CSQ524229 DCM524221:DCM524229 DMI524221:DMI524229 DWE524221:DWE524229 EGA524221:EGA524229 EPW524221:EPW524229 EZS524221:EZS524229 FJO524221:FJO524229 FTK524221:FTK524229 GDG524221:GDG524229 GNC524221:GNC524229 GWY524221:GWY524229 HGU524221:HGU524229 HQQ524221:HQQ524229 IAM524221:IAM524229 IKI524221:IKI524229 IUE524221:IUE524229 JEA524221:JEA524229 JNW524221:JNW524229 JXS524221:JXS524229 KHO524221:KHO524229 KRK524221:KRK524229 LBG524221:LBG524229 LLC524221:LLC524229 LUY524221:LUY524229 MEU524221:MEU524229 MOQ524221:MOQ524229 MYM524221:MYM524229 NII524221:NII524229 NSE524221:NSE524229 OCA524221:OCA524229 OLW524221:OLW524229 OVS524221:OVS524229 PFO524221:PFO524229 PPK524221:PPK524229 PZG524221:PZG524229 QJC524221:QJC524229 QSY524221:QSY524229 RCU524221:RCU524229 RMQ524221:RMQ524229 RWM524221:RWM524229 SGI524221:SGI524229 SQE524221:SQE524229 TAA524221:TAA524229 TJW524221:TJW524229 TTS524221:TTS524229 UDO524221:UDO524229 UNK524221:UNK524229 UXG524221:UXG524229 VHC524221:VHC524229 VQY524221:VQY524229 WAU524221:WAU524229 WKQ524221:WKQ524229 WUM524221:WUM524229 B589757:B589765 IA589757:IA589765 RW589757:RW589765 ABS589757:ABS589765 ALO589757:ALO589765 AVK589757:AVK589765 BFG589757:BFG589765 BPC589757:BPC589765 BYY589757:BYY589765 CIU589757:CIU589765 CSQ589757:CSQ589765 DCM589757:DCM589765 DMI589757:DMI589765 DWE589757:DWE589765 EGA589757:EGA589765 EPW589757:EPW589765 EZS589757:EZS589765 FJO589757:FJO589765 FTK589757:FTK589765 GDG589757:GDG589765 GNC589757:GNC589765 GWY589757:GWY589765 HGU589757:HGU589765 HQQ589757:HQQ589765 IAM589757:IAM589765 IKI589757:IKI589765 IUE589757:IUE589765 JEA589757:JEA589765 JNW589757:JNW589765 JXS589757:JXS589765 KHO589757:KHO589765 KRK589757:KRK589765 LBG589757:LBG589765 LLC589757:LLC589765 LUY589757:LUY589765 MEU589757:MEU589765 MOQ589757:MOQ589765 MYM589757:MYM589765 NII589757:NII589765 NSE589757:NSE589765 OCA589757:OCA589765 OLW589757:OLW589765 OVS589757:OVS589765 PFO589757:PFO589765 PPK589757:PPK589765 PZG589757:PZG589765 QJC589757:QJC589765 QSY589757:QSY589765 RCU589757:RCU589765 RMQ589757:RMQ589765 RWM589757:RWM589765 SGI589757:SGI589765 SQE589757:SQE589765 TAA589757:TAA589765 TJW589757:TJW589765 TTS589757:TTS589765 UDO589757:UDO589765 UNK589757:UNK589765 UXG589757:UXG589765 VHC589757:VHC589765 VQY589757:VQY589765 WAU589757:WAU589765 WKQ589757:WKQ589765 WUM589757:WUM589765 B655293:B655301 IA655293:IA655301 RW655293:RW655301 ABS655293:ABS655301 ALO655293:ALO655301 AVK655293:AVK655301 BFG655293:BFG655301 BPC655293:BPC655301 BYY655293:BYY655301 CIU655293:CIU655301 CSQ655293:CSQ655301 DCM655293:DCM655301 DMI655293:DMI655301 DWE655293:DWE655301 EGA655293:EGA655301 EPW655293:EPW655301 EZS655293:EZS655301 FJO655293:FJO655301 FTK655293:FTK655301 GDG655293:GDG655301 GNC655293:GNC655301 GWY655293:GWY655301 HGU655293:HGU655301 HQQ655293:HQQ655301 IAM655293:IAM655301 IKI655293:IKI655301 IUE655293:IUE655301 JEA655293:JEA655301 JNW655293:JNW655301 JXS655293:JXS655301 KHO655293:KHO655301 KRK655293:KRK655301 LBG655293:LBG655301 LLC655293:LLC655301 LUY655293:LUY655301 MEU655293:MEU655301 MOQ655293:MOQ655301 MYM655293:MYM655301 NII655293:NII655301 NSE655293:NSE655301 OCA655293:OCA655301 OLW655293:OLW655301 OVS655293:OVS655301 PFO655293:PFO655301 PPK655293:PPK655301 PZG655293:PZG655301 QJC655293:QJC655301 QSY655293:QSY655301 RCU655293:RCU655301 RMQ655293:RMQ655301 RWM655293:RWM655301 SGI655293:SGI655301 SQE655293:SQE655301 TAA655293:TAA655301 TJW655293:TJW655301 TTS655293:TTS655301 UDO655293:UDO655301 UNK655293:UNK655301 UXG655293:UXG655301 VHC655293:VHC655301 VQY655293:VQY655301 WAU655293:WAU655301 WKQ655293:WKQ655301 WUM655293:WUM655301 B720829:B720837 IA720829:IA720837 RW720829:RW720837 ABS720829:ABS720837 ALO720829:ALO720837 AVK720829:AVK720837 BFG720829:BFG720837 BPC720829:BPC720837 BYY720829:BYY720837 CIU720829:CIU720837 CSQ720829:CSQ720837 DCM720829:DCM720837 DMI720829:DMI720837 DWE720829:DWE720837 EGA720829:EGA720837 EPW720829:EPW720837 EZS720829:EZS720837 FJO720829:FJO720837 FTK720829:FTK720837 GDG720829:GDG720837 GNC720829:GNC720837 GWY720829:GWY720837 HGU720829:HGU720837 HQQ720829:HQQ720837 IAM720829:IAM720837 IKI720829:IKI720837 IUE720829:IUE720837 JEA720829:JEA720837 JNW720829:JNW720837 JXS720829:JXS720837 KHO720829:KHO720837 KRK720829:KRK720837 LBG720829:LBG720837 LLC720829:LLC720837 LUY720829:LUY720837 MEU720829:MEU720837 MOQ720829:MOQ720837 MYM720829:MYM720837 NII720829:NII720837 NSE720829:NSE720837 OCA720829:OCA720837 OLW720829:OLW720837 OVS720829:OVS720837 PFO720829:PFO720837 PPK720829:PPK720837 PZG720829:PZG720837 QJC720829:QJC720837 QSY720829:QSY720837 RCU720829:RCU720837 RMQ720829:RMQ720837 RWM720829:RWM720837 SGI720829:SGI720837 SQE720829:SQE720837 TAA720829:TAA720837 TJW720829:TJW720837 TTS720829:TTS720837 UDO720829:UDO720837 UNK720829:UNK720837 UXG720829:UXG720837 VHC720829:VHC720837 VQY720829:VQY720837 WAU720829:WAU720837 WKQ720829:WKQ720837 WUM720829:WUM720837 B786365:B786373 IA786365:IA786373 RW786365:RW786373 ABS786365:ABS786373 ALO786365:ALO786373 AVK786365:AVK786373 BFG786365:BFG786373 BPC786365:BPC786373 BYY786365:BYY786373 CIU786365:CIU786373 CSQ786365:CSQ786373 DCM786365:DCM786373 DMI786365:DMI786373 DWE786365:DWE786373 EGA786365:EGA786373 EPW786365:EPW786373 EZS786365:EZS786373 FJO786365:FJO786373 FTK786365:FTK786373 GDG786365:GDG786373 GNC786365:GNC786373 GWY786365:GWY786373 HGU786365:HGU786373 HQQ786365:HQQ786373 IAM786365:IAM786373 IKI786365:IKI786373 IUE786365:IUE786373 JEA786365:JEA786373 JNW786365:JNW786373 JXS786365:JXS786373 KHO786365:KHO786373 KRK786365:KRK786373 LBG786365:LBG786373 LLC786365:LLC786373 LUY786365:LUY786373 MEU786365:MEU786373 MOQ786365:MOQ786373 MYM786365:MYM786373 NII786365:NII786373 NSE786365:NSE786373 OCA786365:OCA786373 OLW786365:OLW786373 OVS786365:OVS786373 PFO786365:PFO786373 PPK786365:PPK786373 PZG786365:PZG786373 QJC786365:QJC786373 QSY786365:QSY786373 RCU786365:RCU786373 RMQ786365:RMQ786373 RWM786365:RWM786373 SGI786365:SGI786373 SQE786365:SQE786373 TAA786365:TAA786373 TJW786365:TJW786373 TTS786365:TTS786373 UDO786365:UDO786373 UNK786365:UNK786373 UXG786365:UXG786373 VHC786365:VHC786373 VQY786365:VQY786373 WAU786365:WAU786373 WKQ786365:WKQ786373 WUM786365:WUM786373 B851901:B851909 IA851901:IA851909 RW851901:RW851909 ABS851901:ABS851909 ALO851901:ALO851909 AVK851901:AVK851909 BFG851901:BFG851909 BPC851901:BPC851909 BYY851901:BYY851909 CIU851901:CIU851909 CSQ851901:CSQ851909 DCM851901:DCM851909 DMI851901:DMI851909 DWE851901:DWE851909 EGA851901:EGA851909 EPW851901:EPW851909 EZS851901:EZS851909 FJO851901:FJO851909 FTK851901:FTK851909 GDG851901:GDG851909 GNC851901:GNC851909 GWY851901:GWY851909 HGU851901:HGU851909 HQQ851901:HQQ851909 IAM851901:IAM851909 IKI851901:IKI851909 IUE851901:IUE851909 JEA851901:JEA851909 JNW851901:JNW851909 JXS851901:JXS851909 KHO851901:KHO851909 KRK851901:KRK851909 LBG851901:LBG851909 LLC851901:LLC851909 LUY851901:LUY851909 MEU851901:MEU851909 MOQ851901:MOQ851909 MYM851901:MYM851909 NII851901:NII851909 NSE851901:NSE851909 OCA851901:OCA851909 OLW851901:OLW851909 OVS851901:OVS851909 PFO851901:PFO851909 PPK851901:PPK851909 PZG851901:PZG851909 QJC851901:QJC851909 QSY851901:QSY851909 RCU851901:RCU851909 RMQ851901:RMQ851909 RWM851901:RWM851909 SGI851901:SGI851909 SQE851901:SQE851909 TAA851901:TAA851909 TJW851901:TJW851909 TTS851901:TTS851909 UDO851901:UDO851909 UNK851901:UNK851909 UXG851901:UXG851909 VHC851901:VHC851909 VQY851901:VQY851909 WAU851901:WAU851909 WKQ851901:WKQ851909 WUM851901:WUM851909 B917437:B917445 IA917437:IA917445 RW917437:RW917445 ABS917437:ABS917445 ALO917437:ALO917445 AVK917437:AVK917445 BFG917437:BFG917445 BPC917437:BPC917445 BYY917437:BYY917445 CIU917437:CIU917445 CSQ917437:CSQ917445 DCM917437:DCM917445 DMI917437:DMI917445 DWE917437:DWE917445 EGA917437:EGA917445 EPW917437:EPW917445 EZS917437:EZS917445 FJO917437:FJO917445 FTK917437:FTK917445 GDG917437:GDG917445 GNC917437:GNC917445 GWY917437:GWY917445 HGU917437:HGU917445 HQQ917437:HQQ917445 IAM917437:IAM917445 IKI917437:IKI917445 IUE917437:IUE917445 JEA917437:JEA917445 JNW917437:JNW917445 JXS917437:JXS917445 KHO917437:KHO917445 KRK917437:KRK917445 LBG917437:LBG917445 LLC917437:LLC917445 LUY917437:LUY917445 MEU917437:MEU917445 MOQ917437:MOQ917445 MYM917437:MYM917445 NII917437:NII917445 NSE917437:NSE917445 OCA917437:OCA917445 OLW917437:OLW917445 OVS917437:OVS917445 PFO917437:PFO917445 PPK917437:PPK917445 PZG917437:PZG917445 QJC917437:QJC917445 QSY917437:QSY917445 RCU917437:RCU917445 RMQ917437:RMQ917445 RWM917437:RWM917445 SGI917437:SGI917445 SQE917437:SQE917445 TAA917437:TAA917445 TJW917437:TJW917445 TTS917437:TTS917445 UDO917437:UDO917445 UNK917437:UNK917445 UXG917437:UXG917445 VHC917437:VHC917445 VQY917437:VQY917445 WAU917437:WAU917445 WKQ917437:WKQ917445 WUM917437:WUM917445 B982973:B982981 IA982973:IA982981 RW982973:RW982981 ABS982973:ABS982981 ALO982973:ALO982981 AVK982973:AVK982981 BFG982973:BFG982981 BPC982973:BPC982981 BYY982973:BYY982981 CIU982973:CIU982981 CSQ982973:CSQ982981 DCM982973:DCM982981 DMI982973:DMI982981 DWE982973:DWE982981 EGA982973:EGA982981 EPW982973:EPW982981 EZS982973:EZS982981 FJO982973:FJO982981 FTK982973:FTK982981 GDG982973:GDG982981 GNC982973:GNC982981 GWY982973:GWY982981 HGU982973:HGU982981 HQQ982973:HQQ982981 IAM982973:IAM982981 IKI982973:IKI982981 IUE982973:IUE982981 JEA982973:JEA982981 JNW982973:JNW982981 JXS982973:JXS982981 KHO982973:KHO982981 KRK982973:KRK982981 LBG982973:LBG982981 LLC982973:LLC982981 LUY982973:LUY982981 MEU982973:MEU982981 MOQ982973:MOQ982981 MYM982973:MYM982981 NII982973:NII982981 NSE982973:NSE982981 OCA982973:OCA982981 OLW982973:OLW982981 OVS982973:OVS982981 PFO982973:PFO982981 PPK982973:PPK982981 PZG982973:PZG982981 QJC982973:QJC982981 QSY982973:QSY982981 RCU982973:RCU982981 RMQ982973:RMQ982981 RWM982973:RWM982981 SGI982973:SGI982981 SQE982973:SQE982981 TAA982973:TAA982981 TJW982973:TJW982981 TTS982973:TTS982981 UDO982973:UDO982981 UNK982973:UNK982981 UXG982973:UXG982981 VHC982973:VHC982981 VQY982973:VQY982981 WAU982973:WAU982981 WKQ982973:WKQ982981 B9:B10 WUM9:WUM10 WKQ9:WKQ10 WAU9:WAU10 VQY9:VQY10 VHC9:VHC10 UXG9:UXG10 UNK9:UNK10 UDO9:UDO10 TTS9:TTS10 TJW9:TJW10 TAA9:TAA10 SQE9:SQE10 SGI9:SGI10 RWM9:RWM10 RMQ9:RMQ10 RCU9:RCU10 QSY9:QSY10 QJC9:QJC10 PZG9:PZG10 PPK9:PPK10 PFO9:PFO10 OVS9:OVS10 OLW9:OLW10 OCA9:OCA10 NSE9:NSE10 NII9:NII10 MYM9:MYM10 MOQ9:MOQ10 MEU9:MEU10 LUY9:LUY10 LLC9:LLC10 LBG9:LBG10 KRK9:KRK10 KHO9:KHO10 JXS9:JXS10 JNW9:JNW10 JEA9:JEA10 IUE9:IUE10 IKI9:IKI10 IAM9:IAM10 HQQ9:HQQ10 HGU9:HGU10 GWY9:GWY10 GNC9:GNC10 GDG9:GDG10 FTK9:FTK10 FJO9:FJO10 EZS9:EZS10 EPW9:EPW10 EGA9:EGA10 DWE9:DWE10 DMI9:DMI10 DCM9:DCM10 CSQ9:CSQ10 CIU9:CIU10 BYY9:BYY10 BPC9:BPC10 BFG9:BFG10 AVK9:AVK10 ALO9:ALO10 ABS9:ABS10 RW9:RW10 IA9:IA10" xr:uid="{00000000-0002-0000-0400-000001000000}"/>
    <dataValidation allowBlank="1" showInputMessage="1" showErrorMessage="1" prompt="diligencie la cantidad de unidad de medida del valor unitario" sqref="IB65458:IB65466 RX65458:RX65466 ABT65458:ABT65466 ALP65458:ALP65466 AVL65458:AVL65466 BFH65458:BFH65466 BPD65458:BPD65466 BYZ65458:BYZ65466 CIV65458:CIV65466 CSR65458:CSR65466 DCN65458:DCN65466 DMJ65458:DMJ65466 DWF65458:DWF65466 EGB65458:EGB65466 EPX65458:EPX65466 EZT65458:EZT65466 FJP65458:FJP65466 FTL65458:FTL65466 GDH65458:GDH65466 GND65458:GND65466 GWZ65458:GWZ65466 HGV65458:HGV65466 HQR65458:HQR65466 IAN65458:IAN65466 IKJ65458:IKJ65466 IUF65458:IUF65466 JEB65458:JEB65466 JNX65458:JNX65466 JXT65458:JXT65466 KHP65458:KHP65466 KRL65458:KRL65466 LBH65458:LBH65466 LLD65458:LLD65466 LUZ65458:LUZ65466 MEV65458:MEV65466 MOR65458:MOR65466 MYN65458:MYN65466 NIJ65458:NIJ65466 NSF65458:NSF65466 OCB65458:OCB65466 OLX65458:OLX65466 OVT65458:OVT65466 PFP65458:PFP65466 PPL65458:PPL65466 PZH65458:PZH65466 QJD65458:QJD65466 QSZ65458:QSZ65466 RCV65458:RCV65466 RMR65458:RMR65466 RWN65458:RWN65466 SGJ65458:SGJ65466 SQF65458:SQF65466 TAB65458:TAB65466 TJX65458:TJX65466 TTT65458:TTT65466 UDP65458:UDP65466 UNL65458:UNL65466 UXH65458:UXH65466 VHD65458:VHD65466 VQZ65458:VQZ65466 WAV65458:WAV65466 WKR65458:WKR65466 WUN65458:WUN65466 IB130994:IB131002 RX130994:RX131002 ABT130994:ABT131002 ALP130994:ALP131002 AVL130994:AVL131002 BFH130994:BFH131002 BPD130994:BPD131002 BYZ130994:BYZ131002 CIV130994:CIV131002 CSR130994:CSR131002 DCN130994:DCN131002 DMJ130994:DMJ131002 DWF130994:DWF131002 EGB130994:EGB131002 EPX130994:EPX131002 EZT130994:EZT131002 FJP130994:FJP131002 FTL130994:FTL131002 GDH130994:GDH131002 GND130994:GND131002 GWZ130994:GWZ131002 HGV130994:HGV131002 HQR130994:HQR131002 IAN130994:IAN131002 IKJ130994:IKJ131002 IUF130994:IUF131002 JEB130994:JEB131002 JNX130994:JNX131002 JXT130994:JXT131002 KHP130994:KHP131002 KRL130994:KRL131002 LBH130994:LBH131002 LLD130994:LLD131002 LUZ130994:LUZ131002 MEV130994:MEV131002 MOR130994:MOR131002 MYN130994:MYN131002 NIJ130994:NIJ131002 NSF130994:NSF131002 OCB130994:OCB131002 OLX130994:OLX131002 OVT130994:OVT131002 PFP130994:PFP131002 PPL130994:PPL131002 PZH130994:PZH131002 QJD130994:QJD131002 QSZ130994:QSZ131002 RCV130994:RCV131002 RMR130994:RMR131002 RWN130994:RWN131002 SGJ130994:SGJ131002 SQF130994:SQF131002 TAB130994:TAB131002 TJX130994:TJX131002 TTT130994:TTT131002 UDP130994:UDP131002 UNL130994:UNL131002 UXH130994:UXH131002 VHD130994:VHD131002 VQZ130994:VQZ131002 WAV130994:WAV131002 WKR130994:WKR131002 WUN130994:WUN131002 IB196530:IB196538 RX196530:RX196538 ABT196530:ABT196538 ALP196530:ALP196538 AVL196530:AVL196538 BFH196530:BFH196538 BPD196530:BPD196538 BYZ196530:BYZ196538 CIV196530:CIV196538 CSR196530:CSR196538 DCN196530:DCN196538 DMJ196530:DMJ196538 DWF196530:DWF196538 EGB196530:EGB196538 EPX196530:EPX196538 EZT196530:EZT196538 FJP196530:FJP196538 FTL196530:FTL196538 GDH196530:GDH196538 GND196530:GND196538 GWZ196530:GWZ196538 HGV196530:HGV196538 HQR196530:HQR196538 IAN196530:IAN196538 IKJ196530:IKJ196538 IUF196530:IUF196538 JEB196530:JEB196538 JNX196530:JNX196538 JXT196530:JXT196538 KHP196530:KHP196538 KRL196530:KRL196538 LBH196530:LBH196538 LLD196530:LLD196538 LUZ196530:LUZ196538 MEV196530:MEV196538 MOR196530:MOR196538 MYN196530:MYN196538 NIJ196530:NIJ196538 NSF196530:NSF196538 OCB196530:OCB196538 OLX196530:OLX196538 OVT196530:OVT196538 PFP196530:PFP196538 PPL196530:PPL196538 PZH196530:PZH196538 QJD196530:QJD196538 QSZ196530:QSZ196538 RCV196530:RCV196538 RMR196530:RMR196538 RWN196530:RWN196538 SGJ196530:SGJ196538 SQF196530:SQF196538 TAB196530:TAB196538 TJX196530:TJX196538 TTT196530:TTT196538 UDP196530:UDP196538 UNL196530:UNL196538 UXH196530:UXH196538 VHD196530:VHD196538 VQZ196530:VQZ196538 WAV196530:WAV196538 WKR196530:WKR196538 WUN196530:WUN196538 IB262066:IB262074 RX262066:RX262074 ABT262066:ABT262074 ALP262066:ALP262074 AVL262066:AVL262074 BFH262066:BFH262074 BPD262066:BPD262074 BYZ262066:BYZ262074 CIV262066:CIV262074 CSR262066:CSR262074 DCN262066:DCN262074 DMJ262066:DMJ262074 DWF262066:DWF262074 EGB262066:EGB262074 EPX262066:EPX262074 EZT262066:EZT262074 FJP262066:FJP262074 FTL262066:FTL262074 GDH262066:GDH262074 GND262066:GND262074 GWZ262066:GWZ262074 HGV262066:HGV262074 HQR262066:HQR262074 IAN262066:IAN262074 IKJ262066:IKJ262074 IUF262066:IUF262074 JEB262066:JEB262074 JNX262066:JNX262074 JXT262066:JXT262074 KHP262066:KHP262074 KRL262066:KRL262074 LBH262066:LBH262074 LLD262066:LLD262074 LUZ262066:LUZ262074 MEV262066:MEV262074 MOR262066:MOR262074 MYN262066:MYN262074 NIJ262066:NIJ262074 NSF262066:NSF262074 OCB262066:OCB262074 OLX262066:OLX262074 OVT262066:OVT262074 PFP262066:PFP262074 PPL262066:PPL262074 PZH262066:PZH262074 QJD262066:QJD262074 QSZ262066:QSZ262074 RCV262066:RCV262074 RMR262066:RMR262074 RWN262066:RWN262074 SGJ262066:SGJ262074 SQF262066:SQF262074 TAB262066:TAB262074 TJX262066:TJX262074 TTT262066:TTT262074 UDP262066:UDP262074 UNL262066:UNL262074 UXH262066:UXH262074 VHD262066:VHD262074 VQZ262066:VQZ262074 WAV262066:WAV262074 WKR262066:WKR262074 WUN262066:WUN262074 IB327602:IB327610 RX327602:RX327610 ABT327602:ABT327610 ALP327602:ALP327610 AVL327602:AVL327610 BFH327602:BFH327610 BPD327602:BPD327610 BYZ327602:BYZ327610 CIV327602:CIV327610 CSR327602:CSR327610 DCN327602:DCN327610 DMJ327602:DMJ327610 DWF327602:DWF327610 EGB327602:EGB327610 EPX327602:EPX327610 EZT327602:EZT327610 FJP327602:FJP327610 FTL327602:FTL327610 GDH327602:GDH327610 GND327602:GND327610 GWZ327602:GWZ327610 HGV327602:HGV327610 HQR327602:HQR327610 IAN327602:IAN327610 IKJ327602:IKJ327610 IUF327602:IUF327610 JEB327602:JEB327610 JNX327602:JNX327610 JXT327602:JXT327610 KHP327602:KHP327610 KRL327602:KRL327610 LBH327602:LBH327610 LLD327602:LLD327610 LUZ327602:LUZ327610 MEV327602:MEV327610 MOR327602:MOR327610 MYN327602:MYN327610 NIJ327602:NIJ327610 NSF327602:NSF327610 OCB327602:OCB327610 OLX327602:OLX327610 OVT327602:OVT327610 PFP327602:PFP327610 PPL327602:PPL327610 PZH327602:PZH327610 QJD327602:QJD327610 QSZ327602:QSZ327610 RCV327602:RCV327610 RMR327602:RMR327610 RWN327602:RWN327610 SGJ327602:SGJ327610 SQF327602:SQF327610 TAB327602:TAB327610 TJX327602:TJX327610 TTT327602:TTT327610 UDP327602:UDP327610 UNL327602:UNL327610 UXH327602:UXH327610 VHD327602:VHD327610 VQZ327602:VQZ327610 WAV327602:WAV327610 WKR327602:WKR327610 WUN327602:WUN327610 IB393138:IB393146 RX393138:RX393146 ABT393138:ABT393146 ALP393138:ALP393146 AVL393138:AVL393146 BFH393138:BFH393146 BPD393138:BPD393146 BYZ393138:BYZ393146 CIV393138:CIV393146 CSR393138:CSR393146 DCN393138:DCN393146 DMJ393138:DMJ393146 DWF393138:DWF393146 EGB393138:EGB393146 EPX393138:EPX393146 EZT393138:EZT393146 FJP393138:FJP393146 FTL393138:FTL393146 GDH393138:GDH393146 GND393138:GND393146 GWZ393138:GWZ393146 HGV393138:HGV393146 HQR393138:HQR393146 IAN393138:IAN393146 IKJ393138:IKJ393146 IUF393138:IUF393146 JEB393138:JEB393146 JNX393138:JNX393146 JXT393138:JXT393146 KHP393138:KHP393146 KRL393138:KRL393146 LBH393138:LBH393146 LLD393138:LLD393146 LUZ393138:LUZ393146 MEV393138:MEV393146 MOR393138:MOR393146 MYN393138:MYN393146 NIJ393138:NIJ393146 NSF393138:NSF393146 OCB393138:OCB393146 OLX393138:OLX393146 OVT393138:OVT393146 PFP393138:PFP393146 PPL393138:PPL393146 PZH393138:PZH393146 QJD393138:QJD393146 QSZ393138:QSZ393146 RCV393138:RCV393146 RMR393138:RMR393146 RWN393138:RWN393146 SGJ393138:SGJ393146 SQF393138:SQF393146 TAB393138:TAB393146 TJX393138:TJX393146 TTT393138:TTT393146 UDP393138:UDP393146 UNL393138:UNL393146 UXH393138:UXH393146 VHD393138:VHD393146 VQZ393138:VQZ393146 WAV393138:WAV393146 WKR393138:WKR393146 WUN393138:WUN393146 IB458674:IB458682 RX458674:RX458682 ABT458674:ABT458682 ALP458674:ALP458682 AVL458674:AVL458682 BFH458674:BFH458682 BPD458674:BPD458682 BYZ458674:BYZ458682 CIV458674:CIV458682 CSR458674:CSR458682 DCN458674:DCN458682 DMJ458674:DMJ458682 DWF458674:DWF458682 EGB458674:EGB458682 EPX458674:EPX458682 EZT458674:EZT458682 FJP458674:FJP458682 FTL458674:FTL458682 GDH458674:GDH458682 GND458674:GND458682 GWZ458674:GWZ458682 HGV458674:HGV458682 HQR458674:HQR458682 IAN458674:IAN458682 IKJ458674:IKJ458682 IUF458674:IUF458682 JEB458674:JEB458682 JNX458674:JNX458682 JXT458674:JXT458682 KHP458674:KHP458682 KRL458674:KRL458682 LBH458674:LBH458682 LLD458674:LLD458682 LUZ458674:LUZ458682 MEV458674:MEV458682 MOR458674:MOR458682 MYN458674:MYN458682 NIJ458674:NIJ458682 NSF458674:NSF458682 OCB458674:OCB458682 OLX458674:OLX458682 OVT458674:OVT458682 PFP458674:PFP458682 PPL458674:PPL458682 PZH458674:PZH458682 QJD458674:QJD458682 QSZ458674:QSZ458682 RCV458674:RCV458682 RMR458674:RMR458682 RWN458674:RWN458682 SGJ458674:SGJ458682 SQF458674:SQF458682 TAB458674:TAB458682 TJX458674:TJX458682 TTT458674:TTT458682 UDP458674:UDP458682 UNL458674:UNL458682 UXH458674:UXH458682 VHD458674:VHD458682 VQZ458674:VQZ458682 WAV458674:WAV458682 WKR458674:WKR458682 WUN458674:WUN458682 IB524210:IB524218 RX524210:RX524218 ABT524210:ABT524218 ALP524210:ALP524218 AVL524210:AVL524218 BFH524210:BFH524218 BPD524210:BPD524218 BYZ524210:BYZ524218 CIV524210:CIV524218 CSR524210:CSR524218 DCN524210:DCN524218 DMJ524210:DMJ524218 DWF524210:DWF524218 EGB524210:EGB524218 EPX524210:EPX524218 EZT524210:EZT524218 FJP524210:FJP524218 FTL524210:FTL524218 GDH524210:GDH524218 GND524210:GND524218 GWZ524210:GWZ524218 HGV524210:HGV524218 HQR524210:HQR524218 IAN524210:IAN524218 IKJ524210:IKJ524218 IUF524210:IUF524218 JEB524210:JEB524218 JNX524210:JNX524218 JXT524210:JXT524218 KHP524210:KHP524218 KRL524210:KRL524218 LBH524210:LBH524218 LLD524210:LLD524218 LUZ524210:LUZ524218 MEV524210:MEV524218 MOR524210:MOR524218 MYN524210:MYN524218 NIJ524210:NIJ524218 NSF524210:NSF524218 OCB524210:OCB524218 OLX524210:OLX524218 OVT524210:OVT524218 PFP524210:PFP524218 PPL524210:PPL524218 PZH524210:PZH524218 QJD524210:QJD524218 QSZ524210:QSZ524218 RCV524210:RCV524218 RMR524210:RMR524218 RWN524210:RWN524218 SGJ524210:SGJ524218 SQF524210:SQF524218 TAB524210:TAB524218 TJX524210:TJX524218 TTT524210:TTT524218 UDP524210:UDP524218 UNL524210:UNL524218 UXH524210:UXH524218 VHD524210:VHD524218 VQZ524210:VQZ524218 WAV524210:WAV524218 WKR524210:WKR524218 WUN524210:WUN524218 IB589746:IB589754 RX589746:RX589754 ABT589746:ABT589754 ALP589746:ALP589754 AVL589746:AVL589754 BFH589746:BFH589754 BPD589746:BPD589754 BYZ589746:BYZ589754 CIV589746:CIV589754 CSR589746:CSR589754 DCN589746:DCN589754 DMJ589746:DMJ589754 DWF589746:DWF589754 EGB589746:EGB589754 EPX589746:EPX589754 EZT589746:EZT589754 FJP589746:FJP589754 FTL589746:FTL589754 GDH589746:GDH589754 GND589746:GND589754 GWZ589746:GWZ589754 HGV589746:HGV589754 HQR589746:HQR589754 IAN589746:IAN589754 IKJ589746:IKJ589754 IUF589746:IUF589754 JEB589746:JEB589754 JNX589746:JNX589754 JXT589746:JXT589754 KHP589746:KHP589754 KRL589746:KRL589754 LBH589746:LBH589754 LLD589746:LLD589754 LUZ589746:LUZ589754 MEV589746:MEV589754 MOR589746:MOR589754 MYN589746:MYN589754 NIJ589746:NIJ589754 NSF589746:NSF589754 OCB589746:OCB589754 OLX589746:OLX589754 OVT589746:OVT589754 PFP589746:PFP589754 PPL589746:PPL589754 PZH589746:PZH589754 QJD589746:QJD589754 QSZ589746:QSZ589754 RCV589746:RCV589754 RMR589746:RMR589754 RWN589746:RWN589754 SGJ589746:SGJ589754 SQF589746:SQF589754 TAB589746:TAB589754 TJX589746:TJX589754 TTT589746:TTT589754 UDP589746:UDP589754 UNL589746:UNL589754 UXH589746:UXH589754 VHD589746:VHD589754 VQZ589746:VQZ589754 WAV589746:WAV589754 WKR589746:WKR589754 WUN589746:WUN589754 IB655282:IB655290 RX655282:RX655290 ABT655282:ABT655290 ALP655282:ALP655290 AVL655282:AVL655290 BFH655282:BFH655290 BPD655282:BPD655290 BYZ655282:BYZ655290 CIV655282:CIV655290 CSR655282:CSR655290 DCN655282:DCN655290 DMJ655282:DMJ655290 DWF655282:DWF655290 EGB655282:EGB655290 EPX655282:EPX655290 EZT655282:EZT655290 FJP655282:FJP655290 FTL655282:FTL655290 GDH655282:GDH655290 GND655282:GND655290 GWZ655282:GWZ655290 HGV655282:HGV655290 HQR655282:HQR655290 IAN655282:IAN655290 IKJ655282:IKJ655290 IUF655282:IUF655290 JEB655282:JEB655290 JNX655282:JNX655290 JXT655282:JXT655290 KHP655282:KHP655290 KRL655282:KRL655290 LBH655282:LBH655290 LLD655282:LLD655290 LUZ655282:LUZ655290 MEV655282:MEV655290 MOR655282:MOR655290 MYN655282:MYN655290 NIJ655282:NIJ655290 NSF655282:NSF655290 OCB655282:OCB655290 OLX655282:OLX655290 OVT655282:OVT655290 PFP655282:PFP655290 PPL655282:PPL655290 PZH655282:PZH655290 QJD655282:QJD655290 QSZ655282:QSZ655290 RCV655282:RCV655290 RMR655282:RMR655290 RWN655282:RWN655290 SGJ655282:SGJ655290 SQF655282:SQF655290 TAB655282:TAB655290 TJX655282:TJX655290 TTT655282:TTT655290 UDP655282:UDP655290 UNL655282:UNL655290 UXH655282:UXH655290 VHD655282:VHD655290 VQZ655282:VQZ655290 WAV655282:WAV655290 WKR655282:WKR655290 WUN655282:WUN655290 IB720818:IB720826 RX720818:RX720826 ABT720818:ABT720826 ALP720818:ALP720826 AVL720818:AVL720826 BFH720818:BFH720826 BPD720818:BPD720826 BYZ720818:BYZ720826 CIV720818:CIV720826 CSR720818:CSR720826 DCN720818:DCN720826 DMJ720818:DMJ720826 DWF720818:DWF720826 EGB720818:EGB720826 EPX720818:EPX720826 EZT720818:EZT720826 FJP720818:FJP720826 FTL720818:FTL720826 GDH720818:GDH720826 GND720818:GND720826 GWZ720818:GWZ720826 HGV720818:HGV720826 HQR720818:HQR720826 IAN720818:IAN720826 IKJ720818:IKJ720826 IUF720818:IUF720826 JEB720818:JEB720826 JNX720818:JNX720826 JXT720818:JXT720826 KHP720818:KHP720826 KRL720818:KRL720826 LBH720818:LBH720826 LLD720818:LLD720826 LUZ720818:LUZ720826 MEV720818:MEV720826 MOR720818:MOR720826 MYN720818:MYN720826 NIJ720818:NIJ720826 NSF720818:NSF720826 OCB720818:OCB720826 OLX720818:OLX720826 OVT720818:OVT720826 PFP720818:PFP720826 PPL720818:PPL720826 PZH720818:PZH720826 QJD720818:QJD720826 QSZ720818:QSZ720826 RCV720818:RCV720826 RMR720818:RMR720826 RWN720818:RWN720826 SGJ720818:SGJ720826 SQF720818:SQF720826 TAB720818:TAB720826 TJX720818:TJX720826 TTT720818:TTT720826 UDP720818:UDP720826 UNL720818:UNL720826 UXH720818:UXH720826 VHD720818:VHD720826 VQZ720818:VQZ720826 WAV720818:WAV720826 WKR720818:WKR720826 WUN720818:WUN720826 IB786354:IB786362 RX786354:RX786362 ABT786354:ABT786362 ALP786354:ALP786362 AVL786354:AVL786362 BFH786354:BFH786362 BPD786354:BPD786362 BYZ786354:BYZ786362 CIV786354:CIV786362 CSR786354:CSR786362 DCN786354:DCN786362 DMJ786354:DMJ786362 DWF786354:DWF786362 EGB786354:EGB786362 EPX786354:EPX786362 EZT786354:EZT786362 FJP786354:FJP786362 FTL786354:FTL786362 GDH786354:GDH786362 GND786354:GND786362 GWZ786354:GWZ786362 HGV786354:HGV786362 HQR786354:HQR786362 IAN786354:IAN786362 IKJ786354:IKJ786362 IUF786354:IUF786362 JEB786354:JEB786362 JNX786354:JNX786362 JXT786354:JXT786362 KHP786354:KHP786362 KRL786354:KRL786362 LBH786354:LBH786362 LLD786354:LLD786362 LUZ786354:LUZ786362 MEV786354:MEV786362 MOR786354:MOR786362 MYN786354:MYN786362 NIJ786354:NIJ786362 NSF786354:NSF786362 OCB786354:OCB786362 OLX786354:OLX786362 OVT786354:OVT786362 PFP786354:PFP786362 PPL786354:PPL786362 PZH786354:PZH786362 QJD786354:QJD786362 QSZ786354:QSZ786362 RCV786354:RCV786362 RMR786354:RMR786362 RWN786354:RWN786362 SGJ786354:SGJ786362 SQF786354:SQF786362 TAB786354:TAB786362 TJX786354:TJX786362 TTT786354:TTT786362 UDP786354:UDP786362 UNL786354:UNL786362 UXH786354:UXH786362 VHD786354:VHD786362 VQZ786354:VQZ786362 WAV786354:WAV786362 WKR786354:WKR786362 WUN786354:WUN786362 IB851890:IB851898 RX851890:RX851898 ABT851890:ABT851898 ALP851890:ALP851898 AVL851890:AVL851898 BFH851890:BFH851898 BPD851890:BPD851898 BYZ851890:BYZ851898 CIV851890:CIV851898 CSR851890:CSR851898 DCN851890:DCN851898 DMJ851890:DMJ851898 DWF851890:DWF851898 EGB851890:EGB851898 EPX851890:EPX851898 EZT851890:EZT851898 FJP851890:FJP851898 FTL851890:FTL851898 GDH851890:GDH851898 GND851890:GND851898 GWZ851890:GWZ851898 HGV851890:HGV851898 HQR851890:HQR851898 IAN851890:IAN851898 IKJ851890:IKJ851898 IUF851890:IUF851898 JEB851890:JEB851898 JNX851890:JNX851898 JXT851890:JXT851898 KHP851890:KHP851898 KRL851890:KRL851898 LBH851890:LBH851898 LLD851890:LLD851898 LUZ851890:LUZ851898 MEV851890:MEV851898 MOR851890:MOR851898 MYN851890:MYN851898 NIJ851890:NIJ851898 NSF851890:NSF851898 OCB851890:OCB851898 OLX851890:OLX851898 OVT851890:OVT851898 PFP851890:PFP851898 PPL851890:PPL851898 PZH851890:PZH851898 QJD851890:QJD851898 QSZ851890:QSZ851898 RCV851890:RCV851898 RMR851890:RMR851898 RWN851890:RWN851898 SGJ851890:SGJ851898 SQF851890:SQF851898 TAB851890:TAB851898 TJX851890:TJX851898 TTT851890:TTT851898 UDP851890:UDP851898 UNL851890:UNL851898 UXH851890:UXH851898 VHD851890:VHD851898 VQZ851890:VQZ851898 WAV851890:WAV851898 WKR851890:WKR851898 WUN851890:WUN851898 IB917426:IB917434 RX917426:RX917434 ABT917426:ABT917434 ALP917426:ALP917434 AVL917426:AVL917434 BFH917426:BFH917434 BPD917426:BPD917434 BYZ917426:BYZ917434 CIV917426:CIV917434 CSR917426:CSR917434 DCN917426:DCN917434 DMJ917426:DMJ917434 DWF917426:DWF917434 EGB917426:EGB917434 EPX917426:EPX917434 EZT917426:EZT917434 FJP917426:FJP917434 FTL917426:FTL917434 GDH917426:GDH917434 GND917426:GND917434 GWZ917426:GWZ917434 HGV917426:HGV917434 HQR917426:HQR917434 IAN917426:IAN917434 IKJ917426:IKJ917434 IUF917426:IUF917434 JEB917426:JEB917434 JNX917426:JNX917434 JXT917426:JXT917434 KHP917426:KHP917434 KRL917426:KRL917434 LBH917426:LBH917434 LLD917426:LLD917434 LUZ917426:LUZ917434 MEV917426:MEV917434 MOR917426:MOR917434 MYN917426:MYN917434 NIJ917426:NIJ917434 NSF917426:NSF917434 OCB917426:OCB917434 OLX917426:OLX917434 OVT917426:OVT917434 PFP917426:PFP917434 PPL917426:PPL917434 PZH917426:PZH917434 QJD917426:QJD917434 QSZ917426:QSZ917434 RCV917426:RCV917434 RMR917426:RMR917434 RWN917426:RWN917434 SGJ917426:SGJ917434 SQF917426:SQF917434 TAB917426:TAB917434 TJX917426:TJX917434 TTT917426:TTT917434 UDP917426:UDP917434 UNL917426:UNL917434 UXH917426:UXH917434 VHD917426:VHD917434 VQZ917426:VQZ917434 WAV917426:WAV917434 WKR917426:WKR917434 WUN917426:WUN917434 IB982962:IB982970 RX982962:RX982970 ABT982962:ABT982970 ALP982962:ALP982970 AVL982962:AVL982970 BFH982962:BFH982970 BPD982962:BPD982970 BYZ982962:BYZ982970 CIV982962:CIV982970 CSR982962:CSR982970 DCN982962:DCN982970 DMJ982962:DMJ982970 DWF982962:DWF982970 EGB982962:EGB982970 EPX982962:EPX982970 EZT982962:EZT982970 FJP982962:FJP982970 FTL982962:FTL982970 GDH982962:GDH982970 GND982962:GND982970 GWZ982962:GWZ982970 HGV982962:HGV982970 HQR982962:HQR982970 IAN982962:IAN982970 IKJ982962:IKJ982970 IUF982962:IUF982970 JEB982962:JEB982970 JNX982962:JNX982970 JXT982962:JXT982970 KHP982962:KHP982970 KRL982962:KRL982970 LBH982962:LBH982970 LLD982962:LLD982970 LUZ982962:LUZ982970 MEV982962:MEV982970 MOR982962:MOR982970 MYN982962:MYN982970 NIJ982962:NIJ982970 NSF982962:NSF982970 OCB982962:OCB982970 OLX982962:OLX982970 OVT982962:OVT982970 PFP982962:PFP982970 PPL982962:PPL982970 PZH982962:PZH982970 QJD982962:QJD982970 QSZ982962:QSZ982970 RCV982962:RCV982970 RMR982962:RMR982970 RWN982962:RWN982970 SGJ982962:SGJ982970 SQF982962:SQF982970 TAB982962:TAB982970 TJX982962:TJX982970 TTT982962:TTT982970 UDP982962:UDP982970 UNL982962:UNL982970 UXH982962:UXH982970 VHD982962:VHD982970 VQZ982962:VQZ982970 WAV982962:WAV982970 WKR982962:WKR982970 WUN982962:WUN982970 IB65469:IB65477 RX65469:RX65477 ABT65469:ABT65477 ALP65469:ALP65477 AVL65469:AVL65477 BFH65469:BFH65477 BPD65469:BPD65477 BYZ65469:BYZ65477 CIV65469:CIV65477 CSR65469:CSR65477 DCN65469:DCN65477 DMJ65469:DMJ65477 DWF65469:DWF65477 EGB65469:EGB65477 EPX65469:EPX65477 EZT65469:EZT65477 FJP65469:FJP65477 FTL65469:FTL65477 GDH65469:GDH65477 GND65469:GND65477 GWZ65469:GWZ65477 HGV65469:HGV65477 HQR65469:HQR65477 IAN65469:IAN65477 IKJ65469:IKJ65477 IUF65469:IUF65477 JEB65469:JEB65477 JNX65469:JNX65477 JXT65469:JXT65477 KHP65469:KHP65477 KRL65469:KRL65477 LBH65469:LBH65477 LLD65469:LLD65477 LUZ65469:LUZ65477 MEV65469:MEV65477 MOR65469:MOR65477 MYN65469:MYN65477 NIJ65469:NIJ65477 NSF65469:NSF65477 OCB65469:OCB65477 OLX65469:OLX65477 OVT65469:OVT65477 PFP65469:PFP65477 PPL65469:PPL65477 PZH65469:PZH65477 QJD65469:QJD65477 QSZ65469:QSZ65477 RCV65469:RCV65477 RMR65469:RMR65477 RWN65469:RWN65477 SGJ65469:SGJ65477 SQF65469:SQF65477 TAB65469:TAB65477 TJX65469:TJX65477 TTT65469:TTT65477 UDP65469:UDP65477 UNL65469:UNL65477 UXH65469:UXH65477 VHD65469:VHD65477 VQZ65469:VQZ65477 WAV65469:WAV65477 WKR65469:WKR65477 WUN65469:WUN65477 IB131005:IB131013 RX131005:RX131013 ABT131005:ABT131013 ALP131005:ALP131013 AVL131005:AVL131013 BFH131005:BFH131013 BPD131005:BPD131013 BYZ131005:BYZ131013 CIV131005:CIV131013 CSR131005:CSR131013 DCN131005:DCN131013 DMJ131005:DMJ131013 DWF131005:DWF131013 EGB131005:EGB131013 EPX131005:EPX131013 EZT131005:EZT131013 FJP131005:FJP131013 FTL131005:FTL131013 GDH131005:GDH131013 GND131005:GND131013 GWZ131005:GWZ131013 HGV131005:HGV131013 HQR131005:HQR131013 IAN131005:IAN131013 IKJ131005:IKJ131013 IUF131005:IUF131013 JEB131005:JEB131013 JNX131005:JNX131013 JXT131005:JXT131013 KHP131005:KHP131013 KRL131005:KRL131013 LBH131005:LBH131013 LLD131005:LLD131013 LUZ131005:LUZ131013 MEV131005:MEV131013 MOR131005:MOR131013 MYN131005:MYN131013 NIJ131005:NIJ131013 NSF131005:NSF131013 OCB131005:OCB131013 OLX131005:OLX131013 OVT131005:OVT131013 PFP131005:PFP131013 PPL131005:PPL131013 PZH131005:PZH131013 QJD131005:QJD131013 QSZ131005:QSZ131013 RCV131005:RCV131013 RMR131005:RMR131013 RWN131005:RWN131013 SGJ131005:SGJ131013 SQF131005:SQF131013 TAB131005:TAB131013 TJX131005:TJX131013 TTT131005:TTT131013 UDP131005:UDP131013 UNL131005:UNL131013 UXH131005:UXH131013 VHD131005:VHD131013 VQZ131005:VQZ131013 WAV131005:WAV131013 WKR131005:WKR131013 WUN131005:WUN131013 IB196541:IB196549 RX196541:RX196549 ABT196541:ABT196549 ALP196541:ALP196549 AVL196541:AVL196549 BFH196541:BFH196549 BPD196541:BPD196549 BYZ196541:BYZ196549 CIV196541:CIV196549 CSR196541:CSR196549 DCN196541:DCN196549 DMJ196541:DMJ196549 DWF196541:DWF196549 EGB196541:EGB196549 EPX196541:EPX196549 EZT196541:EZT196549 FJP196541:FJP196549 FTL196541:FTL196549 GDH196541:GDH196549 GND196541:GND196549 GWZ196541:GWZ196549 HGV196541:HGV196549 HQR196541:HQR196549 IAN196541:IAN196549 IKJ196541:IKJ196549 IUF196541:IUF196549 JEB196541:JEB196549 JNX196541:JNX196549 JXT196541:JXT196549 KHP196541:KHP196549 KRL196541:KRL196549 LBH196541:LBH196549 LLD196541:LLD196549 LUZ196541:LUZ196549 MEV196541:MEV196549 MOR196541:MOR196549 MYN196541:MYN196549 NIJ196541:NIJ196549 NSF196541:NSF196549 OCB196541:OCB196549 OLX196541:OLX196549 OVT196541:OVT196549 PFP196541:PFP196549 PPL196541:PPL196549 PZH196541:PZH196549 QJD196541:QJD196549 QSZ196541:QSZ196549 RCV196541:RCV196549 RMR196541:RMR196549 RWN196541:RWN196549 SGJ196541:SGJ196549 SQF196541:SQF196549 TAB196541:TAB196549 TJX196541:TJX196549 TTT196541:TTT196549 UDP196541:UDP196549 UNL196541:UNL196549 UXH196541:UXH196549 VHD196541:VHD196549 VQZ196541:VQZ196549 WAV196541:WAV196549 WKR196541:WKR196549 WUN196541:WUN196549 IB262077:IB262085 RX262077:RX262085 ABT262077:ABT262085 ALP262077:ALP262085 AVL262077:AVL262085 BFH262077:BFH262085 BPD262077:BPD262085 BYZ262077:BYZ262085 CIV262077:CIV262085 CSR262077:CSR262085 DCN262077:DCN262085 DMJ262077:DMJ262085 DWF262077:DWF262085 EGB262077:EGB262085 EPX262077:EPX262085 EZT262077:EZT262085 FJP262077:FJP262085 FTL262077:FTL262085 GDH262077:GDH262085 GND262077:GND262085 GWZ262077:GWZ262085 HGV262077:HGV262085 HQR262077:HQR262085 IAN262077:IAN262085 IKJ262077:IKJ262085 IUF262077:IUF262085 JEB262077:JEB262085 JNX262077:JNX262085 JXT262077:JXT262085 KHP262077:KHP262085 KRL262077:KRL262085 LBH262077:LBH262085 LLD262077:LLD262085 LUZ262077:LUZ262085 MEV262077:MEV262085 MOR262077:MOR262085 MYN262077:MYN262085 NIJ262077:NIJ262085 NSF262077:NSF262085 OCB262077:OCB262085 OLX262077:OLX262085 OVT262077:OVT262085 PFP262077:PFP262085 PPL262077:PPL262085 PZH262077:PZH262085 QJD262077:QJD262085 QSZ262077:QSZ262085 RCV262077:RCV262085 RMR262077:RMR262085 RWN262077:RWN262085 SGJ262077:SGJ262085 SQF262077:SQF262085 TAB262077:TAB262085 TJX262077:TJX262085 TTT262077:TTT262085 UDP262077:UDP262085 UNL262077:UNL262085 UXH262077:UXH262085 VHD262077:VHD262085 VQZ262077:VQZ262085 WAV262077:WAV262085 WKR262077:WKR262085 WUN262077:WUN262085 IB327613:IB327621 RX327613:RX327621 ABT327613:ABT327621 ALP327613:ALP327621 AVL327613:AVL327621 BFH327613:BFH327621 BPD327613:BPD327621 BYZ327613:BYZ327621 CIV327613:CIV327621 CSR327613:CSR327621 DCN327613:DCN327621 DMJ327613:DMJ327621 DWF327613:DWF327621 EGB327613:EGB327621 EPX327613:EPX327621 EZT327613:EZT327621 FJP327613:FJP327621 FTL327613:FTL327621 GDH327613:GDH327621 GND327613:GND327621 GWZ327613:GWZ327621 HGV327613:HGV327621 HQR327613:HQR327621 IAN327613:IAN327621 IKJ327613:IKJ327621 IUF327613:IUF327621 JEB327613:JEB327621 JNX327613:JNX327621 JXT327613:JXT327621 KHP327613:KHP327621 KRL327613:KRL327621 LBH327613:LBH327621 LLD327613:LLD327621 LUZ327613:LUZ327621 MEV327613:MEV327621 MOR327613:MOR327621 MYN327613:MYN327621 NIJ327613:NIJ327621 NSF327613:NSF327621 OCB327613:OCB327621 OLX327613:OLX327621 OVT327613:OVT327621 PFP327613:PFP327621 PPL327613:PPL327621 PZH327613:PZH327621 QJD327613:QJD327621 QSZ327613:QSZ327621 RCV327613:RCV327621 RMR327613:RMR327621 RWN327613:RWN327621 SGJ327613:SGJ327621 SQF327613:SQF327621 TAB327613:TAB327621 TJX327613:TJX327621 TTT327613:TTT327621 UDP327613:UDP327621 UNL327613:UNL327621 UXH327613:UXH327621 VHD327613:VHD327621 VQZ327613:VQZ327621 WAV327613:WAV327621 WKR327613:WKR327621 WUN327613:WUN327621 IB393149:IB393157 RX393149:RX393157 ABT393149:ABT393157 ALP393149:ALP393157 AVL393149:AVL393157 BFH393149:BFH393157 BPD393149:BPD393157 BYZ393149:BYZ393157 CIV393149:CIV393157 CSR393149:CSR393157 DCN393149:DCN393157 DMJ393149:DMJ393157 DWF393149:DWF393157 EGB393149:EGB393157 EPX393149:EPX393157 EZT393149:EZT393157 FJP393149:FJP393157 FTL393149:FTL393157 GDH393149:GDH393157 GND393149:GND393157 GWZ393149:GWZ393157 HGV393149:HGV393157 HQR393149:HQR393157 IAN393149:IAN393157 IKJ393149:IKJ393157 IUF393149:IUF393157 JEB393149:JEB393157 JNX393149:JNX393157 JXT393149:JXT393157 KHP393149:KHP393157 KRL393149:KRL393157 LBH393149:LBH393157 LLD393149:LLD393157 LUZ393149:LUZ393157 MEV393149:MEV393157 MOR393149:MOR393157 MYN393149:MYN393157 NIJ393149:NIJ393157 NSF393149:NSF393157 OCB393149:OCB393157 OLX393149:OLX393157 OVT393149:OVT393157 PFP393149:PFP393157 PPL393149:PPL393157 PZH393149:PZH393157 QJD393149:QJD393157 QSZ393149:QSZ393157 RCV393149:RCV393157 RMR393149:RMR393157 RWN393149:RWN393157 SGJ393149:SGJ393157 SQF393149:SQF393157 TAB393149:TAB393157 TJX393149:TJX393157 TTT393149:TTT393157 UDP393149:UDP393157 UNL393149:UNL393157 UXH393149:UXH393157 VHD393149:VHD393157 VQZ393149:VQZ393157 WAV393149:WAV393157 WKR393149:WKR393157 WUN393149:WUN393157 IB458685:IB458693 RX458685:RX458693 ABT458685:ABT458693 ALP458685:ALP458693 AVL458685:AVL458693 BFH458685:BFH458693 BPD458685:BPD458693 BYZ458685:BYZ458693 CIV458685:CIV458693 CSR458685:CSR458693 DCN458685:DCN458693 DMJ458685:DMJ458693 DWF458685:DWF458693 EGB458685:EGB458693 EPX458685:EPX458693 EZT458685:EZT458693 FJP458685:FJP458693 FTL458685:FTL458693 GDH458685:GDH458693 GND458685:GND458693 GWZ458685:GWZ458693 HGV458685:HGV458693 HQR458685:HQR458693 IAN458685:IAN458693 IKJ458685:IKJ458693 IUF458685:IUF458693 JEB458685:JEB458693 JNX458685:JNX458693 JXT458685:JXT458693 KHP458685:KHP458693 KRL458685:KRL458693 LBH458685:LBH458693 LLD458685:LLD458693 LUZ458685:LUZ458693 MEV458685:MEV458693 MOR458685:MOR458693 MYN458685:MYN458693 NIJ458685:NIJ458693 NSF458685:NSF458693 OCB458685:OCB458693 OLX458685:OLX458693 OVT458685:OVT458693 PFP458685:PFP458693 PPL458685:PPL458693 PZH458685:PZH458693 QJD458685:QJD458693 QSZ458685:QSZ458693 RCV458685:RCV458693 RMR458685:RMR458693 RWN458685:RWN458693 SGJ458685:SGJ458693 SQF458685:SQF458693 TAB458685:TAB458693 TJX458685:TJX458693 TTT458685:TTT458693 UDP458685:UDP458693 UNL458685:UNL458693 UXH458685:UXH458693 VHD458685:VHD458693 VQZ458685:VQZ458693 WAV458685:WAV458693 WKR458685:WKR458693 WUN458685:WUN458693 IB524221:IB524229 RX524221:RX524229 ABT524221:ABT524229 ALP524221:ALP524229 AVL524221:AVL524229 BFH524221:BFH524229 BPD524221:BPD524229 BYZ524221:BYZ524229 CIV524221:CIV524229 CSR524221:CSR524229 DCN524221:DCN524229 DMJ524221:DMJ524229 DWF524221:DWF524229 EGB524221:EGB524229 EPX524221:EPX524229 EZT524221:EZT524229 FJP524221:FJP524229 FTL524221:FTL524229 GDH524221:GDH524229 GND524221:GND524229 GWZ524221:GWZ524229 HGV524221:HGV524229 HQR524221:HQR524229 IAN524221:IAN524229 IKJ524221:IKJ524229 IUF524221:IUF524229 JEB524221:JEB524229 JNX524221:JNX524229 JXT524221:JXT524229 KHP524221:KHP524229 KRL524221:KRL524229 LBH524221:LBH524229 LLD524221:LLD524229 LUZ524221:LUZ524229 MEV524221:MEV524229 MOR524221:MOR524229 MYN524221:MYN524229 NIJ524221:NIJ524229 NSF524221:NSF524229 OCB524221:OCB524229 OLX524221:OLX524229 OVT524221:OVT524229 PFP524221:PFP524229 PPL524221:PPL524229 PZH524221:PZH524229 QJD524221:QJD524229 QSZ524221:QSZ524229 RCV524221:RCV524229 RMR524221:RMR524229 RWN524221:RWN524229 SGJ524221:SGJ524229 SQF524221:SQF524229 TAB524221:TAB524229 TJX524221:TJX524229 TTT524221:TTT524229 UDP524221:UDP524229 UNL524221:UNL524229 UXH524221:UXH524229 VHD524221:VHD524229 VQZ524221:VQZ524229 WAV524221:WAV524229 WKR524221:WKR524229 WUN524221:WUN524229 IB589757:IB589765 RX589757:RX589765 ABT589757:ABT589765 ALP589757:ALP589765 AVL589757:AVL589765 BFH589757:BFH589765 BPD589757:BPD589765 BYZ589757:BYZ589765 CIV589757:CIV589765 CSR589757:CSR589765 DCN589757:DCN589765 DMJ589757:DMJ589765 DWF589757:DWF589765 EGB589757:EGB589765 EPX589757:EPX589765 EZT589757:EZT589765 FJP589757:FJP589765 FTL589757:FTL589765 GDH589757:GDH589765 GND589757:GND589765 GWZ589757:GWZ589765 HGV589757:HGV589765 HQR589757:HQR589765 IAN589757:IAN589765 IKJ589757:IKJ589765 IUF589757:IUF589765 JEB589757:JEB589765 JNX589757:JNX589765 JXT589757:JXT589765 KHP589757:KHP589765 KRL589757:KRL589765 LBH589757:LBH589765 LLD589757:LLD589765 LUZ589757:LUZ589765 MEV589757:MEV589765 MOR589757:MOR589765 MYN589757:MYN589765 NIJ589757:NIJ589765 NSF589757:NSF589765 OCB589757:OCB589765 OLX589757:OLX589765 OVT589757:OVT589765 PFP589757:PFP589765 PPL589757:PPL589765 PZH589757:PZH589765 QJD589757:QJD589765 QSZ589757:QSZ589765 RCV589757:RCV589765 RMR589757:RMR589765 RWN589757:RWN589765 SGJ589757:SGJ589765 SQF589757:SQF589765 TAB589757:TAB589765 TJX589757:TJX589765 TTT589757:TTT589765 UDP589757:UDP589765 UNL589757:UNL589765 UXH589757:UXH589765 VHD589757:VHD589765 VQZ589757:VQZ589765 WAV589757:WAV589765 WKR589757:WKR589765 WUN589757:WUN589765 IB655293:IB655301 RX655293:RX655301 ABT655293:ABT655301 ALP655293:ALP655301 AVL655293:AVL655301 BFH655293:BFH655301 BPD655293:BPD655301 BYZ655293:BYZ655301 CIV655293:CIV655301 CSR655293:CSR655301 DCN655293:DCN655301 DMJ655293:DMJ655301 DWF655293:DWF655301 EGB655293:EGB655301 EPX655293:EPX655301 EZT655293:EZT655301 FJP655293:FJP655301 FTL655293:FTL655301 GDH655293:GDH655301 GND655293:GND655301 GWZ655293:GWZ655301 HGV655293:HGV655301 HQR655293:HQR655301 IAN655293:IAN655301 IKJ655293:IKJ655301 IUF655293:IUF655301 JEB655293:JEB655301 JNX655293:JNX655301 JXT655293:JXT655301 KHP655293:KHP655301 KRL655293:KRL655301 LBH655293:LBH655301 LLD655293:LLD655301 LUZ655293:LUZ655301 MEV655293:MEV655301 MOR655293:MOR655301 MYN655293:MYN655301 NIJ655293:NIJ655301 NSF655293:NSF655301 OCB655293:OCB655301 OLX655293:OLX655301 OVT655293:OVT655301 PFP655293:PFP655301 PPL655293:PPL655301 PZH655293:PZH655301 QJD655293:QJD655301 QSZ655293:QSZ655301 RCV655293:RCV655301 RMR655293:RMR655301 RWN655293:RWN655301 SGJ655293:SGJ655301 SQF655293:SQF655301 TAB655293:TAB655301 TJX655293:TJX655301 TTT655293:TTT655301 UDP655293:UDP655301 UNL655293:UNL655301 UXH655293:UXH655301 VHD655293:VHD655301 VQZ655293:VQZ655301 WAV655293:WAV655301 WKR655293:WKR655301 WUN655293:WUN655301 IB720829:IB720837 RX720829:RX720837 ABT720829:ABT720837 ALP720829:ALP720837 AVL720829:AVL720837 BFH720829:BFH720837 BPD720829:BPD720837 BYZ720829:BYZ720837 CIV720829:CIV720837 CSR720829:CSR720837 DCN720829:DCN720837 DMJ720829:DMJ720837 DWF720829:DWF720837 EGB720829:EGB720837 EPX720829:EPX720837 EZT720829:EZT720837 FJP720829:FJP720837 FTL720829:FTL720837 GDH720829:GDH720837 GND720829:GND720837 GWZ720829:GWZ720837 HGV720829:HGV720837 HQR720829:HQR720837 IAN720829:IAN720837 IKJ720829:IKJ720837 IUF720829:IUF720837 JEB720829:JEB720837 JNX720829:JNX720837 JXT720829:JXT720837 KHP720829:KHP720837 KRL720829:KRL720837 LBH720829:LBH720837 LLD720829:LLD720837 LUZ720829:LUZ720837 MEV720829:MEV720837 MOR720829:MOR720837 MYN720829:MYN720837 NIJ720829:NIJ720837 NSF720829:NSF720837 OCB720829:OCB720837 OLX720829:OLX720837 OVT720829:OVT720837 PFP720829:PFP720837 PPL720829:PPL720837 PZH720829:PZH720837 QJD720829:QJD720837 QSZ720829:QSZ720837 RCV720829:RCV720837 RMR720829:RMR720837 RWN720829:RWN720837 SGJ720829:SGJ720837 SQF720829:SQF720837 TAB720829:TAB720837 TJX720829:TJX720837 TTT720829:TTT720837 UDP720829:UDP720837 UNL720829:UNL720837 UXH720829:UXH720837 VHD720829:VHD720837 VQZ720829:VQZ720837 WAV720829:WAV720837 WKR720829:WKR720837 WUN720829:WUN720837 IB786365:IB786373 RX786365:RX786373 ABT786365:ABT786373 ALP786365:ALP786373 AVL786365:AVL786373 BFH786365:BFH786373 BPD786365:BPD786373 BYZ786365:BYZ786373 CIV786365:CIV786373 CSR786365:CSR786373 DCN786365:DCN786373 DMJ786365:DMJ786373 DWF786365:DWF786373 EGB786365:EGB786373 EPX786365:EPX786373 EZT786365:EZT786373 FJP786365:FJP786373 FTL786365:FTL786373 GDH786365:GDH786373 GND786365:GND786373 GWZ786365:GWZ786373 HGV786365:HGV786373 HQR786365:HQR786373 IAN786365:IAN786373 IKJ786365:IKJ786373 IUF786365:IUF786373 JEB786365:JEB786373 JNX786365:JNX786373 JXT786365:JXT786373 KHP786365:KHP786373 KRL786365:KRL786373 LBH786365:LBH786373 LLD786365:LLD786373 LUZ786365:LUZ786373 MEV786365:MEV786373 MOR786365:MOR786373 MYN786365:MYN786373 NIJ786365:NIJ786373 NSF786365:NSF786373 OCB786365:OCB786373 OLX786365:OLX786373 OVT786365:OVT786373 PFP786365:PFP786373 PPL786365:PPL786373 PZH786365:PZH786373 QJD786365:QJD786373 QSZ786365:QSZ786373 RCV786365:RCV786373 RMR786365:RMR786373 RWN786365:RWN786373 SGJ786365:SGJ786373 SQF786365:SQF786373 TAB786365:TAB786373 TJX786365:TJX786373 TTT786365:TTT786373 UDP786365:UDP786373 UNL786365:UNL786373 UXH786365:UXH786373 VHD786365:VHD786373 VQZ786365:VQZ786373 WAV786365:WAV786373 WKR786365:WKR786373 WUN786365:WUN786373 IB851901:IB851909 RX851901:RX851909 ABT851901:ABT851909 ALP851901:ALP851909 AVL851901:AVL851909 BFH851901:BFH851909 BPD851901:BPD851909 BYZ851901:BYZ851909 CIV851901:CIV851909 CSR851901:CSR851909 DCN851901:DCN851909 DMJ851901:DMJ851909 DWF851901:DWF851909 EGB851901:EGB851909 EPX851901:EPX851909 EZT851901:EZT851909 FJP851901:FJP851909 FTL851901:FTL851909 GDH851901:GDH851909 GND851901:GND851909 GWZ851901:GWZ851909 HGV851901:HGV851909 HQR851901:HQR851909 IAN851901:IAN851909 IKJ851901:IKJ851909 IUF851901:IUF851909 JEB851901:JEB851909 JNX851901:JNX851909 JXT851901:JXT851909 KHP851901:KHP851909 KRL851901:KRL851909 LBH851901:LBH851909 LLD851901:LLD851909 LUZ851901:LUZ851909 MEV851901:MEV851909 MOR851901:MOR851909 MYN851901:MYN851909 NIJ851901:NIJ851909 NSF851901:NSF851909 OCB851901:OCB851909 OLX851901:OLX851909 OVT851901:OVT851909 PFP851901:PFP851909 PPL851901:PPL851909 PZH851901:PZH851909 QJD851901:QJD851909 QSZ851901:QSZ851909 RCV851901:RCV851909 RMR851901:RMR851909 RWN851901:RWN851909 SGJ851901:SGJ851909 SQF851901:SQF851909 TAB851901:TAB851909 TJX851901:TJX851909 TTT851901:TTT851909 UDP851901:UDP851909 UNL851901:UNL851909 UXH851901:UXH851909 VHD851901:VHD851909 VQZ851901:VQZ851909 WAV851901:WAV851909 WKR851901:WKR851909 WUN851901:WUN851909 IB917437:IB917445 RX917437:RX917445 ABT917437:ABT917445 ALP917437:ALP917445 AVL917437:AVL917445 BFH917437:BFH917445 BPD917437:BPD917445 BYZ917437:BYZ917445 CIV917437:CIV917445 CSR917437:CSR917445 DCN917437:DCN917445 DMJ917437:DMJ917445 DWF917437:DWF917445 EGB917437:EGB917445 EPX917437:EPX917445 EZT917437:EZT917445 FJP917437:FJP917445 FTL917437:FTL917445 GDH917437:GDH917445 GND917437:GND917445 GWZ917437:GWZ917445 HGV917437:HGV917445 HQR917437:HQR917445 IAN917437:IAN917445 IKJ917437:IKJ917445 IUF917437:IUF917445 JEB917437:JEB917445 JNX917437:JNX917445 JXT917437:JXT917445 KHP917437:KHP917445 KRL917437:KRL917445 LBH917437:LBH917445 LLD917437:LLD917445 LUZ917437:LUZ917445 MEV917437:MEV917445 MOR917437:MOR917445 MYN917437:MYN917445 NIJ917437:NIJ917445 NSF917437:NSF917445 OCB917437:OCB917445 OLX917437:OLX917445 OVT917437:OVT917445 PFP917437:PFP917445 PPL917437:PPL917445 PZH917437:PZH917445 QJD917437:QJD917445 QSZ917437:QSZ917445 RCV917437:RCV917445 RMR917437:RMR917445 RWN917437:RWN917445 SGJ917437:SGJ917445 SQF917437:SQF917445 TAB917437:TAB917445 TJX917437:TJX917445 TTT917437:TTT917445 UDP917437:UDP917445 UNL917437:UNL917445 UXH917437:UXH917445 VHD917437:VHD917445 VQZ917437:VQZ917445 WAV917437:WAV917445 WKR917437:WKR917445 WUN917437:WUN917445 IB982973:IB982981 RX982973:RX982981 ABT982973:ABT982981 ALP982973:ALP982981 AVL982973:AVL982981 BFH982973:BFH982981 BPD982973:BPD982981 BYZ982973:BYZ982981 CIV982973:CIV982981 CSR982973:CSR982981 DCN982973:DCN982981 DMJ982973:DMJ982981 DWF982973:DWF982981 EGB982973:EGB982981 EPX982973:EPX982981 EZT982973:EZT982981 FJP982973:FJP982981 FTL982973:FTL982981 GDH982973:GDH982981 GND982973:GND982981 GWZ982973:GWZ982981 HGV982973:HGV982981 HQR982973:HQR982981 IAN982973:IAN982981 IKJ982973:IKJ982981 IUF982973:IUF982981 JEB982973:JEB982981 JNX982973:JNX982981 JXT982973:JXT982981 KHP982973:KHP982981 KRL982973:KRL982981 LBH982973:LBH982981 LLD982973:LLD982981 LUZ982973:LUZ982981 MEV982973:MEV982981 MOR982973:MOR982981 MYN982973:MYN982981 NIJ982973:NIJ982981 NSF982973:NSF982981 OCB982973:OCB982981 OLX982973:OLX982981 OVT982973:OVT982981 PFP982973:PFP982981 PPL982973:PPL982981 PZH982973:PZH982981 QJD982973:QJD982981 QSZ982973:QSZ982981 RCV982973:RCV982981 RMR982973:RMR982981 RWN982973:RWN982981 SGJ982973:SGJ982981 SQF982973:SQF982981 TAB982973:TAB982981 TJX982973:TJX982981 TTT982973:TTT982981 UDP982973:UDP982981 UNL982973:UNL982981 UXH982973:UXH982981 VHD982973:VHD982981 VQZ982973:VQZ982981 WAV982973:WAV982981 WKR982973:WKR982981 WUN982973:WUN982981 C9:C10 WUN9:WUN10 WKR9:WKR10 WAV9:WAV10 VQZ9:VQZ10 VHD9:VHD10 UXH9:UXH10 UNL9:UNL10 UDP9:UDP10 TTT9:TTT10 TJX9:TJX10 TAB9:TAB10 SQF9:SQF10 SGJ9:SGJ10 RWN9:RWN10 RMR9:RMR10 RCV9:RCV10 QSZ9:QSZ10 QJD9:QJD10 PZH9:PZH10 PPL9:PPL10 PFP9:PFP10 OVT9:OVT10 OLX9:OLX10 OCB9:OCB10 NSF9:NSF10 NIJ9:NIJ10 MYN9:MYN10 MOR9:MOR10 MEV9:MEV10 LUZ9:LUZ10 LLD9:LLD10 LBH9:LBH10 KRL9:KRL10 KHP9:KHP10 JXT9:JXT10 JNX9:JNX10 JEB9:JEB10 IUF9:IUF10 IKJ9:IKJ10 IAN9:IAN10 HQR9:HQR10 HGV9:HGV10 GWZ9:GWZ10 GND9:GND10 GDH9:GDH10 FTL9:FTL10 FJP9:FJP10 EZT9:EZT10 EPX9:EPX10 EGB9:EGB10 DWF9:DWF10 DMJ9:DMJ10 DCN9:DCN10 CSR9:CSR10 CIV9:CIV10 BYZ9:BYZ10 BPD9:BPD10 BFH9:BFH10 AVL9:AVL10 ALP9:ALP10 ABT9:ABT10 RX9:RX10 IB9:IB10" xr:uid="{00000000-0002-0000-0400-000002000000}"/>
    <dataValidation allowBlank="1" showInputMessage="1" showErrorMessage="1" prompt="traer el valor definido en la hoja &quot;honorarios Corporativos&quot;" sqref="WUO982973:WUO982981 C65458:C65466 IC65458:IC65466 RY65458:RY65466 ABU65458:ABU65466 ALQ65458:ALQ65466 AVM65458:AVM65466 BFI65458:BFI65466 BPE65458:BPE65466 BZA65458:BZA65466 CIW65458:CIW65466 CSS65458:CSS65466 DCO65458:DCO65466 DMK65458:DMK65466 DWG65458:DWG65466 EGC65458:EGC65466 EPY65458:EPY65466 EZU65458:EZU65466 FJQ65458:FJQ65466 FTM65458:FTM65466 GDI65458:GDI65466 GNE65458:GNE65466 GXA65458:GXA65466 HGW65458:HGW65466 HQS65458:HQS65466 IAO65458:IAO65466 IKK65458:IKK65466 IUG65458:IUG65466 JEC65458:JEC65466 JNY65458:JNY65466 JXU65458:JXU65466 KHQ65458:KHQ65466 KRM65458:KRM65466 LBI65458:LBI65466 LLE65458:LLE65466 LVA65458:LVA65466 MEW65458:MEW65466 MOS65458:MOS65466 MYO65458:MYO65466 NIK65458:NIK65466 NSG65458:NSG65466 OCC65458:OCC65466 OLY65458:OLY65466 OVU65458:OVU65466 PFQ65458:PFQ65466 PPM65458:PPM65466 PZI65458:PZI65466 QJE65458:QJE65466 QTA65458:QTA65466 RCW65458:RCW65466 RMS65458:RMS65466 RWO65458:RWO65466 SGK65458:SGK65466 SQG65458:SQG65466 TAC65458:TAC65466 TJY65458:TJY65466 TTU65458:TTU65466 UDQ65458:UDQ65466 UNM65458:UNM65466 UXI65458:UXI65466 VHE65458:VHE65466 VRA65458:VRA65466 WAW65458:WAW65466 WKS65458:WKS65466 WUO65458:WUO65466 C130994:C131002 IC130994:IC131002 RY130994:RY131002 ABU130994:ABU131002 ALQ130994:ALQ131002 AVM130994:AVM131002 BFI130994:BFI131002 BPE130994:BPE131002 BZA130994:BZA131002 CIW130994:CIW131002 CSS130994:CSS131002 DCO130994:DCO131002 DMK130994:DMK131002 DWG130994:DWG131002 EGC130994:EGC131002 EPY130994:EPY131002 EZU130994:EZU131002 FJQ130994:FJQ131002 FTM130994:FTM131002 GDI130994:GDI131002 GNE130994:GNE131002 GXA130994:GXA131002 HGW130994:HGW131002 HQS130994:HQS131002 IAO130994:IAO131002 IKK130994:IKK131002 IUG130994:IUG131002 JEC130994:JEC131002 JNY130994:JNY131002 JXU130994:JXU131002 KHQ130994:KHQ131002 KRM130994:KRM131002 LBI130994:LBI131002 LLE130994:LLE131002 LVA130994:LVA131002 MEW130994:MEW131002 MOS130994:MOS131002 MYO130994:MYO131002 NIK130994:NIK131002 NSG130994:NSG131002 OCC130994:OCC131002 OLY130994:OLY131002 OVU130994:OVU131002 PFQ130994:PFQ131002 PPM130994:PPM131002 PZI130994:PZI131002 QJE130994:QJE131002 QTA130994:QTA131002 RCW130994:RCW131002 RMS130994:RMS131002 RWO130994:RWO131002 SGK130994:SGK131002 SQG130994:SQG131002 TAC130994:TAC131002 TJY130994:TJY131002 TTU130994:TTU131002 UDQ130994:UDQ131002 UNM130994:UNM131002 UXI130994:UXI131002 VHE130994:VHE131002 VRA130994:VRA131002 WAW130994:WAW131002 WKS130994:WKS131002 WUO130994:WUO131002 C196530:C196538 IC196530:IC196538 RY196530:RY196538 ABU196530:ABU196538 ALQ196530:ALQ196538 AVM196530:AVM196538 BFI196530:BFI196538 BPE196530:BPE196538 BZA196530:BZA196538 CIW196530:CIW196538 CSS196530:CSS196538 DCO196530:DCO196538 DMK196530:DMK196538 DWG196530:DWG196538 EGC196530:EGC196538 EPY196530:EPY196538 EZU196530:EZU196538 FJQ196530:FJQ196538 FTM196530:FTM196538 GDI196530:GDI196538 GNE196530:GNE196538 GXA196530:GXA196538 HGW196530:HGW196538 HQS196530:HQS196538 IAO196530:IAO196538 IKK196530:IKK196538 IUG196530:IUG196538 JEC196530:JEC196538 JNY196530:JNY196538 JXU196530:JXU196538 KHQ196530:KHQ196538 KRM196530:KRM196538 LBI196530:LBI196538 LLE196530:LLE196538 LVA196530:LVA196538 MEW196530:MEW196538 MOS196530:MOS196538 MYO196530:MYO196538 NIK196530:NIK196538 NSG196530:NSG196538 OCC196530:OCC196538 OLY196530:OLY196538 OVU196530:OVU196538 PFQ196530:PFQ196538 PPM196530:PPM196538 PZI196530:PZI196538 QJE196530:QJE196538 QTA196530:QTA196538 RCW196530:RCW196538 RMS196530:RMS196538 RWO196530:RWO196538 SGK196530:SGK196538 SQG196530:SQG196538 TAC196530:TAC196538 TJY196530:TJY196538 TTU196530:TTU196538 UDQ196530:UDQ196538 UNM196530:UNM196538 UXI196530:UXI196538 VHE196530:VHE196538 VRA196530:VRA196538 WAW196530:WAW196538 WKS196530:WKS196538 WUO196530:WUO196538 C262066:C262074 IC262066:IC262074 RY262066:RY262074 ABU262066:ABU262074 ALQ262066:ALQ262074 AVM262066:AVM262074 BFI262066:BFI262074 BPE262066:BPE262074 BZA262066:BZA262074 CIW262066:CIW262074 CSS262066:CSS262074 DCO262066:DCO262074 DMK262066:DMK262074 DWG262066:DWG262074 EGC262066:EGC262074 EPY262066:EPY262074 EZU262066:EZU262074 FJQ262066:FJQ262074 FTM262066:FTM262074 GDI262066:GDI262074 GNE262066:GNE262074 GXA262066:GXA262074 HGW262066:HGW262074 HQS262066:HQS262074 IAO262066:IAO262074 IKK262066:IKK262074 IUG262066:IUG262074 JEC262066:JEC262074 JNY262066:JNY262074 JXU262066:JXU262074 KHQ262066:KHQ262074 KRM262066:KRM262074 LBI262066:LBI262074 LLE262066:LLE262074 LVA262066:LVA262074 MEW262066:MEW262074 MOS262066:MOS262074 MYO262066:MYO262074 NIK262066:NIK262074 NSG262066:NSG262074 OCC262066:OCC262074 OLY262066:OLY262074 OVU262066:OVU262074 PFQ262066:PFQ262074 PPM262066:PPM262074 PZI262066:PZI262074 QJE262066:QJE262074 QTA262066:QTA262074 RCW262066:RCW262074 RMS262066:RMS262074 RWO262066:RWO262074 SGK262066:SGK262074 SQG262066:SQG262074 TAC262066:TAC262074 TJY262066:TJY262074 TTU262066:TTU262074 UDQ262066:UDQ262074 UNM262066:UNM262074 UXI262066:UXI262074 VHE262066:VHE262074 VRA262066:VRA262074 WAW262066:WAW262074 WKS262066:WKS262074 WUO262066:WUO262074 C327602:C327610 IC327602:IC327610 RY327602:RY327610 ABU327602:ABU327610 ALQ327602:ALQ327610 AVM327602:AVM327610 BFI327602:BFI327610 BPE327602:BPE327610 BZA327602:BZA327610 CIW327602:CIW327610 CSS327602:CSS327610 DCO327602:DCO327610 DMK327602:DMK327610 DWG327602:DWG327610 EGC327602:EGC327610 EPY327602:EPY327610 EZU327602:EZU327610 FJQ327602:FJQ327610 FTM327602:FTM327610 GDI327602:GDI327610 GNE327602:GNE327610 GXA327602:GXA327610 HGW327602:HGW327610 HQS327602:HQS327610 IAO327602:IAO327610 IKK327602:IKK327610 IUG327602:IUG327610 JEC327602:JEC327610 JNY327602:JNY327610 JXU327602:JXU327610 KHQ327602:KHQ327610 KRM327602:KRM327610 LBI327602:LBI327610 LLE327602:LLE327610 LVA327602:LVA327610 MEW327602:MEW327610 MOS327602:MOS327610 MYO327602:MYO327610 NIK327602:NIK327610 NSG327602:NSG327610 OCC327602:OCC327610 OLY327602:OLY327610 OVU327602:OVU327610 PFQ327602:PFQ327610 PPM327602:PPM327610 PZI327602:PZI327610 QJE327602:QJE327610 QTA327602:QTA327610 RCW327602:RCW327610 RMS327602:RMS327610 RWO327602:RWO327610 SGK327602:SGK327610 SQG327602:SQG327610 TAC327602:TAC327610 TJY327602:TJY327610 TTU327602:TTU327610 UDQ327602:UDQ327610 UNM327602:UNM327610 UXI327602:UXI327610 VHE327602:VHE327610 VRA327602:VRA327610 WAW327602:WAW327610 WKS327602:WKS327610 WUO327602:WUO327610 C393138:C393146 IC393138:IC393146 RY393138:RY393146 ABU393138:ABU393146 ALQ393138:ALQ393146 AVM393138:AVM393146 BFI393138:BFI393146 BPE393138:BPE393146 BZA393138:BZA393146 CIW393138:CIW393146 CSS393138:CSS393146 DCO393138:DCO393146 DMK393138:DMK393146 DWG393138:DWG393146 EGC393138:EGC393146 EPY393138:EPY393146 EZU393138:EZU393146 FJQ393138:FJQ393146 FTM393138:FTM393146 GDI393138:GDI393146 GNE393138:GNE393146 GXA393138:GXA393146 HGW393138:HGW393146 HQS393138:HQS393146 IAO393138:IAO393146 IKK393138:IKK393146 IUG393138:IUG393146 JEC393138:JEC393146 JNY393138:JNY393146 JXU393138:JXU393146 KHQ393138:KHQ393146 KRM393138:KRM393146 LBI393138:LBI393146 LLE393138:LLE393146 LVA393138:LVA393146 MEW393138:MEW393146 MOS393138:MOS393146 MYO393138:MYO393146 NIK393138:NIK393146 NSG393138:NSG393146 OCC393138:OCC393146 OLY393138:OLY393146 OVU393138:OVU393146 PFQ393138:PFQ393146 PPM393138:PPM393146 PZI393138:PZI393146 QJE393138:QJE393146 QTA393138:QTA393146 RCW393138:RCW393146 RMS393138:RMS393146 RWO393138:RWO393146 SGK393138:SGK393146 SQG393138:SQG393146 TAC393138:TAC393146 TJY393138:TJY393146 TTU393138:TTU393146 UDQ393138:UDQ393146 UNM393138:UNM393146 UXI393138:UXI393146 VHE393138:VHE393146 VRA393138:VRA393146 WAW393138:WAW393146 WKS393138:WKS393146 WUO393138:WUO393146 C458674:C458682 IC458674:IC458682 RY458674:RY458682 ABU458674:ABU458682 ALQ458674:ALQ458682 AVM458674:AVM458682 BFI458674:BFI458682 BPE458674:BPE458682 BZA458674:BZA458682 CIW458674:CIW458682 CSS458674:CSS458682 DCO458674:DCO458682 DMK458674:DMK458682 DWG458674:DWG458682 EGC458674:EGC458682 EPY458674:EPY458682 EZU458674:EZU458682 FJQ458674:FJQ458682 FTM458674:FTM458682 GDI458674:GDI458682 GNE458674:GNE458682 GXA458674:GXA458682 HGW458674:HGW458682 HQS458674:HQS458682 IAO458674:IAO458682 IKK458674:IKK458682 IUG458674:IUG458682 JEC458674:JEC458682 JNY458674:JNY458682 JXU458674:JXU458682 KHQ458674:KHQ458682 KRM458674:KRM458682 LBI458674:LBI458682 LLE458674:LLE458682 LVA458674:LVA458682 MEW458674:MEW458682 MOS458674:MOS458682 MYO458674:MYO458682 NIK458674:NIK458682 NSG458674:NSG458682 OCC458674:OCC458682 OLY458674:OLY458682 OVU458674:OVU458682 PFQ458674:PFQ458682 PPM458674:PPM458682 PZI458674:PZI458682 QJE458674:QJE458682 QTA458674:QTA458682 RCW458674:RCW458682 RMS458674:RMS458682 RWO458674:RWO458682 SGK458674:SGK458682 SQG458674:SQG458682 TAC458674:TAC458682 TJY458674:TJY458682 TTU458674:TTU458682 UDQ458674:UDQ458682 UNM458674:UNM458682 UXI458674:UXI458682 VHE458674:VHE458682 VRA458674:VRA458682 WAW458674:WAW458682 WKS458674:WKS458682 WUO458674:WUO458682 C524210:C524218 IC524210:IC524218 RY524210:RY524218 ABU524210:ABU524218 ALQ524210:ALQ524218 AVM524210:AVM524218 BFI524210:BFI524218 BPE524210:BPE524218 BZA524210:BZA524218 CIW524210:CIW524218 CSS524210:CSS524218 DCO524210:DCO524218 DMK524210:DMK524218 DWG524210:DWG524218 EGC524210:EGC524218 EPY524210:EPY524218 EZU524210:EZU524218 FJQ524210:FJQ524218 FTM524210:FTM524218 GDI524210:GDI524218 GNE524210:GNE524218 GXA524210:GXA524218 HGW524210:HGW524218 HQS524210:HQS524218 IAO524210:IAO524218 IKK524210:IKK524218 IUG524210:IUG524218 JEC524210:JEC524218 JNY524210:JNY524218 JXU524210:JXU524218 KHQ524210:KHQ524218 KRM524210:KRM524218 LBI524210:LBI524218 LLE524210:LLE524218 LVA524210:LVA524218 MEW524210:MEW524218 MOS524210:MOS524218 MYO524210:MYO524218 NIK524210:NIK524218 NSG524210:NSG524218 OCC524210:OCC524218 OLY524210:OLY524218 OVU524210:OVU524218 PFQ524210:PFQ524218 PPM524210:PPM524218 PZI524210:PZI524218 QJE524210:QJE524218 QTA524210:QTA524218 RCW524210:RCW524218 RMS524210:RMS524218 RWO524210:RWO524218 SGK524210:SGK524218 SQG524210:SQG524218 TAC524210:TAC524218 TJY524210:TJY524218 TTU524210:TTU524218 UDQ524210:UDQ524218 UNM524210:UNM524218 UXI524210:UXI524218 VHE524210:VHE524218 VRA524210:VRA524218 WAW524210:WAW524218 WKS524210:WKS524218 WUO524210:WUO524218 C589746:C589754 IC589746:IC589754 RY589746:RY589754 ABU589746:ABU589754 ALQ589746:ALQ589754 AVM589746:AVM589754 BFI589746:BFI589754 BPE589746:BPE589754 BZA589746:BZA589754 CIW589746:CIW589754 CSS589746:CSS589754 DCO589746:DCO589754 DMK589746:DMK589754 DWG589746:DWG589754 EGC589746:EGC589754 EPY589746:EPY589754 EZU589746:EZU589754 FJQ589746:FJQ589754 FTM589746:FTM589754 GDI589746:GDI589754 GNE589746:GNE589754 GXA589746:GXA589754 HGW589746:HGW589754 HQS589746:HQS589754 IAO589746:IAO589754 IKK589746:IKK589754 IUG589746:IUG589754 JEC589746:JEC589754 JNY589746:JNY589754 JXU589746:JXU589754 KHQ589746:KHQ589754 KRM589746:KRM589754 LBI589746:LBI589754 LLE589746:LLE589754 LVA589746:LVA589754 MEW589746:MEW589754 MOS589746:MOS589754 MYO589746:MYO589754 NIK589746:NIK589754 NSG589746:NSG589754 OCC589746:OCC589754 OLY589746:OLY589754 OVU589746:OVU589754 PFQ589746:PFQ589754 PPM589746:PPM589754 PZI589746:PZI589754 QJE589746:QJE589754 QTA589746:QTA589754 RCW589746:RCW589754 RMS589746:RMS589754 RWO589746:RWO589754 SGK589746:SGK589754 SQG589746:SQG589754 TAC589746:TAC589754 TJY589746:TJY589754 TTU589746:TTU589754 UDQ589746:UDQ589754 UNM589746:UNM589754 UXI589746:UXI589754 VHE589746:VHE589754 VRA589746:VRA589754 WAW589746:WAW589754 WKS589746:WKS589754 WUO589746:WUO589754 C655282:C655290 IC655282:IC655290 RY655282:RY655290 ABU655282:ABU655290 ALQ655282:ALQ655290 AVM655282:AVM655290 BFI655282:BFI655290 BPE655282:BPE655290 BZA655282:BZA655290 CIW655282:CIW655290 CSS655282:CSS655290 DCO655282:DCO655290 DMK655282:DMK655290 DWG655282:DWG655290 EGC655282:EGC655290 EPY655282:EPY655290 EZU655282:EZU655290 FJQ655282:FJQ655290 FTM655282:FTM655290 GDI655282:GDI655290 GNE655282:GNE655290 GXA655282:GXA655290 HGW655282:HGW655290 HQS655282:HQS655290 IAO655282:IAO655290 IKK655282:IKK655290 IUG655282:IUG655290 JEC655282:JEC655290 JNY655282:JNY655290 JXU655282:JXU655290 KHQ655282:KHQ655290 KRM655282:KRM655290 LBI655282:LBI655290 LLE655282:LLE655290 LVA655282:LVA655290 MEW655282:MEW655290 MOS655282:MOS655290 MYO655282:MYO655290 NIK655282:NIK655290 NSG655282:NSG655290 OCC655282:OCC655290 OLY655282:OLY655290 OVU655282:OVU655290 PFQ655282:PFQ655290 PPM655282:PPM655290 PZI655282:PZI655290 QJE655282:QJE655290 QTA655282:QTA655290 RCW655282:RCW655290 RMS655282:RMS655290 RWO655282:RWO655290 SGK655282:SGK655290 SQG655282:SQG655290 TAC655282:TAC655290 TJY655282:TJY655290 TTU655282:TTU655290 UDQ655282:UDQ655290 UNM655282:UNM655290 UXI655282:UXI655290 VHE655282:VHE655290 VRA655282:VRA655290 WAW655282:WAW655290 WKS655282:WKS655290 WUO655282:WUO655290 C720818:C720826 IC720818:IC720826 RY720818:RY720826 ABU720818:ABU720826 ALQ720818:ALQ720826 AVM720818:AVM720826 BFI720818:BFI720826 BPE720818:BPE720826 BZA720818:BZA720826 CIW720818:CIW720826 CSS720818:CSS720826 DCO720818:DCO720826 DMK720818:DMK720826 DWG720818:DWG720826 EGC720818:EGC720826 EPY720818:EPY720826 EZU720818:EZU720826 FJQ720818:FJQ720826 FTM720818:FTM720826 GDI720818:GDI720826 GNE720818:GNE720826 GXA720818:GXA720826 HGW720818:HGW720826 HQS720818:HQS720826 IAO720818:IAO720826 IKK720818:IKK720826 IUG720818:IUG720826 JEC720818:JEC720826 JNY720818:JNY720826 JXU720818:JXU720826 KHQ720818:KHQ720826 KRM720818:KRM720826 LBI720818:LBI720826 LLE720818:LLE720826 LVA720818:LVA720826 MEW720818:MEW720826 MOS720818:MOS720826 MYO720818:MYO720826 NIK720818:NIK720826 NSG720818:NSG720826 OCC720818:OCC720826 OLY720818:OLY720826 OVU720818:OVU720826 PFQ720818:PFQ720826 PPM720818:PPM720826 PZI720818:PZI720826 QJE720818:QJE720826 QTA720818:QTA720826 RCW720818:RCW720826 RMS720818:RMS720826 RWO720818:RWO720826 SGK720818:SGK720826 SQG720818:SQG720826 TAC720818:TAC720826 TJY720818:TJY720826 TTU720818:TTU720826 UDQ720818:UDQ720826 UNM720818:UNM720826 UXI720818:UXI720826 VHE720818:VHE720826 VRA720818:VRA720826 WAW720818:WAW720826 WKS720818:WKS720826 WUO720818:WUO720826 C786354:C786362 IC786354:IC786362 RY786354:RY786362 ABU786354:ABU786362 ALQ786354:ALQ786362 AVM786354:AVM786362 BFI786354:BFI786362 BPE786354:BPE786362 BZA786354:BZA786362 CIW786354:CIW786362 CSS786354:CSS786362 DCO786354:DCO786362 DMK786354:DMK786362 DWG786354:DWG786362 EGC786354:EGC786362 EPY786354:EPY786362 EZU786354:EZU786362 FJQ786354:FJQ786362 FTM786354:FTM786362 GDI786354:GDI786362 GNE786354:GNE786362 GXA786354:GXA786362 HGW786354:HGW786362 HQS786354:HQS786362 IAO786354:IAO786362 IKK786354:IKK786362 IUG786354:IUG786362 JEC786354:JEC786362 JNY786354:JNY786362 JXU786354:JXU786362 KHQ786354:KHQ786362 KRM786354:KRM786362 LBI786354:LBI786362 LLE786354:LLE786362 LVA786354:LVA786362 MEW786354:MEW786362 MOS786354:MOS786362 MYO786354:MYO786362 NIK786354:NIK786362 NSG786354:NSG786362 OCC786354:OCC786362 OLY786354:OLY786362 OVU786354:OVU786362 PFQ786354:PFQ786362 PPM786354:PPM786362 PZI786354:PZI786362 QJE786354:QJE786362 QTA786354:QTA786362 RCW786354:RCW786362 RMS786354:RMS786362 RWO786354:RWO786362 SGK786354:SGK786362 SQG786354:SQG786362 TAC786354:TAC786362 TJY786354:TJY786362 TTU786354:TTU786362 UDQ786354:UDQ786362 UNM786354:UNM786362 UXI786354:UXI786362 VHE786354:VHE786362 VRA786354:VRA786362 WAW786354:WAW786362 WKS786354:WKS786362 WUO786354:WUO786362 C851890:C851898 IC851890:IC851898 RY851890:RY851898 ABU851890:ABU851898 ALQ851890:ALQ851898 AVM851890:AVM851898 BFI851890:BFI851898 BPE851890:BPE851898 BZA851890:BZA851898 CIW851890:CIW851898 CSS851890:CSS851898 DCO851890:DCO851898 DMK851890:DMK851898 DWG851890:DWG851898 EGC851890:EGC851898 EPY851890:EPY851898 EZU851890:EZU851898 FJQ851890:FJQ851898 FTM851890:FTM851898 GDI851890:GDI851898 GNE851890:GNE851898 GXA851890:GXA851898 HGW851890:HGW851898 HQS851890:HQS851898 IAO851890:IAO851898 IKK851890:IKK851898 IUG851890:IUG851898 JEC851890:JEC851898 JNY851890:JNY851898 JXU851890:JXU851898 KHQ851890:KHQ851898 KRM851890:KRM851898 LBI851890:LBI851898 LLE851890:LLE851898 LVA851890:LVA851898 MEW851890:MEW851898 MOS851890:MOS851898 MYO851890:MYO851898 NIK851890:NIK851898 NSG851890:NSG851898 OCC851890:OCC851898 OLY851890:OLY851898 OVU851890:OVU851898 PFQ851890:PFQ851898 PPM851890:PPM851898 PZI851890:PZI851898 QJE851890:QJE851898 QTA851890:QTA851898 RCW851890:RCW851898 RMS851890:RMS851898 RWO851890:RWO851898 SGK851890:SGK851898 SQG851890:SQG851898 TAC851890:TAC851898 TJY851890:TJY851898 TTU851890:TTU851898 UDQ851890:UDQ851898 UNM851890:UNM851898 UXI851890:UXI851898 VHE851890:VHE851898 VRA851890:VRA851898 WAW851890:WAW851898 WKS851890:WKS851898 WUO851890:WUO851898 C917426:C917434 IC917426:IC917434 RY917426:RY917434 ABU917426:ABU917434 ALQ917426:ALQ917434 AVM917426:AVM917434 BFI917426:BFI917434 BPE917426:BPE917434 BZA917426:BZA917434 CIW917426:CIW917434 CSS917426:CSS917434 DCO917426:DCO917434 DMK917426:DMK917434 DWG917426:DWG917434 EGC917426:EGC917434 EPY917426:EPY917434 EZU917426:EZU917434 FJQ917426:FJQ917434 FTM917426:FTM917434 GDI917426:GDI917434 GNE917426:GNE917434 GXA917426:GXA917434 HGW917426:HGW917434 HQS917426:HQS917434 IAO917426:IAO917434 IKK917426:IKK917434 IUG917426:IUG917434 JEC917426:JEC917434 JNY917426:JNY917434 JXU917426:JXU917434 KHQ917426:KHQ917434 KRM917426:KRM917434 LBI917426:LBI917434 LLE917426:LLE917434 LVA917426:LVA917434 MEW917426:MEW917434 MOS917426:MOS917434 MYO917426:MYO917434 NIK917426:NIK917434 NSG917426:NSG917434 OCC917426:OCC917434 OLY917426:OLY917434 OVU917426:OVU917434 PFQ917426:PFQ917434 PPM917426:PPM917434 PZI917426:PZI917434 QJE917426:QJE917434 QTA917426:QTA917434 RCW917426:RCW917434 RMS917426:RMS917434 RWO917426:RWO917434 SGK917426:SGK917434 SQG917426:SQG917434 TAC917426:TAC917434 TJY917426:TJY917434 TTU917426:TTU917434 UDQ917426:UDQ917434 UNM917426:UNM917434 UXI917426:UXI917434 VHE917426:VHE917434 VRA917426:VRA917434 WAW917426:WAW917434 WKS917426:WKS917434 WUO917426:WUO917434 C982962:C982970 IC982962:IC982970 RY982962:RY982970 ABU982962:ABU982970 ALQ982962:ALQ982970 AVM982962:AVM982970 BFI982962:BFI982970 BPE982962:BPE982970 BZA982962:BZA982970 CIW982962:CIW982970 CSS982962:CSS982970 DCO982962:DCO982970 DMK982962:DMK982970 DWG982962:DWG982970 EGC982962:EGC982970 EPY982962:EPY982970 EZU982962:EZU982970 FJQ982962:FJQ982970 FTM982962:FTM982970 GDI982962:GDI982970 GNE982962:GNE982970 GXA982962:GXA982970 HGW982962:HGW982970 HQS982962:HQS982970 IAO982962:IAO982970 IKK982962:IKK982970 IUG982962:IUG982970 JEC982962:JEC982970 JNY982962:JNY982970 JXU982962:JXU982970 KHQ982962:KHQ982970 KRM982962:KRM982970 LBI982962:LBI982970 LLE982962:LLE982970 LVA982962:LVA982970 MEW982962:MEW982970 MOS982962:MOS982970 MYO982962:MYO982970 NIK982962:NIK982970 NSG982962:NSG982970 OCC982962:OCC982970 OLY982962:OLY982970 OVU982962:OVU982970 PFQ982962:PFQ982970 PPM982962:PPM982970 PZI982962:PZI982970 QJE982962:QJE982970 QTA982962:QTA982970 RCW982962:RCW982970 RMS982962:RMS982970 RWO982962:RWO982970 SGK982962:SGK982970 SQG982962:SQG982970 TAC982962:TAC982970 TJY982962:TJY982970 TTU982962:TTU982970 UDQ982962:UDQ982970 UNM982962:UNM982970 UXI982962:UXI982970 VHE982962:VHE982970 VRA982962:VRA982970 WAW982962:WAW982970 WKS982962:WKS982970 WUO982962:WUO982970 C65469:C65477 IC65469:IC65477 RY65469:RY65477 ABU65469:ABU65477 ALQ65469:ALQ65477 AVM65469:AVM65477 BFI65469:BFI65477 BPE65469:BPE65477 BZA65469:BZA65477 CIW65469:CIW65477 CSS65469:CSS65477 DCO65469:DCO65477 DMK65469:DMK65477 DWG65469:DWG65477 EGC65469:EGC65477 EPY65469:EPY65477 EZU65469:EZU65477 FJQ65469:FJQ65477 FTM65469:FTM65477 GDI65469:GDI65477 GNE65469:GNE65477 GXA65469:GXA65477 HGW65469:HGW65477 HQS65469:HQS65477 IAO65469:IAO65477 IKK65469:IKK65477 IUG65469:IUG65477 JEC65469:JEC65477 JNY65469:JNY65477 JXU65469:JXU65477 KHQ65469:KHQ65477 KRM65469:KRM65477 LBI65469:LBI65477 LLE65469:LLE65477 LVA65469:LVA65477 MEW65469:MEW65477 MOS65469:MOS65477 MYO65469:MYO65477 NIK65469:NIK65477 NSG65469:NSG65477 OCC65469:OCC65477 OLY65469:OLY65477 OVU65469:OVU65477 PFQ65469:PFQ65477 PPM65469:PPM65477 PZI65469:PZI65477 QJE65469:QJE65477 QTA65469:QTA65477 RCW65469:RCW65477 RMS65469:RMS65477 RWO65469:RWO65477 SGK65469:SGK65477 SQG65469:SQG65477 TAC65469:TAC65477 TJY65469:TJY65477 TTU65469:TTU65477 UDQ65469:UDQ65477 UNM65469:UNM65477 UXI65469:UXI65477 VHE65469:VHE65477 VRA65469:VRA65477 WAW65469:WAW65477 WKS65469:WKS65477 WUO65469:WUO65477 C131005:C131013 IC131005:IC131013 RY131005:RY131013 ABU131005:ABU131013 ALQ131005:ALQ131013 AVM131005:AVM131013 BFI131005:BFI131013 BPE131005:BPE131013 BZA131005:BZA131013 CIW131005:CIW131013 CSS131005:CSS131013 DCO131005:DCO131013 DMK131005:DMK131013 DWG131005:DWG131013 EGC131005:EGC131013 EPY131005:EPY131013 EZU131005:EZU131013 FJQ131005:FJQ131013 FTM131005:FTM131013 GDI131005:GDI131013 GNE131005:GNE131013 GXA131005:GXA131013 HGW131005:HGW131013 HQS131005:HQS131013 IAO131005:IAO131013 IKK131005:IKK131013 IUG131005:IUG131013 JEC131005:JEC131013 JNY131005:JNY131013 JXU131005:JXU131013 KHQ131005:KHQ131013 KRM131005:KRM131013 LBI131005:LBI131013 LLE131005:LLE131013 LVA131005:LVA131013 MEW131005:MEW131013 MOS131005:MOS131013 MYO131005:MYO131013 NIK131005:NIK131013 NSG131005:NSG131013 OCC131005:OCC131013 OLY131005:OLY131013 OVU131005:OVU131013 PFQ131005:PFQ131013 PPM131005:PPM131013 PZI131005:PZI131013 QJE131005:QJE131013 QTA131005:QTA131013 RCW131005:RCW131013 RMS131005:RMS131013 RWO131005:RWO131013 SGK131005:SGK131013 SQG131005:SQG131013 TAC131005:TAC131013 TJY131005:TJY131013 TTU131005:TTU131013 UDQ131005:UDQ131013 UNM131005:UNM131013 UXI131005:UXI131013 VHE131005:VHE131013 VRA131005:VRA131013 WAW131005:WAW131013 WKS131005:WKS131013 WUO131005:WUO131013 C196541:C196549 IC196541:IC196549 RY196541:RY196549 ABU196541:ABU196549 ALQ196541:ALQ196549 AVM196541:AVM196549 BFI196541:BFI196549 BPE196541:BPE196549 BZA196541:BZA196549 CIW196541:CIW196549 CSS196541:CSS196549 DCO196541:DCO196549 DMK196541:DMK196549 DWG196541:DWG196549 EGC196541:EGC196549 EPY196541:EPY196549 EZU196541:EZU196549 FJQ196541:FJQ196549 FTM196541:FTM196549 GDI196541:GDI196549 GNE196541:GNE196549 GXA196541:GXA196549 HGW196541:HGW196549 HQS196541:HQS196549 IAO196541:IAO196549 IKK196541:IKK196549 IUG196541:IUG196549 JEC196541:JEC196549 JNY196541:JNY196549 JXU196541:JXU196549 KHQ196541:KHQ196549 KRM196541:KRM196549 LBI196541:LBI196549 LLE196541:LLE196549 LVA196541:LVA196549 MEW196541:MEW196549 MOS196541:MOS196549 MYO196541:MYO196549 NIK196541:NIK196549 NSG196541:NSG196549 OCC196541:OCC196549 OLY196541:OLY196549 OVU196541:OVU196549 PFQ196541:PFQ196549 PPM196541:PPM196549 PZI196541:PZI196549 QJE196541:QJE196549 QTA196541:QTA196549 RCW196541:RCW196549 RMS196541:RMS196549 RWO196541:RWO196549 SGK196541:SGK196549 SQG196541:SQG196549 TAC196541:TAC196549 TJY196541:TJY196549 TTU196541:TTU196549 UDQ196541:UDQ196549 UNM196541:UNM196549 UXI196541:UXI196549 VHE196541:VHE196549 VRA196541:VRA196549 WAW196541:WAW196549 WKS196541:WKS196549 WUO196541:WUO196549 C262077:C262085 IC262077:IC262085 RY262077:RY262085 ABU262077:ABU262085 ALQ262077:ALQ262085 AVM262077:AVM262085 BFI262077:BFI262085 BPE262077:BPE262085 BZA262077:BZA262085 CIW262077:CIW262085 CSS262077:CSS262085 DCO262077:DCO262085 DMK262077:DMK262085 DWG262077:DWG262085 EGC262077:EGC262085 EPY262077:EPY262085 EZU262077:EZU262085 FJQ262077:FJQ262085 FTM262077:FTM262085 GDI262077:GDI262085 GNE262077:GNE262085 GXA262077:GXA262085 HGW262077:HGW262085 HQS262077:HQS262085 IAO262077:IAO262085 IKK262077:IKK262085 IUG262077:IUG262085 JEC262077:JEC262085 JNY262077:JNY262085 JXU262077:JXU262085 KHQ262077:KHQ262085 KRM262077:KRM262085 LBI262077:LBI262085 LLE262077:LLE262085 LVA262077:LVA262085 MEW262077:MEW262085 MOS262077:MOS262085 MYO262077:MYO262085 NIK262077:NIK262085 NSG262077:NSG262085 OCC262077:OCC262085 OLY262077:OLY262085 OVU262077:OVU262085 PFQ262077:PFQ262085 PPM262077:PPM262085 PZI262077:PZI262085 QJE262077:QJE262085 QTA262077:QTA262085 RCW262077:RCW262085 RMS262077:RMS262085 RWO262077:RWO262085 SGK262077:SGK262085 SQG262077:SQG262085 TAC262077:TAC262085 TJY262077:TJY262085 TTU262077:TTU262085 UDQ262077:UDQ262085 UNM262077:UNM262085 UXI262077:UXI262085 VHE262077:VHE262085 VRA262077:VRA262085 WAW262077:WAW262085 WKS262077:WKS262085 WUO262077:WUO262085 C327613:C327621 IC327613:IC327621 RY327613:RY327621 ABU327613:ABU327621 ALQ327613:ALQ327621 AVM327613:AVM327621 BFI327613:BFI327621 BPE327613:BPE327621 BZA327613:BZA327621 CIW327613:CIW327621 CSS327613:CSS327621 DCO327613:DCO327621 DMK327613:DMK327621 DWG327613:DWG327621 EGC327613:EGC327621 EPY327613:EPY327621 EZU327613:EZU327621 FJQ327613:FJQ327621 FTM327613:FTM327621 GDI327613:GDI327621 GNE327613:GNE327621 GXA327613:GXA327621 HGW327613:HGW327621 HQS327613:HQS327621 IAO327613:IAO327621 IKK327613:IKK327621 IUG327613:IUG327621 JEC327613:JEC327621 JNY327613:JNY327621 JXU327613:JXU327621 KHQ327613:KHQ327621 KRM327613:KRM327621 LBI327613:LBI327621 LLE327613:LLE327621 LVA327613:LVA327621 MEW327613:MEW327621 MOS327613:MOS327621 MYO327613:MYO327621 NIK327613:NIK327621 NSG327613:NSG327621 OCC327613:OCC327621 OLY327613:OLY327621 OVU327613:OVU327621 PFQ327613:PFQ327621 PPM327613:PPM327621 PZI327613:PZI327621 QJE327613:QJE327621 QTA327613:QTA327621 RCW327613:RCW327621 RMS327613:RMS327621 RWO327613:RWO327621 SGK327613:SGK327621 SQG327613:SQG327621 TAC327613:TAC327621 TJY327613:TJY327621 TTU327613:TTU327621 UDQ327613:UDQ327621 UNM327613:UNM327621 UXI327613:UXI327621 VHE327613:VHE327621 VRA327613:VRA327621 WAW327613:WAW327621 WKS327613:WKS327621 WUO327613:WUO327621 C393149:C393157 IC393149:IC393157 RY393149:RY393157 ABU393149:ABU393157 ALQ393149:ALQ393157 AVM393149:AVM393157 BFI393149:BFI393157 BPE393149:BPE393157 BZA393149:BZA393157 CIW393149:CIW393157 CSS393149:CSS393157 DCO393149:DCO393157 DMK393149:DMK393157 DWG393149:DWG393157 EGC393149:EGC393157 EPY393149:EPY393157 EZU393149:EZU393157 FJQ393149:FJQ393157 FTM393149:FTM393157 GDI393149:GDI393157 GNE393149:GNE393157 GXA393149:GXA393157 HGW393149:HGW393157 HQS393149:HQS393157 IAO393149:IAO393157 IKK393149:IKK393157 IUG393149:IUG393157 JEC393149:JEC393157 JNY393149:JNY393157 JXU393149:JXU393157 KHQ393149:KHQ393157 KRM393149:KRM393157 LBI393149:LBI393157 LLE393149:LLE393157 LVA393149:LVA393157 MEW393149:MEW393157 MOS393149:MOS393157 MYO393149:MYO393157 NIK393149:NIK393157 NSG393149:NSG393157 OCC393149:OCC393157 OLY393149:OLY393157 OVU393149:OVU393157 PFQ393149:PFQ393157 PPM393149:PPM393157 PZI393149:PZI393157 QJE393149:QJE393157 QTA393149:QTA393157 RCW393149:RCW393157 RMS393149:RMS393157 RWO393149:RWO393157 SGK393149:SGK393157 SQG393149:SQG393157 TAC393149:TAC393157 TJY393149:TJY393157 TTU393149:TTU393157 UDQ393149:UDQ393157 UNM393149:UNM393157 UXI393149:UXI393157 VHE393149:VHE393157 VRA393149:VRA393157 WAW393149:WAW393157 WKS393149:WKS393157 WUO393149:WUO393157 C458685:C458693 IC458685:IC458693 RY458685:RY458693 ABU458685:ABU458693 ALQ458685:ALQ458693 AVM458685:AVM458693 BFI458685:BFI458693 BPE458685:BPE458693 BZA458685:BZA458693 CIW458685:CIW458693 CSS458685:CSS458693 DCO458685:DCO458693 DMK458685:DMK458693 DWG458685:DWG458693 EGC458685:EGC458693 EPY458685:EPY458693 EZU458685:EZU458693 FJQ458685:FJQ458693 FTM458685:FTM458693 GDI458685:GDI458693 GNE458685:GNE458693 GXA458685:GXA458693 HGW458685:HGW458693 HQS458685:HQS458693 IAO458685:IAO458693 IKK458685:IKK458693 IUG458685:IUG458693 JEC458685:JEC458693 JNY458685:JNY458693 JXU458685:JXU458693 KHQ458685:KHQ458693 KRM458685:KRM458693 LBI458685:LBI458693 LLE458685:LLE458693 LVA458685:LVA458693 MEW458685:MEW458693 MOS458685:MOS458693 MYO458685:MYO458693 NIK458685:NIK458693 NSG458685:NSG458693 OCC458685:OCC458693 OLY458685:OLY458693 OVU458685:OVU458693 PFQ458685:PFQ458693 PPM458685:PPM458693 PZI458685:PZI458693 QJE458685:QJE458693 QTA458685:QTA458693 RCW458685:RCW458693 RMS458685:RMS458693 RWO458685:RWO458693 SGK458685:SGK458693 SQG458685:SQG458693 TAC458685:TAC458693 TJY458685:TJY458693 TTU458685:TTU458693 UDQ458685:UDQ458693 UNM458685:UNM458693 UXI458685:UXI458693 VHE458685:VHE458693 VRA458685:VRA458693 WAW458685:WAW458693 WKS458685:WKS458693 WUO458685:WUO458693 C524221:C524229 IC524221:IC524229 RY524221:RY524229 ABU524221:ABU524229 ALQ524221:ALQ524229 AVM524221:AVM524229 BFI524221:BFI524229 BPE524221:BPE524229 BZA524221:BZA524229 CIW524221:CIW524229 CSS524221:CSS524229 DCO524221:DCO524229 DMK524221:DMK524229 DWG524221:DWG524229 EGC524221:EGC524229 EPY524221:EPY524229 EZU524221:EZU524229 FJQ524221:FJQ524229 FTM524221:FTM524229 GDI524221:GDI524229 GNE524221:GNE524229 GXA524221:GXA524229 HGW524221:HGW524229 HQS524221:HQS524229 IAO524221:IAO524229 IKK524221:IKK524229 IUG524221:IUG524229 JEC524221:JEC524229 JNY524221:JNY524229 JXU524221:JXU524229 KHQ524221:KHQ524229 KRM524221:KRM524229 LBI524221:LBI524229 LLE524221:LLE524229 LVA524221:LVA524229 MEW524221:MEW524229 MOS524221:MOS524229 MYO524221:MYO524229 NIK524221:NIK524229 NSG524221:NSG524229 OCC524221:OCC524229 OLY524221:OLY524229 OVU524221:OVU524229 PFQ524221:PFQ524229 PPM524221:PPM524229 PZI524221:PZI524229 QJE524221:QJE524229 QTA524221:QTA524229 RCW524221:RCW524229 RMS524221:RMS524229 RWO524221:RWO524229 SGK524221:SGK524229 SQG524221:SQG524229 TAC524221:TAC524229 TJY524221:TJY524229 TTU524221:TTU524229 UDQ524221:UDQ524229 UNM524221:UNM524229 UXI524221:UXI524229 VHE524221:VHE524229 VRA524221:VRA524229 WAW524221:WAW524229 WKS524221:WKS524229 WUO524221:WUO524229 C589757:C589765 IC589757:IC589765 RY589757:RY589765 ABU589757:ABU589765 ALQ589757:ALQ589765 AVM589757:AVM589765 BFI589757:BFI589765 BPE589757:BPE589765 BZA589757:BZA589765 CIW589757:CIW589765 CSS589757:CSS589765 DCO589757:DCO589765 DMK589757:DMK589765 DWG589757:DWG589765 EGC589757:EGC589765 EPY589757:EPY589765 EZU589757:EZU589765 FJQ589757:FJQ589765 FTM589757:FTM589765 GDI589757:GDI589765 GNE589757:GNE589765 GXA589757:GXA589765 HGW589757:HGW589765 HQS589757:HQS589765 IAO589757:IAO589765 IKK589757:IKK589765 IUG589757:IUG589765 JEC589757:JEC589765 JNY589757:JNY589765 JXU589757:JXU589765 KHQ589757:KHQ589765 KRM589757:KRM589765 LBI589757:LBI589765 LLE589757:LLE589765 LVA589757:LVA589765 MEW589757:MEW589765 MOS589757:MOS589765 MYO589757:MYO589765 NIK589757:NIK589765 NSG589757:NSG589765 OCC589757:OCC589765 OLY589757:OLY589765 OVU589757:OVU589765 PFQ589757:PFQ589765 PPM589757:PPM589765 PZI589757:PZI589765 QJE589757:QJE589765 QTA589757:QTA589765 RCW589757:RCW589765 RMS589757:RMS589765 RWO589757:RWO589765 SGK589757:SGK589765 SQG589757:SQG589765 TAC589757:TAC589765 TJY589757:TJY589765 TTU589757:TTU589765 UDQ589757:UDQ589765 UNM589757:UNM589765 UXI589757:UXI589765 VHE589757:VHE589765 VRA589757:VRA589765 WAW589757:WAW589765 WKS589757:WKS589765 WUO589757:WUO589765 C655293:C655301 IC655293:IC655301 RY655293:RY655301 ABU655293:ABU655301 ALQ655293:ALQ655301 AVM655293:AVM655301 BFI655293:BFI655301 BPE655293:BPE655301 BZA655293:BZA655301 CIW655293:CIW655301 CSS655293:CSS655301 DCO655293:DCO655301 DMK655293:DMK655301 DWG655293:DWG655301 EGC655293:EGC655301 EPY655293:EPY655301 EZU655293:EZU655301 FJQ655293:FJQ655301 FTM655293:FTM655301 GDI655293:GDI655301 GNE655293:GNE655301 GXA655293:GXA655301 HGW655293:HGW655301 HQS655293:HQS655301 IAO655293:IAO655301 IKK655293:IKK655301 IUG655293:IUG655301 JEC655293:JEC655301 JNY655293:JNY655301 JXU655293:JXU655301 KHQ655293:KHQ655301 KRM655293:KRM655301 LBI655293:LBI655301 LLE655293:LLE655301 LVA655293:LVA655301 MEW655293:MEW655301 MOS655293:MOS655301 MYO655293:MYO655301 NIK655293:NIK655301 NSG655293:NSG655301 OCC655293:OCC655301 OLY655293:OLY655301 OVU655293:OVU655301 PFQ655293:PFQ655301 PPM655293:PPM655301 PZI655293:PZI655301 QJE655293:QJE655301 QTA655293:QTA655301 RCW655293:RCW655301 RMS655293:RMS655301 RWO655293:RWO655301 SGK655293:SGK655301 SQG655293:SQG655301 TAC655293:TAC655301 TJY655293:TJY655301 TTU655293:TTU655301 UDQ655293:UDQ655301 UNM655293:UNM655301 UXI655293:UXI655301 VHE655293:VHE655301 VRA655293:VRA655301 WAW655293:WAW655301 WKS655293:WKS655301 WUO655293:WUO655301 C720829:C720837 IC720829:IC720837 RY720829:RY720837 ABU720829:ABU720837 ALQ720829:ALQ720837 AVM720829:AVM720837 BFI720829:BFI720837 BPE720829:BPE720837 BZA720829:BZA720837 CIW720829:CIW720837 CSS720829:CSS720837 DCO720829:DCO720837 DMK720829:DMK720837 DWG720829:DWG720837 EGC720829:EGC720837 EPY720829:EPY720837 EZU720829:EZU720837 FJQ720829:FJQ720837 FTM720829:FTM720837 GDI720829:GDI720837 GNE720829:GNE720837 GXA720829:GXA720837 HGW720829:HGW720837 HQS720829:HQS720837 IAO720829:IAO720837 IKK720829:IKK720837 IUG720829:IUG720837 JEC720829:JEC720837 JNY720829:JNY720837 JXU720829:JXU720837 KHQ720829:KHQ720837 KRM720829:KRM720837 LBI720829:LBI720837 LLE720829:LLE720837 LVA720829:LVA720837 MEW720829:MEW720837 MOS720829:MOS720837 MYO720829:MYO720837 NIK720829:NIK720837 NSG720829:NSG720837 OCC720829:OCC720837 OLY720829:OLY720837 OVU720829:OVU720837 PFQ720829:PFQ720837 PPM720829:PPM720837 PZI720829:PZI720837 QJE720829:QJE720837 QTA720829:QTA720837 RCW720829:RCW720837 RMS720829:RMS720837 RWO720829:RWO720837 SGK720829:SGK720837 SQG720829:SQG720837 TAC720829:TAC720837 TJY720829:TJY720837 TTU720829:TTU720837 UDQ720829:UDQ720837 UNM720829:UNM720837 UXI720829:UXI720837 VHE720829:VHE720837 VRA720829:VRA720837 WAW720829:WAW720837 WKS720829:WKS720837 WUO720829:WUO720837 C786365:C786373 IC786365:IC786373 RY786365:RY786373 ABU786365:ABU786373 ALQ786365:ALQ786373 AVM786365:AVM786373 BFI786365:BFI786373 BPE786365:BPE786373 BZA786365:BZA786373 CIW786365:CIW786373 CSS786365:CSS786373 DCO786365:DCO786373 DMK786365:DMK786373 DWG786365:DWG786373 EGC786365:EGC786373 EPY786365:EPY786373 EZU786365:EZU786373 FJQ786365:FJQ786373 FTM786365:FTM786373 GDI786365:GDI786373 GNE786365:GNE786373 GXA786365:GXA786373 HGW786365:HGW786373 HQS786365:HQS786373 IAO786365:IAO786373 IKK786365:IKK786373 IUG786365:IUG786373 JEC786365:JEC786373 JNY786365:JNY786373 JXU786365:JXU786373 KHQ786365:KHQ786373 KRM786365:KRM786373 LBI786365:LBI786373 LLE786365:LLE786373 LVA786365:LVA786373 MEW786365:MEW786373 MOS786365:MOS786373 MYO786365:MYO786373 NIK786365:NIK786373 NSG786365:NSG786373 OCC786365:OCC786373 OLY786365:OLY786373 OVU786365:OVU786373 PFQ786365:PFQ786373 PPM786365:PPM786373 PZI786365:PZI786373 QJE786365:QJE786373 QTA786365:QTA786373 RCW786365:RCW786373 RMS786365:RMS786373 RWO786365:RWO786373 SGK786365:SGK786373 SQG786365:SQG786373 TAC786365:TAC786373 TJY786365:TJY786373 TTU786365:TTU786373 UDQ786365:UDQ786373 UNM786365:UNM786373 UXI786365:UXI786373 VHE786365:VHE786373 VRA786365:VRA786373 WAW786365:WAW786373 WKS786365:WKS786373 WUO786365:WUO786373 C851901:C851909 IC851901:IC851909 RY851901:RY851909 ABU851901:ABU851909 ALQ851901:ALQ851909 AVM851901:AVM851909 BFI851901:BFI851909 BPE851901:BPE851909 BZA851901:BZA851909 CIW851901:CIW851909 CSS851901:CSS851909 DCO851901:DCO851909 DMK851901:DMK851909 DWG851901:DWG851909 EGC851901:EGC851909 EPY851901:EPY851909 EZU851901:EZU851909 FJQ851901:FJQ851909 FTM851901:FTM851909 GDI851901:GDI851909 GNE851901:GNE851909 GXA851901:GXA851909 HGW851901:HGW851909 HQS851901:HQS851909 IAO851901:IAO851909 IKK851901:IKK851909 IUG851901:IUG851909 JEC851901:JEC851909 JNY851901:JNY851909 JXU851901:JXU851909 KHQ851901:KHQ851909 KRM851901:KRM851909 LBI851901:LBI851909 LLE851901:LLE851909 LVA851901:LVA851909 MEW851901:MEW851909 MOS851901:MOS851909 MYO851901:MYO851909 NIK851901:NIK851909 NSG851901:NSG851909 OCC851901:OCC851909 OLY851901:OLY851909 OVU851901:OVU851909 PFQ851901:PFQ851909 PPM851901:PPM851909 PZI851901:PZI851909 QJE851901:QJE851909 QTA851901:QTA851909 RCW851901:RCW851909 RMS851901:RMS851909 RWO851901:RWO851909 SGK851901:SGK851909 SQG851901:SQG851909 TAC851901:TAC851909 TJY851901:TJY851909 TTU851901:TTU851909 UDQ851901:UDQ851909 UNM851901:UNM851909 UXI851901:UXI851909 VHE851901:VHE851909 VRA851901:VRA851909 WAW851901:WAW851909 WKS851901:WKS851909 WUO851901:WUO851909 C917437:C917445 IC917437:IC917445 RY917437:RY917445 ABU917437:ABU917445 ALQ917437:ALQ917445 AVM917437:AVM917445 BFI917437:BFI917445 BPE917437:BPE917445 BZA917437:BZA917445 CIW917437:CIW917445 CSS917437:CSS917445 DCO917437:DCO917445 DMK917437:DMK917445 DWG917437:DWG917445 EGC917437:EGC917445 EPY917437:EPY917445 EZU917437:EZU917445 FJQ917437:FJQ917445 FTM917437:FTM917445 GDI917437:GDI917445 GNE917437:GNE917445 GXA917437:GXA917445 HGW917437:HGW917445 HQS917437:HQS917445 IAO917437:IAO917445 IKK917437:IKK917445 IUG917437:IUG917445 JEC917437:JEC917445 JNY917437:JNY917445 JXU917437:JXU917445 KHQ917437:KHQ917445 KRM917437:KRM917445 LBI917437:LBI917445 LLE917437:LLE917445 LVA917437:LVA917445 MEW917437:MEW917445 MOS917437:MOS917445 MYO917437:MYO917445 NIK917437:NIK917445 NSG917437:NSG917445 OCC917437:OCC917445 OLY917437:OLY917445 OVU917437:OVU917445 PFQ917437:PFQ917445 PPM917437:PPM917445 PZI917437:PZI917445 QJE917437:QJE917445 QTA917437:QTA917445 RCW917437:RCW917445 RMS917437:RMS917445 RWO917437:RWO917445 SGK917437:SGK917445 SQG917437:SQG917445 TAC917437:TAC917445 TJY917437:TJY917445 TTU917437:TTU917445 UDQ917437:UDQ917445 UNM917437:UNM917445 UXI917437:UXI917445 VHE917437:VHE917445 VRA917437:VRA917445 WAW917437:WAW917445 WKS917437:WKS917445 WUO917437:WUO917445 C982973:C982981 IC982973:IC982981 RY982973:RY982981 ABU982973:ABU982981 ALQ982973:ALQ982981 AVM982973:AVM982981 BFI982973:BFI982981 BPE982973:BPE982981 BZA982973:BZA982981 CIW982973:CIW982981 CSS982973:CSS982981 DCO982973:DCO982981 DMK982973:DMK982981 DWG982973:DWG982981 EGC982973:EGC982981 EPY982973:EPY982981 EZU982973:EZU982981 FJQ982973:FJQ982981 FTM982973:FTM982981 GDI982973:GDI982981 GNE982973:GNE982981 GXA982973:GXA982981 HGW982973:HGW982981 HQS982973:HQS982981 IAO982973:IAO982981 IKK982973:IKK982981 IUG982973:IUG982981 JEC982973:JEC982981 JNY982973:JNY982981 JXU982973:JXU982981 KHQ982973:KHQ982981 KRM982973:KRM982981 LBI982973:LBI982981 LLE982973:LLE982981 LVA982973:LVA982981 MEW982973:MEW982981 MOS982973:MOS982981 MYO982973:MYO982981 NIK982973:NIK982981 NSG982973:NSG982981 OCC982973:OCC982981 OLY982973:OLY982981 OVU982973:OVU982981 PFQ982973:PFQ982981 PPM982973:PPM982981 PZI982973:PZI982981 QJE982973:QJE982981 QTA982973:QTA982981 RCW982973:RCW982981 RMS982973:RMS982981 RWO982973:RWO982981 SGK982973:SGK982981 SQG982973:SQG982981 TAC982973:TAC982981 TJY982973:TJY982981 TTU982973:TTU982981 UDQ982973:UDQ982981 UNM982973:UNM982981 UXI982973:UXI982981 VHE982973:VHE982981 VRA982973:VRA982981 WAW982973:WAW982981 WKS982973:WKS982981 WUO9:WUO10 WKS9:WKS10 WAW9:WAW10 VRA9:VRA10 VHE9:VHE10 UXI9:UXI10 UNM9:UNM10 UDQ9:UDQ10 TTU9:TTU10 TJY9:TJY10 TAC9:TAC10 SQG9:SQG10 SGK9:SGK10 RWO9:RWO10 RMS9:RMS10 RCW9:RCW10 QTA9:QTA10 QJE9:QJE10 PZI9:PZI10 PPM9:PPM10 PFQ9:PFQ10 OVU9:OVU10 OLY9:OLY10 OCC9:OCC10 NSG9:NSG10 NIK9:NIK10 MYO9:MYO10 MOS9:MOS10 MEW9:MEW10 LVA9:LVA10 LLE9:LLE10 LBI9:LBI10 KRM9:KRM10 KHQ9:KHQ10 JXU9:JXU10 JNY9:JNY10 JEC9:JEC10 IUG9:IUG10 IKK9:IKK10 IAO9:IAO10 HQS9:HQS10 HGW9:HGW10 GXA9:GXA10 GNE9:GNE10 GDI9:GDI10 FTM9:FTM10 FJQ9:FJQ10 EZU9:EZU10 EPY9:EPY10 EGC9:EGC10 DWG9:DWG10 DMK9:DMK10 DCO9:DCO10 CSS9:CSS10 CIW9:CIW10 BZA9:BZA10 BPE9:BPE10 BFI9:BFI10 AVM9:AVM10 ALQ9:ALQ10 ABU9:ABU10 RY9:RY10 IC9:IC10" xr:uid="{00000000-0002-0000-0400-000003000000}"/>
    <dataValidation allowBlank="1" showInputMessage="1" showErrorMessage="1" prompt="ingrese el valor del Factor Prestacional asignado para el personal." sqref="WUP982973:WUP982981 D65458:E65466 ID65458:ID65466 RZ65458:RZ65466 ABV65458:ABV65466 ALR65458:ALR65466 AVN65458:AVN65466 BFJ65458:BFJ65466 BPF65458:BPF65466 BZB65458:BZB65466 CIX65458:CIX65466 CST65458:CST65466 DCP65458:DCP65466 DML65458:DML65466 DWH65458:DWH65466 EGD65458:EGD65466 EPZ65458:EPZ65466 EZV65458:EZV65466 FJR65458:FJR65466 FTN65458:FTN65466 GDJ65458:GDJ65466 GNF65458:GNF65466 GXB65458:GXB65466 HGX65458:HGX65466 HQT65458:HQT65466 IAP65458:IAP65466 IKL65458:IKL65466 IUH65458:IUH65466 JED65458:JED65466 JNZ65458:JNZ65466 JXV65458:JXV65466 KHR65458:KHR65466 KRN65458:KRN65466 LBJ65458:LBJ65466 LLF65458:LLF65466 LVB65458:LVB65466 MEX65458:MEX65466 MOT65458:MOT65466 MYP65458:MYP65466 NIL65458:NIL65466 NSH65458:NSH65466 OCD65458:OCD65466 OLZ65458:OLZ65466 OVV65458:OVV65466 PFR65458:PFR65466 PPN65458:PPN65466 PZJ65458:PZJ65466 QJF65458:QJF65466 QTB65458:QTB65466 RCX65458:RCX65466 RMT65458:RMT65466 RWP65458:RWP65466 SGL65458:SGL65466 SQH65458:SQH65466 TAD65458:TAD65466 TJZ65458:TJZ65466 TTV65458:TTV65466 UDR65458:UDR65466 UNN65458:UNN65466 UXJ65458:UXJ65466 VHF65458:VHF65466 VRB65458:VRB65466 WAX65458:WAX65466 WKT65458:WKT65466 WUP65458:WUP65466 D130994:E131002 ID130994:ID131002 RZ130994:RZ131002 ABV130994:ABV131002 ALR130994:ALR131002 AVN130994:AVN131002 BFJ130994:BFJ131002 BPF130994:BPF131002 BZB130994:BZB131002 CIX130994:CIX131002 CST130994:CST131002 DCP130994:DCP131002 DML130994:DML131002 DWH130994:DWH131002 EGD130994:EGD131002 EPZ130994:EPZ131002 EZV130994:EZV131002 FJR130994:FJR131002 FTN130994:FTN131002 GDJ130994:GDJ131002 GNF130994:GNF131002 GXB130994:GXB131002 HGX130994:HGX131002 HQT130994:HQT131002 IAP130994:IAP131002 IKL130994:IKL131002 IUH130994:IUH131002 JED130994:JED131002 JNZ130994:JNZ131002 JXV130994:JXV131002 KHR130994:KHR131002 KRN130994:KRN131002 LBJ130994:LBJ131002 LLF130994:LLF131002 LVB130994:LVB131002 MEX130994:MEX131002 MOT130994:MOT131002 MYP130994:MYP131002 NIL130994:NIL131002 NSH130994:NSH131002 OCD130994:OCD131002 OLZ130994:OLZ131002 OVV130994:OVV131002 PFR130994:PFR131002 PPN130994:PPN131002 PZJ130994:PZJ131002 QJF130994:QJF131002 QTB130994:QTB131002 RCX130994:RCX131002 RMT130994:RMT131002 RWP130994:RWP131002 SGL130994:SGL131002 SQH130994:SQH131002 TAD130994:TAD131002 TJZ130994:TJZ131002 TTV130994:TTV131002 UDR130994:UDR131002 UNN130994:UNN131002 UXJ130994:UXJ131002 VHF130994:VHF131002 VRB130994:VRB131002 WAX130994:WAX131002 WKT130994:WKT131002 WUP130994:WUP131002 D196530:E196538 ID196530:ID196538 RZ196530:RZ196538 ABV196530:ABV196538 ALR196530:ALR196538 AVN196530:AVN196538 BFJ196530:BFJ196538 BPF196530:BPF196538 BZB196530:BZB196538 CIX196530:CIX196538 CST196530:CST196538 DCP196530:DCP196538 DML196530:DML196538 DWH196530:DWH196538 EGD196530:EGD196538 EPZ196530:EPZ196538 EZV196530:EZV196538 FJR196530:FJR196538 FTN196530:FTN196538 GDJ196530:GDJ196538 GNF196530:GNF196538 GXB196530:GXB196538 HGX196530:HGX196538 HQT196530:HQT196538 IAP196530:IAP196538 IKL196530:IKL196538 IUH196530:IUH196538 JED196530:JED196538 JNZ196530:JNZ196538 JXV196530:JXV196538 KHR196530:KHR196538 KRN196530:KRN196538 LBJ196530:LBJ196538 LLF196530:LLF196538 LVB196530:LVB196538 MEX196530:MEX196538 MOT196530:MOT196538 MYP196530:MYP196538 NIL196530:NIL196538 NSH196530:NSH196538 OCD196530:OCD196538 OLZ196530:OLZ196538 OVV196530:OVV196538 PFR196530:PFR196538 PPN196530:PPN196538 PZJ196530:PZJ196538 QJF196530:QJF196538 QTB196530:QTB196538 RCX196530:RCX196538 RMT196530:RMT196538 RWP196530:RWP196538 SGL196530:SGL196538 SQH196530:SQH196538 TAD196530:TAD196538 TJZ196530:TJZ196538 TTV196530:TTV196538 UDR196530:UDR196538 UNN196530:UNN196538 UXJ196530:UXJ196538 VHF196530:VHF196538 VRB196530:VRB196538 WAX196530:WAX196538 WKT196530:WKT196538 WUP196530:WUP196538 D262066:E262074 ID262066:ID262074 RZ262066:RZ262074 ABV262066:ABV262074 ALR262066:ALR262074 AVN262066:AVN262074 BFJ262066:BFJ262074 BPF262066:BPF262074 BZB262066:BZB262074 CIX262066:CIX262074 CST262066:CST262074 DCP262066:DCP262074 DML262066:DML262074 DWH262066:DWH262074 EGD262066:EGD262074 EPZ262066:EPZ262074 EZV262066:EZV262074 FJR262066:FJR262074 FTN262066:FTN262074 GDJ262066:GDJ262074 GNF262066:GNF262074 GXB262066:GXB262074 HGX262066:HGX262074 HQT262066:HQT262074 IAP262066:IAP262074 IKL262066:IKL262074 IUH262066:IUH262074 JED262066:JED262074 JNZ262066:JNZ262074 JXV262066:JXV262074 KHR262066:KHR262074 KRN262066:KRN262074 LBJ262066:LBJ262074 LLF262066:LLF262074 LVB262066:LVB262074 MEX262066:MEX262074 MOT262066:MOT262074 MYP262066:MYP262074 NIL262066:NIL262074 NSH262066:NSH262074 OCD262066:OCD262074 OLZ262066:OLZ262074 OVV262066:OVV262074 PFR262066:PFR262074 PPN262066:PPN262074 PZJ262066:PZJ262074 QJF262066:QJF262074 QTB262066:QTB262074 RCX262066:RCX262074 RMT262066:RMT262074 RWP262066:RWP262074 SGL262066:SGL262074 SQH262066:SQH262074 TAD262066:TAD262074 TJZ262066:TJZ262074 TTV262066:TTV262074 UDR262066:UDR262074 UNN262066:UNN262074 UXJ262066:UXJ262074 VHF262066:VHF262074 VRB262066:VRB262074 WAX262066:WAX262074 WKT262066:WKT262074 WUP262066:WUP262074 D327602:E327610 ID327602:ID327610 RZ327602:RZ327610 ABV327602:ABV327610 ALR327602:ALR327610 AVN327602:AVN327610 BFJ327602:BFJ327610 BPF327602:BPF327610 BZB327602:BZB327610 CIX327602:CIX327610 CST327602:CST327610 DCP327602:DCP327610 DML327602:DML327610 DWH327602:DWH327610 EGD327602:EGD327610 EPZ327602:EPZ327610 EZV327602:EZV327610 FJR327602:FJR327610 FTN327602:FTN327610 GDJ327602:GDJ327610 GNF327602:GNF327610 GXB327602:GXB327610 HGX327602:HGX327610 HQT327602:HQT327610 IAP327602:IAP327610 IKL327602:IKL327610 IUH327602:IUH327610 JED327602:JED327610 JNZ327602:JNZ327610 JXV327602:JXV327610 KHR327602:KHR327610 KRN327602:KRN327610 LBJ327602:LBJ327610 LLF327602:LLF327610 LVB327602:LVB327610 MEX327602:MEX327610 MOT327602:MOT327610 MYP327602:MYP327610 NIL327602:NIL327610 NSH327602:NSH327610 OCD327602:OCD327610 OLZ327602:OLZ327610 OVV327602:OVV327610 PFR327602:PFR327610 PPN327602:PPN327610 PZJ327602:PZJ327610 QJF327602:QJF327610 QTB327602:QTB327610 RCX327602:RCX327610 RMT327602:RMT327610 RWP327602:RWP327610 SGL327602:SGL327610 SQH327602:SQH327610 TAD327602:TAD327610 TJZ327602:TJZ327610 TTV327602:TTV327610 UDR327602:UDR327610 UNN327602:UNN327610 UXJ327602:UXJ327610 VHF327602:VHF327610 VRB327602:VRB327610 WAX327602:WAX327610 WKT327602:WKT327610 WUP327602:WUP327610 D393138:E393146 ID393138:ID393146 RZ393138:RZ393146 ABV393138:ABV393146 ALR393138:ALR393146 AVN393138:AVN393146 BFJ393138:BFJ393146 BPF393138:BPF393146 BZB393138:BZB393146 CIX393138:CIX393146 CST393138:CST393146 DCP393138:DCP393146 DML393138:DML393146 DWH393138:DWH393146 EGD393138:EGD393146 EPZ393138:EPZ393146 EZV393138:EZV393146 FJR393138:FJR393146 FTN393138:FTN393146 GDJ393138:GDJ393146 GNF393138:GNF393146 GXB393138:GXB393146 HGX393138:HGX393146 HQT393138:HQT393146 IAP393138:IAP393146 IKL393138:IKL393146 IUH393138:IUH393146 JED393138:JED393146 JNZ393138:JNZ393146 JXV393138:JXV393146 KHR393138:KHR393146 KRN393138:KRN393146 LBJ393138:LBJ393146 LLF393138:LLF393146 LVB393138:LVB393146 MEX393138:MEX393146 MOT393138:MOT393146 MYP393138:MYP393146 NIL393138:NIL393146 NSH393138:NSH393146 OCD393138:OCD393146 OLZ393138:OLZ393146 OVV393138:OVV393146 PFR393138:PFR393146 PPN393138:PPN393146 PZJ393138:PZJ393146 QJF393138:QJF393146 QTB393138:QTB393146 RCX393138:RCX393146 RMT393138:RMT393146 RWP393138:RWP393146 SGL393138:SGL393146 SQH393138:SQH393146 TAD393138:TAD393146 TJZ393138:TJZ393146 TTV393138:TTV393146 UDR393138:UDR393146 UNN393138:UNN393146 UXJ393138:UXJ393146 VHF393138:VHF393146 VRB393138:VRB393146 WAX393138:WAX393146 WKT393138:WKT393146 WUP393138:WUP393146 D458674:E458682 ID458674:ID458682 RZ458674:RZ458682 ABV458674:ABV458682 ALR458674:ALR458682 AVN458674:AVN458682 BFJ458674:BFJ458682 BPF458674:BPF458682 BZB458674:BZB458682 CIX458674:CIX458682 CST458674:CST458682 DCP458674:DCP458682 DML458674:DML458682 DWH458674:DWH458682 EGD458674:EGD458682 EPZ458674:EPZ458682 EZV458674:EZV458682 FJR458674:FJR458682 FTN458674:FTN458682 GDJ458674:GDJ458682 GNF458674:GNF458682 GXB458674:GXB458682 HGX458674:HGX458682 HQT458674:HQT458682 IAP458674:IAP458682 IKL458674:IKL458682 IUH458674:IUH458682 JED458674:JED458682 JNZ458674:JNZ458682 JXV458674:JXV458682 KHR458674:KHR458682 KRN458674:KRN458682 LBJ458674:LBJ458682 LLF458674:LLF458682 LVB458674:LVB458682 MEX458674:MEX458682 MOT458674:MOT458682 MYP458674:MYP458682 NIL458674:NIL458682 NSH458674:NSH458682 OCD458674:OCD458682 OLZ458674:OLZ458682 OVV458674:OVV458682 PFR458674:PFR458682 PPN458674:PPN458682 PZJ458674:PZJ458682 QJF458674:QJF458682 QTB458674:QTB458682 RCX458674:RCX458682 RMT458674:RMT458682 RWP458674:RWP458682 SGL458674:SGL458682 SQH458674:SQH458682 TAD458674:TAD458682 TJZ458674:TJZ458682 TTV458674:TTV458682 UDR458674:UDR458682 UNN458674:UNN458682 UXJ458674:UXJ458682 VHF458674:VHF458682 VRB458674:VRB458682 WAX458674:WAX458682 WKT458674:WKT458682 WUP458674:WUP458682 D524210:E524218 ID524210:ID524218 RZ524210:RZ524218 ABV524210:ABV524218 ALR524210:ALR524218 AVN524210:AVN524218 BFJ524210:BFJ524218 BPF524210:BPF524218 BZB524210:BZB524218 CIX524210:CIX524218 CST524210:CST524218 DCP524210:DCP524218 DML524210:DML524218 DWH524210:DWH524218 EGD524210:EGD524218 EPZ524210:EPZ524218 EZV524210:EZV524218 FJR524210:FJR524218 FTN524210:FTN524218 GDJ524210:GDJ524218 GNF524210:GNF524218 GXB524210:GXB524218 HGX524210:HGX524218 HQT524210:HQT524218 IAP524210:IAP524218 IKL524210:IKL524218 IUH524210:IUH524218 JED524210:JED524218 JNZ524210:JNZ524218 JXV524210:JXV524218 KHR524210:KHR524218 KRN524210:KRN524218 LBJ524210:LBJ524218 LLF524210:LLF524218 LVB524210:LVB524218 MEX524210:MEX524218 MOT524210:MOT524218 MYP524210:MYP524218 NIL524210:NIL524218 NSH524210:NSH524218 OCD524210:OCD524218 OLZ524210:OLZ524218 OVV524210:OVV524218 PFR524210:PFR524218 PPN524210:PPN524218 PZJ524210:PZJ524218 QJF524210:QJF524218 QTB524210:QTB524218 RCX524210:RCX524218 RMT524210:RMT524218 RWP524210:RWP524218 SGL524210:SGL524218 SQH524210:SQH524218 TAD524210:TAD524218 TJZ524210:TJZ524218 TTV524210:TTV524218 UDR524210:UDR524218 UNN524210:UNN524218 UXJ524210:UXJ524218 VHF524210:VHF524218 VRB524210:VRB524218 WAX524210:WAX524218 WKT524210:WKT524218 WUP524210:WUP524218 D589746:E589754 ID589746:ID589754 RZ589746:RZ589754 ABV589746:ABV589754 ALR589746:ALR589754 AVN589746:AVN589754 BFJ589746:BFJ589754 BPF589746:BPF589754 BZB589746:BZB589754 CIX589746:CIX589754 CST589746:CST589754 DCP589746:DCP589754 DML589746:DML589754 DWH589746:DWH589754 EGD589746:EGD589754 EPZ589746:EPZ589754 EZV589746:EZV589754 FJR589746:FJR589754 FTN589746:FTN589754 GDJ589746:GDJ589754 GNF589746:GNF589754 GXB589746:GXB589754 HGX589746:HGX589754 HQT589746:HQT589754 IAP589746:IAP589754 IKL589746:IKL589754 IUH589746:IUH589754 JED589746:JED589754 JNZ589746:JNZ589754 JXV589746:JXV589754 KHR589746:KHR589754 KRN589746:KRN589754 LBJ589746:LBJ589754 LLF589746:LLF589754 LVB589746:LVB589754 MEX589746:MEX589754 MOT589746:MOT589754 MYP589746:MYP589754 NIL589746:NIL589754 NSH589746:NSH589754 OCD589746:OCD589754 OLZ589746:OLZ589754 OVV589746:OVV589754 PFR589746:PFR589754 PPN589746:PPN589754 PZJ589746:PZJ589754 QJF589746:QJF589754 QTB589746:QTB589754 RCX589746:RCX589754 RMT589746:RMT589754 RWP589746:RWP589754 SGL589746:SGL589754 SQH589746:SQH589754 TAD589746:TAD589754 TJZ589746:TJZ589754 TTV589746:TTV589754 UDR589746:UDR589754 UNN589746:UNN589754 UXJ589746:UXJ589754 VHF589746:VHF589754 VRB589746:VRB589754 WAX589746:WAX589754 WKT589746:WKT589754 WUP589746:WUP589754 D655282:E655290 ID655282:ID655290 RZ655282:RZ655290 ABV655282:ABV655290 ALR655282:ALR655290 AVN655282:AVN655290 BFJ655282:BFJ655290 BPF655282:BPF655290 BZB655282:BZB655290 CIX655282:CIX655290 CST655282:CST655290 DCP655282:DCP655290 DML655282:DML655290 DWH655282:DWH655290 EGD655282:EGD655290 EPZ655282:EPZ655290 EZV655282:EZV655290 FJR655282:FJR655290 FTN655282:FTN655290 GDJ655282:GDJ655290 GNF655282:GNF655290 GXB655282:GXB655290 HGX655282:HGX655290 HQT655282:HQT655290 IAP655282:IAP655290 IKL655282:IKL655290 IUH655282:IUH655290 JED655282:JED655290 JNZ655282:JNZ655290 JXV655282:JXV655290 KHR655282:KHR655290 KRN655282:KRN655290 LBJ655282:LBJ655290 LLF655282:LLF655290 LVB655282:LVB655290 MEX655282:MEX655290 MOT655282:MOT655290 MYP655282:MYP655290 NIL655282:NIL655290 NSH655282:NSH655290 OCD655282:OCD655290 OLZ655282:OLZ655290 OVV655282:OVV655290 PFR655282:PFR655290 PPN655282:PPN655290 PZJ655282:PZJ655290 QJF655282:QJF655290 QTB655282:QTB655290 RCX655282:RCX655290 RMT655282:RMT655290 RWP655282:RWP655290 SGL655282:SGL655290 SQH655282:SQH655290 TAD655282:TAD655290 TJZ655282:TJZ655290 TTV655282:TTV655290 UDR655282:UDR655290 UNN655282:UNN655290 UXJ655282:UXJ655290 VHF655282:VHF655290 VRB655282:VRB655290 WAX655282:WAX655290 WKT655282:WKT655290 WUP655282:WUP655290 D720818:E720826 ID720818:ID720826 RZ720818:RZ720826 ABV720818:ABV720826 ALR720818:ALR720826 AVN720818:AVN720826 BFJ720818:BFJ720826 BPF720818:BPF720826 BZB720818:BZB720826 CIX720818:CIX720826 CST720818:CST720826 DCP720818:DCP720826 DML720818:DML720826 DWH720818:DWH720826 EGD720818:EGD720826 EPZ720818:EPZ720826 EZV720818:EZV720826 FJR720818:FJR720826 FTN720818:FTN720826 GDJ720818:GDJ720826 GNF720818:GNF720826 GXB720818:GXB720826 HGX720818:HGX720826 HQT720818:HQT720826 IAP720818:IAP720826 IKL720818:IKL720826 IUH720818:IUH720826 JED720818:JED720826 JNZ720818:JNZ720826 JXV720818:JXV720826 KHR720818:KHR720826 KRN720818:KRN720826 LBJ720818:LBJ720826 LLF720818:LLF720826 LVB720818:LVB720826 MEX720818:MEX720826 MOT720818:MOT720826 MYP720818:MYP720826 NIL720818:NIL720826 NSH720818:NSH720826 OCD720818:OCD720826 OLZ720818:OLZ720826 OVV720818:OVV720826 PFR720818:PFR720826 PPN720818:PPN720826 PZJ720818:PZJ720826 QJF720818:QJF720826 QTB720818:QTB720826 RCX720818:RCX720826 RMT720818:RMT720826 RWP720818:RWP720826 SGL720818:SGL720826 SQH720818:SQH720826 TAD720818:TAD720826 TJZ720818:TJZ720826 TTV720818:TTV720826 UDR720818:UDR720826 UNN720818:UNN720826 UXJ720818:UXJ720826 VHF720818:VHF720826 VRB720818:VRB720826 WAX720818:WAX720826 WKT720818:WKT720826 WUP720818:WUP720826 D786354:E786362 ID786354:ID786362 RZ786354:RZ786362 ABV786354:ABV786362 ALR786354:ALR786362 AVN786354:AVN786362 BFJ786354:BFJ786362 BPF786354:BPF786362 BZB786354:BZB786362 CIX786354:CIX786362 CST786354:CST786362 DCP786354:DCP786362 DML786354:DML786362 DWH786354:DWH786362 EGD786354:EGD786362 EPZ786354:EPZ786362 EZV786354:EZV786362 FJR786354:FJR786362 FTN786354:FTN786362 GDJ786354:GDJ786362 GNF786354:GNF786362 GXB786354:GXB786362 HGX786354:HGX786362 HQT786354:HQT786362 IAP786354:IAP786362 IKL786354:IKL786362 IUH786354:IUH786362 JED786354:JED786362 JNZ786354:JNZ786362 JXV786354:JXV786362 KHR786354:KHR786362 KRN786354:KRN786362 LBJ786354:LBJ786362 LLF786354:LLF786362 LVB786354:LVB786362 MEX786354:MEX786362 MOT786354:MOT786362 MYP786354:MYP786362 NIL786354:NIL786362 NSH786354:NSH786362 OCD786354:OCD786362 OLZ786354:OLZ786362 OVV786354:OVV786362 PFR786354:PFR786362 PPN786354:PPN786362 PZJ786354:PZJ786362 QJF786354:QJF786362 QTB786354:QTB786362 RCX786354:RCX786362 RMT786354:RMT786362 RWP786354:RWP786362 SGL786354:SGL786362 SQH786354:SQH786362 TAD786354:TAD786362 TJZ786354:TJZ786362 TTV786354:TTV786362 UDR786354:UDR786362 UNN786354:UNN786362 UXJ786354:UXJ786362 VHF786354:VHF786362 VRB786354:VRB786362 WAX786354:WAX786362 WKT786354:WKT786362 WUP786354:WUP786362 D851890:E851898 ID851890:ID851898 RZ851890:RZ851898 ABV851890:ABV851898 ALR851890:ALR851898 AVN851890:AVN851898 BFJ851890:BFJ851898 BPF851890:BPF851898 BZB851890:BZB851898 CIX851890:CIX851898 CST851890:CST851898 DCP851890:DCP851898 DML851890:DML851898 DWH851890:DWH851898 EGD851890:EGD851898 EPZ851890:EPZ851898 EZV851890:EZV851898 FJR851890:FJR851898 FTN851890:FTN851898 GDJ851890:GDJ851898 GNF851890:GNF851898 GXB851890:GXB851898 HGX851890:HGX851898 HQT851890:HQT851898 IAP851890:IAP851898 IKL851890:IKL851898 IUH851890:IUH851898 JED851890:JED851898 JNZ851890:JNZ851898 JXV851890:JXV851898 KHR851890:KHR851898 KRN851890:KRN851898 LBJ851890:LBJ851898 LLF851890:LLF851898 LVB851890:LVB851898 MEX851890:MEX851898 MOT851890:MOT851898 MYP851890:MYP851898 NIL851890:NIL851898 NSH851890:NSH851898 OCD851890:OCD851898 OLZ851890:OLZ851898 OVV851890:OVV851898 PFR851890:PFR851898 PPN851890:PPN851898 PZJ851890:PZJ851898 QJF851890:QJF851898 QTB851890:QTB851898 RCX851890:RCX851898 RMT851890:RMT851898 RWP851890:RWP851898 SGL851890:SGL851898 SQH851890:SQH851898 TAD851890:TAD851898 TJZ851890:TJZ851898 TTV851890:TTV851898 UDR851890:UDR851898 UNN851890:UNN851898 UXJ851890:UXJ851898 VHF851890:VHF851898 VRB851890:VRB851898 WAX851890:WAX851898 WKT851890:WKT851898 WUP851890:WUP851898 D917426:E917434 ID917426:ID917434 RZ917426:RZ917434 ABV917426:ABV917434 ALR917426:ALR917434 AVN917426:AVN917434 BFJ917426:BFJ917434 BPF917426:BPF917434 BZB917426:BZB917434 CIX917426:CIX917434 CST917426:CST917434 DCP917426:DCP917434 DML917426:DML917434 DWH917426:DWH917434 EGD917426:EGD917434 EPZ917426:EPZ917434 EZV917426:EZV917434 FJR917426:FJR917434 FTN917426:FTN917434 GDJ917426:GDJ917434 GNF917426:GNF917434 GXB917426:GXB917434 HGX917426:HGX917434 HQT917426:HQT917434 IAP917426:IAP917434 IKL917426:IKL917434 IUH917426:IUH917434 JED917426:JED917434 JNZ917426:JNZ917434 JXV917426:JXV917434 KHR917426:KHR917434 KRN917426:KRN917434 LBJ917426:LBJ917434 LLF917426:LLF917434 LVB917426:LVB917434 MEX917426:MEX917434 MOT917426:MOT917434 MYP917426:MYP917434 NIL917426:NIL917434 NSH917426:NSH917434 OCD917426:OCD917434 OLZ917426:OLZ917434 OVV917426:OVV917434 PFR917426:PFR917434 PPN917426:PPN917434 PZJ917426:PZJ917434 QJF917426:QJF917434 QTB917426:QTB917434 RCX917426:RCX917434 RMT917426:RMT917434 RWP917426:RWP917434 SGL917426:SGL917434 SQH917426:SQH917434 TAD917426:TAD917434 TJZ917426:TJZ917434 TTV917426:TTV917434 UDR917426:UDR917434 UNN917426:UNN917434 UXJ917426:UXJ917434 VHF917426:VHF917434 VRB917426:VRB917434 WAX917426:WAX917434 WKT917426:WKT917434 WUP917426:WUP917434 D982962:E982970 ID982962:ID982970 RZ982962:RZ982970 ABV982962:ABV982970 ALR982962:ALR982970 AVN982962:AVN982970 BFJ982962:BFJ982970 BPF982962:BPF982970 BZB982962:BZB982970 CIX982962:CIX982970 CST982962:CST982970 DCP982962:DCP982970 DML982962:DML982970 DWH982962:DWH982970 EGD982962:EGD982970 EPZ982962:EPZ982970 EZV982962:EZV982970 FJR982962:FJR982970 FTN982962:FTN982970 GDJ982962:GDJ982970 GNF982962:GNF982970 GXB982962:GXB982970 HGX982962:HGX982970 HQT982962:HQT982970 IAP982962:IAP982970 IKL982962:IKL982970 IUH982962:IUH982970 JED982962:JED982970 JNZ982962:JNZ982970 JXV982962:JXV982970 KHR982962:KHR982970 KRN982962:KRN982970 LBJ982962:LBJ982970 LLF982962:LLF982970 LVB982962:LVB982970 MEX982962:MEX982970 MOT982962:MOT982970 MYP982962:MYP982970 NIL982962:NIL982970 NSH982962:NSH982970 OCD982962:OCD982970 OLZ982962:OLZ982970 OVV982962:OVV982970 PFR982962:PFR982970 PPN982962:PPN982970 PZJ982962:PZJ982970 QJF982962:QJF982970 QTB982962:QTB982970 RCX982962:RCX982970 RMT982962:RMT982970 RWP982962:RWP982970 SGL982962:SGL982970 SQH982962:SQH982970 TAD982962:TAD982970 TJZ982962:TJZ982970 TTV982962:TTV982970 UDR982962:UDR982970 UNN982962:UNN982970 UXJ982962:UXJ982970 VHF982962:VHF982970 VRB982962:VRB982970 WAX982962:WAX982970 WKT982962:WKT982970 WUP982962:WUP982970 D65469:E65477 ID65469:ID65477 RZ65469:RZ65477 ABV65469:ABV65477 ALR65469:ALR65477 AVN65469:AVN65477 BFJ65469:BFJ65477 BPF65469:BPF65477 BZB65469:BZB65477 CIX65469:CIX65477 CST65469:CST65477 DCP65469:DCP65477 DML65469:DML65477 DWH65469:DWH65477 EGD65469:EGD65477 EPZ65469:EPZ65477 EZV65469:EZV65477 FJR65469:FJR65477 FTN65469:FTN65477 GDJ65469:GDJ65477 GNF65469:GNF65477 GXB65469:GXB65477 HGX65469:HGX65477 HQT65469:HQT65477 IAP65469:IAP65477 IKL65469:IKL65477 IUH65469:IUH65477 JED65469:JED65477 JNZ65469:JNZ65477 JXV65469:JXV65477 KHR65469:KHR65477 KRN65469:KRN65477 LBJ65469:LBJ65477 LLF65469:LLF65477 LVB65469:LVB65477 MEX65469:MEX65477 MOT65469:MOT65477 MYP65469:MYP65477 NIL65469:NIL65477 NSH65469:NSH65477 OCD65469:OCD65477 OLZ65469:OLZ65477 OVV65469:OVV65477 PFR65469:PFR65477 PPN65469:PPN65477 PZJ65469:PZJ65477 QJF65469:QJF65477 QTB65469:QTB65477 RCX65469:RCX65477 RMT65469:RMT65477 RWP65469:RWP65477 SGL65469:SGL65477 SQH65469:SQH65477 TAD65469:TAD65477 TJZ65469:TJZ65477 TTV65469:TTV65477 UDR65469:UDR65477 UNN65469:UNN65477 UXJ65469:UXJ65477 VHF65469:VHF65477 VRB65469:VRB65477 WAX65469:WAX65477 WKT65469:WKT65477 WUP65469:WUP65477 D131005:E131013 ID131005:ID131013 RZ131005:RZ131013 ABV131005:ABV131013 ALR131005:ALR131013 AVN131005:AVN131013 BFJ131005:BFJ131013 BPF131005:BPF131013 BZB131005:BZB131013 CIX131005:CIX131013 CST131005:CST131013 DCP131005:DCP131013 DML131005:DML131013 DWH131005:DWH131013 EGD131005:EGD131013 EPZ131005:EPZ131013 EZV131005:EZV131013 FJR131005:FJR131013 FTN131005:FTN131013 GDJ131005:GDJ131013 GNF131005:GNF131013 GXB131005:GXB131013 HGX131005:HGX131013 HQT131005:HQT131013 IAP131005:IAP131013 IKL131005:IKL131013 IUH131005:IUH131013 JED131005:JED131013 JNZ131005:JNZ131013 JXV131005:JXV131013 KHR131005:KHR131013 KRN131005:KRN131013 LBJ131005:LBJ131013 LLF131005:LLF131013 LVB131005:LVB131013 MEX131005:MEX131013 MOT131005:MOT131013 MYP131005:MYP131013 NIL131005:NIL131013 NSH131005:NSH131013 OCD131005:OCD131013 OLZ131005:OLZ131013 OVV131005:OVV131013 PFR131005:PFR131013 PPN131005:PPN131013 PZJ131005:PZJ131013 QJF131005:QJF131013 QTB131005:QTB131013 RCX131005:RCX131013 RMT131005:RMT131013 RWP131005:RWP131013 SGL131005:SGL131013 SQH131005:SQH131013 TAD131005:TAD131013 TJZ131005:TJZ131013 TTV131005:TTV131013 UDR131005:UDR131013 UNN131005:UNN131013 UXJ131005:UXJ131013 VHF131005:VHF131013 VRB131005:VRB131013 WAX131005:WAX131013 WKT131005:WKT131013 WUP131005:WUP131013 D196541:E196549 ID196541:ID196549 RZ196541:RZ196549 ABV196541:ABV196549 ALR196541:ALR196549 AVN196541:AVN196549 BFJ196541:BFJ196549 BPF196541:BPF196549 BZB196541:BZB196549 CIX196541:CIX196549 CST196541:CST196549 DCP196541:DCP196549 DML196541:DML196549 DWH196541:DWH196549 EGD196541:EGD196549 EPZ196541:EPZ196549 EZV196541:EZV196549 FJR196541:FJR196549 FTN196541:FTN196549 GDJ196541:GDJ196549 GNF196541:GNF196549 GXB196541:GXB196549 HGX196541:HGX196549 HQT196541:HQT196549 IAP196541:IAP196549 IKL196541:IKL196549 IUH196541:IUH196549 JED196541:JED196549 JNZ196541:JNZ196549 JXV196541:JXV196549 KHR196541:KHR196549 KRN196541:KRN196549 LBJ196541:LBJ196549 LLF196541:LLF196549 LVB196541:LVB196549 MEX196541:MEX196549 MOT196541:MOT196549 MYP196541:MYP196549 NIL196541:NIL196549 NSH196541:NSH196549 OCD196541:OCD196549 OLZ196541:OLZ196549 OVV196541:OVV196549 PFR196541:PFR196549 PPN196541:PPN196549 PZJ196541:PZJ196549 QJF196541:QJF196549 QTB196541:QTB196549 RCX196541:RCX196549 RMT196541:RMT196549 RWP196541:RWP196549 SGL196541:SGL196549 SQH196541:SQH196549 TAD196541:TAD196549 TJZ196541:TJZ196549 TTV196541:TTV196549 UDR196541:UDR196549 UNN196541:UNN196549 UXJ196541:UXJ196549 VHF196541:VHF196549 VRB196541:VRB196549 WAX196541:WAX196549 WKT196541:WKT196549 WUP196541:WUP196549 D262077:E262085 ID262077:ID262085 RZ262077:RZ262085 ABV262077:ABV262085 ALR262077:ALR262085 AVN262077:AVN262085 BFJ262077:BFJ262085 BPF262077:BPF262085 BZB262077:BZB262085 CIX262077:CIX262085 CST262077:CST262085 DCP262077:DCP262085 DML262077:DML262085 DWH262077:DWH262085 EGD262077:EGD262085 EPZ262077:EPZ262085 EZV262077:EZV262085 FJR262077:FJR262085 FTN262077:FTN262085 GDJ262077:GDJ262085 GNF262077:GNF262085 GXB262077:GXB262085 HGX262077:HGX262085 HQT262077:HQT262085 IAP262077:IAP262085 IKL262077:IKL262085 IUH262077:IUH262085 JED262077:JED262085 JNZ262077:JNZ262085 JXV262077:JXV262085 KHR262077:KHR262085 KRN262077:KRN262085 LBJ262077:LBJ262085 LLF262077:LLF262085 LVB262077:LVB262085 MEX262077:MEX262085 MOT262077:MOT262085 MYP262077:MYP262085 NIL262077:NIL262085 NSH262077:NSH262085 OCD262077:OCD262085 OLZ262077:OLZ262085 OVV262077:OVV262085 PFR262077:PFR262085 PPN262077:PPN262085 PZJ262077:PZJ262085 QJF262077:QJF262085 QTB262077:QTB262085 RCX262077:RCX262085 RMT262077:RMT262085 RWP262077:RWP262085 SGL262077:SGL262085 SQH262077:SQH262085 TAD262077:TAD262085 TJZ262077:TJZ262085 TTV262077:TTV262085 UDR262077:UDR262085 UNN262077:UNN262085 UXJ262077:UXJ262085 VHF262077:VHF262085 VRB262077:VRB262085 WAX262077:WAX262085 WKT262077:WKT262085 WUP262077:WUP262085 D327613:E327621 ID327613:ID327621 RZ327613:RZ327621 ABV327613:ABV327621 ALR327613:ALR327621 AVN327613:AVN327621 BFJ327613:BFJ327621 BPF327613:BPF327621 BZB327613:BZB327621 CIX327613:CIX327621 CST327613:CST327621 DCP327613:DCP327621 DML327613:DML327621 DWH327613:DWH327621 EGD327613:EGD327621 EPZ327613:EPZ327621 EZV327613:EZV327621 FJR327613:FJR327621 FTN327613:FTN327621 GDJ327613:GDJ327621 GNF327613:GNF327621 GXB327613:GXB327621 HGX327613:HGX327621 HQT327613:HQT327621 IAP327613:IAP327621 IKL327613:IKL327621 IUH327613:IUH327621 JED327613:JED327621 JNZ327613:JNZ327621 JXV327613:JXV327621 KHR327613:KHR327621 KRN327613:KRN327621 LBJ327613:LBJ327621 LLF327613:LLF327621 LVB327613:LVB327621 MEX327613:MEX327621 MOT327613:MOT327621 MYP327613:MYP327621 NIL327613:NIL327621 NSH327613:NSH327621 OCD327613:OCD327621 OLZ327613:OLZ327621 OVV327613:OVV327621 PFR327613:PFR327621 PPN327613:PPN327621 PZJ327613:PZJ327621 QJF327613:QJF327621 QTB327613:QTB327621 RCX327613:RCX327621 RMT327613:RMT327621 RWP327613:RWP327621 SGL327613:SGL327621 SQH327613:SQH327621 TAD327613:TAD327621 TJZ327613:TJZ327621 TTV327613:TTV327621 UDR327613:UDR327621 UNN327613:UNN327621 UXJ327613:UXJ327621 VHF327613:VHF327621 VRB327613:VRB327621 WAX327613:WAX327621 WKT327613:WKT327621 WUP327613:WUP327621 D393149:E393157 ID393149:ID393157 RZ393149:RZ393157 ABV393149:ABV393157 ALR393149:ALR393157 AVN393149:AVN393157 BFJ393149:BFJ393157 BPF393149:BPF393157 BZB393149:BZB393157 CIX393149:CIX393157 CST393149:CST393157 DCP393149:DCP393157 DML393149:DML393157 DWH393149:DWH393157 EGD393149:EGD393157 EPZ393149:EPZ393157 EZV393149:EZV393157 FJR393149:FJR393157 FTN393149:FTN393157 GDJ393149:GDJ393157 GNF393149:GNF393157 GXB393149:GXB393157 HGX393149:HGX393157 HQT393149:HQT393157 IAP393149:IAP393157 IKL393149:IKL393157 IUH393149:IUH393157 JED393149:JED393157 JNZ393149:JNZ393157 JXV393149:JXV393157 KHR393149:KHR393157 KRN393149:KRN393157 LBJ393149:LBJ393157 LLF393149:LLF393157 LVB393149:LVB393157 MEX393149:MEX393157 MOT393149:MOT393157 MYP393149:MYP393157 NIL393149:NIL393157 NSH393149:NSH393157 OCD393149:OCD393157 OLZ393149:OLZ393157 OVV393149:OVV393157 PFR393149:PFR393157 PPN393149:PPN393157 PZJ393149:PZJ393157 QJF393149:QJF393157 QTB393149:QTB393157 RCX393149:RCX393157 RMT393149:RMT393157 RWP393149:RWP393157 SGL393149:SGL393157 SQH393149:SQH393157 TAD393149:TAD393157 TJZ393149:TJZ393157 TTV393149:TTV393157 UDR393149:UDR393157 UNN393149:UNN393157 UXJ393149:UXJ393157 VHF393149:VHF393157 VRB393149:VRB393157 WAX393149:WAX393157 WKT393149:WKT393157 WUP393149:WUP393157 D458685:E458693 ID458685:ID458693 RZ458685:RZ458693 ABV458685:ABV458693 ALR458685:ALR458693 AVN458685:AVN458693 BFJ458685:BFJ458693 BPF458685:BPF458693 BZB458685:BZB458693 CIX458685:CIX458693 CST458685:CST458693 DCP458685:DCP458693 DML458685:DML458693 DWH458685:DWH458693 EGD458685:EGD458693 EPZ458685:EPZ458693 EZV458685:EZV458693 FJR458685:FJR458693 FTN458685:FTN458693 GDJ458685:GDJ458693 GNF458685:GNF458693 GXB458685:GXB458693 HGX458685:HGX458693 HQT458685:HQT458693 IAP458685:IAP458693 IKL458685:IKL458693 IUH458685:IUH458693 JED458685:JED458693 JNZ458685:JNZ458693 JXV458685:JXV458693 KHR458685:KHR458693 KRN458685:KRN458693 LBJ458685:LBJ458693 LLF458685:LLF458693 LVB458685:LVB458693 MEX458685:MEX458693 MOT458685:MOT458693 MYP458685:MYP458693 NIL458685:NIL458693 NSH458685:NSH458693 OCD458685:OCD458693 OLZ458685:OLZ458693 OVV458685:OVV458693 PFR458685:PFR458693 PPN458685:PPN458693 PZJ458685:PZJ458693 QJF458685:QJF458693 QTB458685:QTB458693 RCX458685:RCX458693 RMT458685:RMT458693 RWP458685:RWP458693 SGL458685:SGL458693 SQH458685:SQH458693 TAD458685:TAD458693 TJZ458685:TJZ458693 TTV458685:TTV458693 UDR458685:UDR458693 UNN458685:UNN458693 UXJ458685:UXJ458693 VHF458685:VHF458693 VRB458685:VRB458693 WAX458685:WAX458693 WKT458685:WKT458693 WUP458685:WUP458693 D524221:E524229 ID524221:ID524229 RZ524221:RZ524229 ABV524221:ABV524229 ALR524221:ALR524229 AVN524221:AVN524229 BFJ524221:BFJ524229 BPF524221:BPF524229 BZB524221:BZB524229 CIX524221:CIX524229 CST524221:CST524229 DCP524221:DCP524229 DML524221:DML524229 DWH524221:DWH524229 EGD524221:EGD524229 EPZ524221:EPZ524229 EZV524221:EZV524229 FJR524221:FJR524229 FTN524221:FTN524229 GDJ524221:GDJ524229 GNF524221:GNF524229 GXB524221:GXB524229 HGX524221:HGX524229 HQT524221:HQT524229 IAP524221:IAP524229 IKL524221:IKL524229 IUH524221:IUH524229 JED524221:JED524229 JNZ524221:JNZ524229 JXV524221:JXV524229 KHR524221:KHR524229 KRN524221:KRN524229 LBJ524221:LBJ524229 LLF524221:LLF524229 LVB524221:LVB524229 MEX524221:MEX524229 MOT524221:MOT524229 MYP524221:MYP524229 NIL524221:NIL524229 NSH524221:NSH524229 OCD524221:OCD524229 OLZ524221:OLZ524229 OVV524221:OVV524229 PFR524221:PFR524229 PPN524221:PPN524229 PZJ524221:PZJ524229 QJF524221:QJF524229 QTB524221:QTB524229 RCX524221:RCX524229 RMT524221:RMT524229 RWP524221:RWP524229 SGL524221:SGL524229 SQH524221:SQH524229 TAD524221:TAD524229 TJZ524221:TJZ524229 TTV524221:TTV524229 UDR524221:UDR524229 UNN524221:UNN524229 UXJ524221:UXJ524229 VHF524221:VHF524229 VRB524221:VRB524229 WAX524221:WAX524229 WKT524221:WKT524229 WUP524221:WUP524229 D589757:E589765 ID589757:ID589765 RZ589757:RZ589765 ABV589757:ABV589765 ALR589757:ALR589765 AVN589757:AVN589765 BFJ589757:BFJ589765 BPF589757:BPF589765 BZB589757:BZB589765 CIX589757:CIX589765 CST589757:CST589765 DCP589757:DCP589765 DML589757:DML589765 DWH589757:DWH589765 EGD589757:EGD589765 EPZ589757:EPZ589765 EZV589757:EZV589765 FJR589757:FJR589765 FTN589757:FTN589765 GDJ589757:GDJ589765 GNF589757:GNF589765 GXB589757:GXB589765 HGX589757:HGX589765 HQT589757:HQT589765 IAP589757:IAP589765 IKL589757:IKL589765 IUH589757:IUH589765 JED589757:JED589765 JNZ589757:JNZ589765 JXV589757:JXV589765 KHR589757:KHR589765 KRN589757:KRN589765 LBJ589757:LBJ589765 LLF589757:LLF589765 LVB589757:LVB589765 MEX589757:MEX589765 MOT589757:MOT589765 MYP589757:MYP589765 NIL589757:NIL589765 NSH589757:NSH589765 OCD589757:OCD589765 OLZ589757:OLZ589765 OVV589757:OVV589765 PFR589757:PFR589765 PPN589757:PPN589765 PZJ589757:PZJ589765 QJF589757:QJF589765 QTB589757:QTB589765 RCX589757:RCX589765 RMT589757:RMT589765 RWP589757:RWP589765 SGL589757:SGL589765 SQH589757:SQH589765 TAD589757:TAD589765 TJZ589757:TJZ589765 TTV589757:TTV589765 UDR589757:UDR589765 UNN589757:UNN589765 UXJ589757:UXJ589765 VHF589757:VHF589765 VRB589757:VRB589765 WAX589757:WAX589765 WKT589757:WKT589765 WUP589757:WUP589765 D655293:E655301 ID655293:ID655301 RZ655293:RZ655301 ABV655293:ABV655301 ALR655293:ALR655301 AVN655293:AVN655301 BFJ655293:BFJ655301 BPF655293:BPF655301 BZB655293:BZB655301 CIX655293:CIX655301 CST655293:CST655301 DCP655293:DCP655301 DML655293:DML655301 DWH655293:DWH655301 EGD655293:EGD655301 EPZ655293:EPZ655301 EZV655293:EZV655301 FJR655293:FJR655301 FTN655293:FTN655301 GDJ655293:GDJ655301 GNF655293:GNF655301 GXB655293:GXB655301 HGX655293:HGX655301 HQT655293:HQT655301 IAP655293:IAP655301 IKL655293:IKL655301 IUH655293:IUH655301 JED655293:JED655301 JNZ655293:JNZ655301 JXV655293:JXV655301 KHR655293:KHR655301 KRN655293:KRN655301 LBJ655293:LBJ655301 LLF655293:LLF655301 LVB655293:LVB655301 MEX655293:MEX655301 MOT655293:MOT655301 MYP655293:MYP655301 NIL655293:NIL655301 NSH655293:NSH655301 OCD655293:OCD655301 OLZ655293:OLZ655301 OVV655293:OVV655301 PFR655293:PFR655301 PPN655293:PPN655301 PZJ655293:PZJ655301 QJF655293:QJF655301 QTB655293:QTB655301 RCX655293:RCX655301 RMT655293:RMT655301 RWP655293:RWP655301 SGL655293:SGL655301 SQH655293:SQH655301 TAD655293:TAD655301 TJZ655293:TJZ655301 TTV655293:TTV655301 UDR655293:UDR655301 UNN655293:UNN655301 UXJ655293:UXJ655301 VHF655293:VHF655301 VRB655293:VRB655301 WAX655293:WAX655301 WKT655293:WKT655301 WUP655293:WUP655301 D720829:E720837 ID720829:ID720837 RZ720829:RZ720837 ABV720829:ABV720837 ALR720829:ALR720837 AVN720829:AVN720837 BFJ720829:BFJ720837 BPF720829:BPF720837 BZB720829:BZB720837 CIX720829:CIX720837 CST720829:CST720837 DCP720829:DCP720837 DML720829:DML720837 DWH720829:DWH720837 EGD720829:EGD720837 EPZ720829:EPZ720837 EZV720829:EZV720837 FJR720829:FJR720837 FTN720829:FTN720837 GDJ720829:GDJ720837 GNF720829:GNF720837 GXB720829:GXB720837 HGX720829:HGX720837 HQT720829:HQT720837 IAP720829:IAP720837 IKL720829:IKL720837 IUH720829:IUH720837 JED720829:JED720837 JNZ720829:JNZ720837 JXV720829:JXV720837 KHR720829:KHR720837 KRN720829:KRN720837 LBJ720829:LBJ720837 LLF720829:LLF720837 LVB720829:LVB720837 MEX720829:MEX720837 MOT720829:MOT720837 MYP720829:MYP720837 NIL720829:NIL720837 NSH720829:NSH720837 OCD720829:OCD720837 OLZ720829:OLZ720837 OVV720829:OVV720837 PFR720829:PFR720837 PPN720829:PPN720837 PZJ720829:PZJ720837 QJF720829:QJF720837 QTB720829:QTB720837 RCX720829:RCX720837 RMT720829:RMT720837 RWP720829:RWP720837 SGL720829:SGL720837 SQH720829:SQH720837 TAD720829:TAD720837 TJZ720829:TJZ720837 TTV720829:TTV720837 UDR720829:UDR720837 UNN720829:UNN720837 UXJ720829:UXJ720837 VHF720829:VHF720837 VRB720829:VRB720837 WAX720829:WAX720837 WKT720829:WKT720837 WUP720829:WUP720837 D786365:E786373 ID786365:ID786373 RZ786365:RZ786373 ABV786365:ABV786373 ALR786365:ALR786373 AVN786365:AVN786373 BFJ786365:BFJ786373 BPF786365:BPF786373 BZB786365:BZB786373 CIX786365:CIX786373 CST786365:CST786373 DCP786365:DCP786373 DML786365:DML786373 DWH786365:DWH786373 EGD786365:EGD786373 EPZ786365:EPZ786373 EZV786365:EZV786373 FJR786365:FJR786373 FTN786365:FTN786373 GDJ786365:GDJ786373 GNF786365:GNF786373 GXB786365:GXB786373 HGX786365:HGX786373 HQT786365:HQT786373 IAP786365:IAP786373 IKL786365:IKL786373 IUH786365:IUH786373 JED786365:JED786373 JNZ786365:JNZ786373 JXV786365:JXV786373 KHR786365:KHR786373 KRN786365:KRN786373 LBJ786365:LBJ786373 LLF786365:LLF786373 LVB786365:LVB786373 MEX786365:MEX786373 MOT786365:MOT786373 MYP786365:MYP786373 NIL786365:NIL786373 NSH786365:NSH786373 OCD786365:OCD786373 OLZ786365:OLZ786373 OVV786365:OVV786373 PFR786365:PFR786373 PPN786365:PPN786373 PZJ786365:PZJ786373 QJF786365:QJF786373 QTB786365:QTB786373 RCX786365:RCX786373 RMT786365:RMT786373 RWP786365:RWP786373 SGL786365:SGL786373 SQH786365:SQH786373 TAD786365:TAD786373 TJZ786365:TJZ786373 TTV786365:TTV786373 UDR786365:UDR786373 UNN786365:UNN786373 UXJ786365:UXJ786373 VHF786365:VHF786373 VRB786365:VRB786373 WAX786365:WAX786373 WKT786365:WKT786373 WUP786365:WUP786373 D851901:E851909 ID851901:ID851909 RZ851901:RZ851909 ABV851901:ABV851909 ALR851901:ALR851909 AVN851901:AVN851909 BFJ851901:BFJ851909 BPF851901:BPF851909 BZB851901:BZB851909 CIX851901:CIX851909 CST851901:CST851909 DCP851901:DCP851909 DML851901:DML851909 DWH851901:DWH851909 EGD851901:EGD851909 EPZ851901:EPZ851909 EZV851901:EZV851909 FJR851901:FJR851909 FTN851901:FTN851909 GDJ851901:GDJ851909 GNF851901:GNF851909 GXB851901:GXB851909 HGX851901:HGX851909 HQT851901:HQT851909 IAP851901:IAP851909 IKL851901:IKL851909 IUH851901:IUH851909 JED851901:JED851909 JNZ851901:JNZ851909 JXV851901:JXV851909 KHR851901:KHR851909 KRN851901:KRN851909 LBJ851901:LBJ851909 LLF851901:LLF851909 LVB851901:LVB851909 MEX851901:MEX851909 MOT851901:MOT851909 MYP851901:MYP851909 NIL851901:NIL851909 NSH851901:NSH851909 OCD851901:OCD851909 OLZ851901:OLZ851909 OVV851901:OVV851909 PFR851901:PFR851909 PPN851901:PPN851909 PZJ851901:PZJ851909 QJF851901:QJF851909 QTB851901:QTB851909 RCX851901:RCX851909 RMT851901:RMT851909 RWP851901:RWP851909 SGL851901:SGL851909 SQH851901:SQH851909 TAD851901:TAD851909 TJZ851901:TJZ851909 TTV851901:TTV851909 UDR851901:UDR851909 UNN851901:UNN851909 UXJ851901:UXJ851909 VHF851901:VHF851909 VRB851901:VRB851909 WAX851901:WAX851909 WKT851901:WKT851909 WUP851901:WUP851909 D917437:E917445 ID917437:ID917445 RZ917437:RZ917445 ABV917437:ABV917445 ALR917437:ALR917445 AVN917437:AVN917445 BFJ917437:BFJ917445 BPF917437:BPF917445 BZB917437:BZB917445 CIX917437:CIX917445 CST917437:CST917445 DCP917437:DCP917445 DML917437:DML917445 DWH917437:DWH917445 EGD917437:EGD917445 EPZ917437:EPZ917445 EZV917437:EZV917445 FJR917437:FJR917445 FTN917437:FTN917445 GDJ917437:GDJ917445 GNF917437:GNF917445 GXB917437:GXB917445 HGX917437:HGX917445 HQT917437:HQT917445 IAP917437:IAP917445 IKL917437:IKL917445 IUH917437:IUH917445 JED917437:JED917445 JNZ917437:JNZ917445 JXV917437:JXV917445 KHR917437:KHR917445 KRN917437:KRN917445 LBJ917437:LBJ917445 LLF917437:LLF917445 LVB917437:LVB917445 MEX917437:MEX917445 MOT917437:MOT917445 MYP917437:MYP917445 NIL917437:NIL917445 NSH917437:NSH917445 OCD917437:OCD917445 OLZ917437:OLZ917445 OVV917437:OVV917445 PFR917437:PFR917445 PPN917437:PPN917445 PZJ917437:PZJ917445 QJF917437:QJF917445 QTB917437:QTB917445 RCX917437:RCX917445 RMT917437:RMT917445 RWP917437:RWP917445 SGL917437:SGL917445 SQH917437:SQH917445 TAD917437:TAD917445 TJZ917437:TJZ917445 TTV917437:TTV917445 UDR917437:UDR917445 UNN917437:UNN917445 UXJ917437:UXJ917445 VHF917437:VHF917445 VRB917437:VRB917445 WAX917437:WAX917445 WKT917437:WKT917445 WUP917437:WUP917445 D982973:E982981 ID982973:ID982981 RZ982973:RZ982981 ABV982973:ABV982981 ALR982973:ALR982981 AVN982973:AVN982981 BFJ982973:BFJ982981 BPF982973:BPF982981 BZB982973:BZB982981 CIX982973:CIX982981 CST982973:CST982981 DCP982973:DCP982981 DML982973:DML982981 DWH982973:DWH982981 EGD982973:EGD982981 EPZ982973:EPZ982981 EZV982973:EZV982981 FJR982973:FJR982981 FTN982973:FTN982981 GDJ982973:GDJ982981 GNF982973:GNF982981 GXB982973:GXB982981 HGX982973:HGX982981 HQT982973:HQT982981 IAP982973:IAP982981 IKL982973:IKL982981 IUH982973:IUH982981 JED982973:JED982981 JNZ982973:JNZ982981 JXV982973:JXV982981 KHR982973:KHR982981 KRN982973:KRN982981 LBJ982973:LBJ982981 LLF982973:LLF982981 LVB982973:LVB982981 MEX982973:MEX982981 MOT982973:MOT982981 MYP982973:MYP982981 NIL982973:NIL982981 NSH982973:NSH982981 OCD982973:OCD982981 OLZ982973:OLZ982981 OVV982973:OVV982981 PFR982973:PFR982981 PPN982973:PPN982981 PZJ982973:PZJ982981 QJF982973:QJF982981 QTB982973:QTB982981 RCX982973:RCX982981 RMT982973:RMT982981 RWP982973:RWP982981 SGL982973:SGL982981 SQH982973:SQH982981 TAD982973:TAD982981 TJZ982973:TJZ982981 TTV982973:TTV982981 UDR982973:UDR982981 UNN982973:UNN982981 UXJ982973:UXJ982981 VHF982973:VHF982981 VRB982973:VRB982981 WAX982973:WAX982981 WKT982973:WKT982981 ID9:ID10 WUP9:WUP10 WKT9:WKT10 WAX9:WAX10 VRB9:VRB10 VHF9:VHF10 UXJ9:UXJ10 UNN9:UNN10 UDR9:UDR10 TTV9:TTV10 TJZ9:TJZ10 TAD9:TAD10 SQH9:SQH10 SGL9:SGL10 RWP9:RWP10 RMT9:RMT10 RCX9:RCX10 QTB9:QTB10 QJF9:QJF10 PZJ9:PZJ10 PPN9:PPN10 PFR9:PFR10 OVV9:OVV10 OLZ9:OLZ10 OCD9:OCD10 NSH9:NSH10 NIL9:NIL10 MYP9:MYP10 MOT9:MOT10 MEX9:MEX10 LVB9:LVB10 LLF9:LLF10 LBJ9:LBJ10 KRN9:KRN10 KHR9:KHR10 JXV9:JXV10 JNZ9:JNZ10 JED9:JED10 IUH9:IUH10 IKL9:IKL10 IAP9:IAP10 HQT9:HQT10 HGX9:HGX10 GXB9:GXB10 GNF9:GNF10 GDJ9:GDJ10 FTN9:FTN10 FJR9:FJR10 EZV9:EZV10 EPZ9:EPZ10 EGD9:EGD10 DWH9:DWH10 DML9:DML10 DCP9:DCP10 CST9:CST10 CIX9:CIX10 BZB9:BZB10 BPF9:BPF10 BFJ9:BFJ10 AVN9:AVN10 ALR9:ALR10 ABV9:ABV10 RZ9:RZ10 D9:E10" xr:uid="{00000000-0002-0000-0400-000004000000}"/>
    <dataValidation allowBlank="1" showInputMessage="1" showErrorMessage="1" prompt="diligencie la dedicación del personal relacionado." sqref="WUL982973:WUL982981 HZ65458:HZ65466 RV65458:RV65466 ABR65458:ABR65466 ALN65458:ALN65466 AVJ65458:AVJ65466 BFF65458:BFF65466 BPB65458:BPB65466 BYX65458:BYX65466 CIT65458:CIT65466 CSP65458:CSP65466 DCL65458:DCL65466 DMH65458:DMH65466 DWD65458:DWD65466 EFZ65458:EFZ65466 EPV65458:EPV65466 EZR65458:EZR65466 FJN65458:FJN65466 FTJ65458:FTJ65466 GDF65458:GDF65466 GNB65458:GNB65466 GWX65458:GWX65466 HGT65458:HGT65466 HQP65458:HQP65466 IAL65458:IAL65466 IKH65458:IKH65466 IUD65458:IUD65466 JDZ65458:JDZ65466 JNV65458:JNV65466 JXR65458:JXR65466 KHN65458:KHN65466 KRJ65458:KRJ65466 LBF65458:LBF65466 LLB65458:LLB65466 LUX65458:LUX65466 MET65458:MET65466 MOP65458:MOP65466 MYL65458:MYL65466 NIH65458:NIH65466 NSD65458:NSD65466 OBZ65458:OBZ65466 OLV65458:OLV65466 OVR65458:OVR65466 PFN65458:PFN65466 PPJ65458:PPJ65466 PZF65458:PZF65466 QJB65458:QJB65466 QSX65458:QSX65466 RCT65458:RCT65466 RMP65458:RMP65466 RWL65458:RWL65466 SGH65458:SGH65466 SQD65458:SQD65466 SZZ65458:SZZ65466 TJV65458:TJV65466 TTR65458:TTR65466 UDN65458:UDN65466 UNJ65458:UNJ65466 UXF65458:UXF65466 VHB65458:VHB65466 VQX65458:VQX65466 WAT65458:WAT65466 WKP65458:WKP65466 WUL65458:WUL65466 HZ130994:HZ131002 RV130994:RV131002 ABR130994:ABR131002 ALN130994:ALN131002 AVJ130994:AVJ131002 BFF130994:BFF131002 BPB130994:BPB131002 BYX130994:BYX131002 CIT130994:CIT131002 CSP130994:CSP131002 DCL130994:DCL131002 DMH130994:DMH131002 DWD130994:DWD131002 EFZ130994:EFZ131002 EPV130994:EPV131002 EZR130994:EZR131002 FJN130994:FJN131002 FTJ130994:FTJ131002 GDF130994:GDF131002 GNB130994:GNB131002 GWX130994:GWX131002 HGT130994:HGT131002 HQP130994:HQP131002 IAL130994:IAL131002 IKH130994:IKH131002 IUD130994:IUD131002 JDZ130994:JDZ131002 JNV130994:JNV131002 JXR130994:JXR131002 KHN130994:KHN131002 KRJ130994:KRJ131002 LBF130994:LBF131002 LLB130994:LLB131002 LUX130994:LUX131002 MET130994:MET131002 MOP130994:MOP131002 MYL130994:MYL131002 NIH130994:NIH131002 NSD130994:NSD131002 OBZ130994:OBZ131002 OLV130994:OLV131002 OVR130994:OVR131002 PFN130994:PFN131002 PPJ130994:PPJ131002 PZF130994:PZF131002 QJB130994:QJB131002 QSX130994:QSX131002 RCT130994:RCT131002 RMP130994:RMP131002 RWL130994:RWL131002 SGH130994:SGH131002 SQD130994:SQD131002 SZZ130994:SZZ131002 TJV130994:TJV131002 TTR130994:TTR131002 UDN130994:UDN131002 UNJ130994:UNJ131002 UXF130994:UXF131002 VHB130994:VHB131002 VQX130994:VQX131002 WAT130994:WAT131002 WKP130994:WKP131002 WUL130994:WUL131002 HZ196530:HZ196538 RV196530:RV196538 ABR196530:ABR196538 ALN196530:ALN196538 AVJ196530:AVJ196538 BFF196530:BFF196538 BPB196530:BPB196538 BYX196530:BYX196538 CIT196530:CIT196538 CSP196530:CSP196538 DCL196530:DCL196538 DMH196530:DMH196538 DWD196530:DWD196538 EFZ196530:EFZ196538 EPV196530:EPV196538 EZR196530:EZR196538 FJN196530:FJN196538 FTJ196530:FTJ196538 GDF196530:GDF196538 GNB196530:GNB196538 GWX196530:GWX196538 HGT196530:HGT196538 HQP196530:HQP196538 IAL196530:IAL196538 IKH196530:IKH196538 IUD196530:IUD196538 JDZ196530:JDZ196538 JNV196530:JNV196538 JXR196530:JXR196538 KHN196530:KHN196538 KRJ196530:KRJ196538 LBF196530:LBF196538 LLB196530:LLB196538 LUX196530:LUX196538 MET196530:MET196538 MOP196530:MOP196538 MYL196530:MYL196538 NIH196530:NIH196538 NSD196530:NSD196538 OBZ196530:OBZ196538 OLV196530:OLV196538 OVR196530:OVR196538 PFN196530:PFN196538 PPJ196530:PPJ196538 PZF196530:PZF196538 QJB196530:QJB196538 QSX196530:QSX196538 RCT196530:RCT196538 RMP196530:RMP196538 RWL196530:RWL196538 SGH196530:SGH196538 SQD196530:SQD196538 SZZ196530:SZZ196538 TJV196530:TJV196538 TTR196530:TTR196538 UDN196530:UDN196538 UNJ196530:UNJ196538 UXF196530:UXF196538 VHB196530:VHB196538 VQX196530:VQX196538 WAT196530:WAT196538 WKP196530:WKP196538 WUL196530:WUL196538 HZ262066:HZ262074 RV262066:RV262074 ABR262066:ABR262074 ALN262066:ALN262074 AVJ262066:AVJ262074 BFF262066:BFF262074 BPB262066:BPB262074 BYX262066:BYX262074 CIT262066:CIT262074 CSP262066:CSP262074 DCL262066:DCL262074 DMH262066:DMH262074 DWD262066:DWD262074 EFZ262066:EFZ262074 EPV262066:EPV262074 EZR262066:EZR262074 FJN262066:FJN262074 FTJ262066:FTJ262074 GDF262066:GDF262074 GNB262066:GNB262074 GWX262066:GWX262074 HGT262066:HGT262074 HQP262066:HQP262074 IAL262066:IAL262074 IKH262066:IKH262074 IUD262066:IUD262074 JDZ262066:JDZ262074 JNV262066:JNV262074 JXR262066:JXR262074 KHN262066:KHN262074 KRJ262066:KRJ262074 LBF262066:LBF262074 LLB262066:LLB262074 LUX262066:LUX262074 MET262066:MET262074 MOP262066:MOP262074 MYL262066:MYL262074 NIH262066:NIH262074 NSD262066:NSD262074 OBZ262066:OBZ262074 OLV262066:OLV262074 OVR262066:OVR262074 PFN262066:PFN262074 PPJ262066:PPJ262074 PZF262066:PZF262074 QJB262066:QJB262074 QSX262066:QSX262074 RCT262066:RCT262074 RMP262066:RMP262074 RWL262066:RWL262074 SGH262066:SGH262074 SQD262066:SQD262074 SZZ262066:SZZ262074 TJV262066:TJV262074 TTR262066:TTR262074 UDN262066:UDN262074 UNJ262066:UNJ262074 UXF262066:UXF262074 VHB262066:VHB262074 VQX262066:VQX262074 WAT262066:WAT262074 WKP262066:WKP262074 WUL262066:WUL262074 HZ327602:HZ327610 RV327602:RV327610 ABR327602:ABR327610 ALN327602:ALN327610 AVJ327602:AVJ327610 BFF327602:BFF327610 BPB327602:BPB327610 BYX327602:BYX327610 CIT327602:CIT327610 CSP327602:CSP327610 DCL327602:DCL327610 DMH327602:DMH327610 DWD327602:DWD327610 EFZ327602:EFZ327610 EPV327602:EPV327610 EZR327602:EZR327610 FJN327602:FJN327610 FTJ327602:FTJ327610 GDF327602:GDF327610 GNB327602:GNB327610 GWX327602:GWX327610 HGT327602:HGT327610 HQP327602:HQP327610 IAL327602:IAL327610 IKH327602:IKH327610 IUD327602:IUD327610 JDZ327602:JDZ327610 JNV327602:JNV327610 JXR327602:JXR327610 KHN327602:KHN327610 KRJ327602:KRJ327610 LBF327602:LBF327610 LLB327602:LLB327610 LUX327602:LUX327610 MET327602:MET327610 MOP327602:MOP327610 MYL327602:MYL327610 NIH327602:NIH327610 NSD327602:NSD327610 OBZ327602:OBZ327610 OLV327602:OLV327610 OVR327602:OVR327610 PFN327602:PFN327610 PPJ327602:PPJ327610 PZF327602:PZF327610 QJB327602:QJB327610 QSX327602:QSX327610 RCT327602:RCT327610 RMP327602:RMP327610 RWL327602:RWL327610 SGH327602:SGH327610 SQD327602:SQD327610 SZZ327602:SZZ327610 TJV327602:TJV327610 TTR327602:TTR327610 UDN327602:UDN327610 UNJ327602:UNJ327610 UXF327602:UXF327610 VHB327602:VHB327610 VQX327602:VQX327610 WAT327602:WAT327610 WKP327602:WKP327610 WUL327602:WUL327610 HZ393138:HZ393146 RV393138:RV393146 ABR393138:ABR393146 ALN393138:ALN393146 AVJ393138:AVJ393146 BFF393138:BFF393146 BPB393138:BPB393146 BYX393138:BYX393146 CIT393138:CIT393146 CSP393138:CSP393146 DCL393138:DCL393146 DMH393138:DMH393146 DWD393138:DWD393146 EFZ393138:EFZ393146 EPV393138:EPV393146 EZR393138:EZR393146 FJN393138:FJN393146 FTJ393138:FTJ393146 GDF393138:GDF393146 GNB393138:GNB393146 GWX393138:GWX393146 HGT393138:HGT393146 HQP393138:HQP393146 IAL393138:IAL393146 IKH393138:IKH393146 IUD393138:IUD393146 JDZ393138:JDZ393146 JNV393138:JNV393146 JXR393138:JXR393146 KHN393138:KHN393146 KRJ393138:KRJ393146 LBF393138:LBF393146 LLB393138:LLB393146 LUX393138:LUX393146 MET393138:MET393146 MOP393138:MOP393146 MYL393138:MYL393146 NIH393138:NIH393146 NSD393138:NSD393146 OBZ393138:OBZ393146 OLV393138:OLV393146 OVR393138:OVR393146 PFN393138:PFN393146 PPJ393138:PPJ393146 PZF393138:PZF393146 QJB393138:QJB393146 QSX393138:QSX393146 RCT393138:RCT393146 RMP393138:RMP393146 RWL393138:RWL393146 SGH393138:SGH393146 SQD393138:SQD393146 SZZ393138:SZZ393146 TJV393138:TJV393146 TTR393138:TTR393146 UDN393138:UDN393146 UNJ393138:UNJ393146 UXF393138:UXF393146 VHB393138:VHB393146 VQX393138:VQX393146 WAT393138:WAT393146 WKP393138:WKP393146 WUL393138:WUL393146 HZ458674:HZ458682 RV458674:RV458682 ABR458674:ABR458682 ALN458674:ALN458682 AVJ458674:AVJ458682 BFF458674:BFF458682 BPB458674:BPB458682 BYX458674:BYX458682 CIT458674:CIT458682 CSP458674:CSP458682 DCL458674:DCL458682 DMH458674:DMH458682 DWD458674:DWD458682 EFZ458674:EFZ458682 EPV458674:EPV458682 EZR458674:EZR458682 FJN458674:FJN458682 FTJ458674:FTJ458682 GDF458674:GDF458682 GNB458674:GNB458682 GWX458674:GWX458682 HGT458674:HGT458682 HQP458674:HQP458682 IAL458674:IAL458682 IKH458674:IKH458682 IUD458674:IUD458682 JDZ458674:JDZ458682 JNV458674:JNV458682 JXR458674:JXR458682 KHN458674:KHN458682 KRJ458674:KRJ458682 LBF458674:LBF458682 LLB458674:LLB458682 LUX458674:LUX458682 MET458674:MET458682 MOP458674:MOP458682 MYL458674:MYL458682 NIH458674:NIH458682 NSD458674:NSD458682 OBZ458674:OBZ458682 OLV458674:OLV458682 OVR458674:OVR458682 PFN458674:PFN458682 PPJ458674:PPJ458682 PZF458674:PZF458682 QJB458674:QJB458682 QSX458674:QSX458682 RCT458674:RCT458682 RMP458674:RMP458682 RWL458674:RWL458682 SGH458674:SGH458682 SQD458674:SQD458682 SZZ458674:SZZ458682 TJV458674:TJV458682 TTR458674:TTR458682 UDN458674:UDN458682 UNJ458674:UNJ458682 UXF458674:UXF458682 VHB458674:VHB458682 VQX458674:VQX458682 WAT458674:WAT458682 WKP458674:WKP458682 WUL458674:WUL458682 HZ524210:HZ524218 RV524210:RV524218 ABR524210:ABR524218 ALN524210:ALN524218 AVJ524210:AVJ524218 BFF524210:BFF524218 BPB524210:BPB524218 BYX524210:BYX524218 CIT524210:CIT524218 CSP524210:CSP524218 DCL524210:DCL524218 DMH524210:DMH524218 DWD524210:DWD524218 EFZ524210:EFZ524218 EPV524210:EPV524218 EZR524210:EZR524218 FJN524210:FJN524218 FTJ524210:FTJ524218 GDF524210:GDF524218 GNB524210:GNB524218 GWX524210:GWX524218 HGT524210:HGT524218 HQP524210:HQP524218 IAL524210:IAL524218 IKH524210:IKH524218 IUD524210:IUD524218 JDZ524210:JDZ524218 JNV524210:JNV524218 JXR524210:JXR524218 KHN524210:KHN524218 KRJ524210:KRJ524218 LBF524210:LBF524218 LLB524210:LLB524218 LUX524210:LUX524218 MET524210:MET524218 MOP524210:MOP524218 MYL524210:MYL524218 NIH524210:NIH524218 NSD524210:NSD524218 OBZ524210:OBZ524218 OLV524210:OLV524218 OVR524210:OVR524218 PFN524210:PFN524218 PPJ524210:PPJ524218 PZF524210:PZF524218 QJB524210:QJB524218 QSX524210:QSX524218 RCT524210:RCT524218 RMP524210:RMP524218 RWL524210:RWL524218 SGH524210:SGH524218 SQD524210:SQD524218 SZZ524210:SZZ524218 TJV524210:TJV524218 TTR524210:TTR524218 UDN524210:UDN524218 UNJ524210:UNJ524218 UXF524210:UXF524218 VHB524210:VHB524218 VQX524210:VQX524218 WAT524210:WAT524218 WKP524210:WKP524218 WUL524210:WUL524218 HZ589746:HZ589754 RV589746:RV589754 ABR589746:ABR589754 ALN589746:ALN589754 AVJ589746:AVJ589754 BFF589746:BFF589754 BPB589746:BPB589754 BYX589746:BYX589754 CIT589746:CIT589754 CSP589746:CSP589754 DCL589746:DCL589754 DMH589746:DMH589754 DWD589746:DWD589754 EFZ589746:EFZ589754 EPV589746:EPV589754 EZR589746:EZR589754 FJN589746:FJN589754 FTJ589746:FTJ589754 GDF589746:GDF589754 GNB589746:GNB589754 GWX589746:GWX589754 HGT589746:HGT589754 HQP589746:HQP589754 IAL589746:IAL589754 IKH589746:IKH589754 IUD589746:IUD589754 JDZ589746:JDZ589754 JNV589746:JNV589754 JXR589746:JXR589754 KHN589746:KHN589754 KRJ589746:KRJ589754 LBF589746:LBF589754 LLB589746:LLB589754 LUX589746:LUX589754 MET589746:MET589754 MOP589746:MOP589754 MYL589746:MYL589754 NIH589746:NIH589754 NSD589746:NSD589754 OBZ589746:OBZ589754 OLV589746:OLV589754 OVR589746:OVR589754 PFN589746:PFN589754 PPJ589746:PPJ589754 PZF589746:PZF589754 QJB589746:QJB589754 QSX589746:QSX589754 RCT589746:RCT589754 RMP589746:RMP589754 RWL589746:RWL589754 SGH589746:SGH589754 SQD589746:SQD589754 SZZ589746:SZZ589754 TJV589746:TJV589754 TTR589746:TTR589754 UDN589746:UDN589754 UNJ589746:UNJ589754 UXF589746:UXF589754 VHB589746:VHB589754 VQX589746:VQX589754 WAT589746:WAT589754 WKP589746:WKP589754 WUL589746:WUL589754 HZ655282:HZ655290 RV655282:RV655290 ABR655282:ABR655290 ALN655282:ALN655290 AVJ655282:AVJ655290 BFF655282:BFF655290 BPB655282:BPB655290 BYX655282:BYX655290 CIT655282:CIT655290 CSP655282:CSP655290 DCL655282:DCL655290 DMH655282:DMH655290 DWD655282:DWD655290 EFZ655282:EFZ655290 EPV655282:EPV655290 EZR655282:EZR655290 FJN655282:FJN655290 FTJ655282:FTJ655290 GDF655282:GDF655290 GNB655282:GNB655290 GWX655282:GWX655290 HGT655282:HGT655290 HQP655282:HQP655290 IAL655282:IAL655290 IKH655282:IKH655290 IUD655282:IUD655290 JDZ655282:JDZ655290 JNV655282:JNV655290 JXR655282:JXR655290 KHN655282:KHN655290 KRJ655282:KRJ655290 LBF655282:LBF655290 LLB655282:LLB655290 LUX655282:LUX655290 MET655282:MET655290 MOP655282:MOP655290 MYL655282:MYL655290 NIH655282:NIH655290 NSD655282:NSD655290 OBZ655282:OBZ655290 OLV655282:OLV655290 OVR655282:OVR655290 PFN655282:PFN655290 PPJ655282:PPJ655290 PZF655282:PZF655290 QJB655282:QJB655290 QSX655282:QSX655290 RCT655282:RCT655290 RMP655282:RMP655290 RWL655282:RWL655290 SGH655282:SGH655290 SQD655282:SQD655290 SZZ655282:SZZ655290 TJV655282:TJV655290 TTR655282:TTR655290 UDN655282:UDN655290 UNJ655282:UNJ655290 UXF655282:UXF655290 VHB655282:VHB655290 VQX655282:VQX655290 WAT655282:WAT655290 WKP655282:WKP655290 WUL655282:WUL655290 HZ720818:HZ720826 RV720818:RV720826 ABR720818:ABR720826 ALN720818:ALN720826 AVJ720818:AVJ720826 BFF720818:BFF720826 BPB720818:BPB720826 BYX720818:BYX720826 CIT720818:CIT720826 CSP720818:CSP720826 DCL720818:DCL720826 DMH720818:DMH720826 DWD720818:DWD720826 EFZ720818:EFZ720826 EPV720818:EPV720826 EZR720818:EZR720826 FJN720818:FJN720826 FTJ720818:FTJ720826 GDF720818:GDF720826 GNB720818:GNB720826 GWX720818:GWX720826 HGT720818:HGT720826 HQP720818:HQP720826 IAL720818:IAL720826 IKH720818:IKH720826 IUD720818:IUD720826 JDZ720818:JDZ720826 JNV720818:JNV720826 JXR720818:JXR720826 KHN720818:KHN720826 KRJ720818:KRJ720826 LBF720818:LBF720826 LLB720818:LLB720826 LUX720818:LUX720826 MET720818:MET720826 MOP720818:MOP720826 MYL720818:MYL720826 NIH720818:NIH720826 NSD720818:NSD720826 OBZ720818:OBZ720826 OLV720818:OLV720826 OVR720818:OVR720826 PFN720818:PFN720826 PPJ720818:PPJ720826 PZF720818:PZF720826 QJB720818:QJB720826 QSX720818:QSX720826 RCT720818:RCT720826 RMP720818:RMP720826 RWL720818:RWL720826 SGH720818:SGH720826 SQD720818:SQD720826 SZZ720818:SZZ720826 TJV720818:TJV720826 TTR720818:TTR720826 UDN720818:UDN720826 UNJ720818:UNJ720826 UXF720818:UXF720826 VHB720818:VHB720826 VQX720818:VQX720826 WAT720818:WAT720826 WKP720818:WKP720826 WUL720818:WUL720826 HZ786354:HZ786362 RV786354:RV786362 ABR786354:ABR786362 ALN786354:ALN786362 AVJ786354:AVJ786362 BFF786354:BFF786362 BPB786354:BPB786362 BYX786354:BYX786362 CIT786354:CIT786362 CSP786354:CSP786362 DCL786354:DCL786362 DMH786354:DMH786362 DWD786354:DWD786362 EFZ786354:EFZ786362 EPV786354:EPV786362 EZR786354:EZR786362 FJN786354:FJN786362 FTJ786354:FTJ786362 GDF786354:GDF786362 GNB786354:GNB786362 GWX786354:GWX786362 HGT786354:HGT786362 HQP786354:HQP786362 IAL786354:IAL786362 IKH786354:IKH786362 IUD786354:IUD786362 JDZ786354:JDZ786362 JNV786354:JNV786362 JXR786354:JXR786362 KHN786354:KHN786362 KRJ786354:KRJ786362 LBF786354:LBF786362 LLB786354:LLB786362 LUX786354:LUX786362 MET786354:MET786362 MOP786354:MOP786362 MYL786354:MYL786362 NIH786354:NIH786362 NSD786354:NSD786362 OBZ786354:OBZ786362 OLV786354:OLV786362 OVR786354:OVR786362 PFN786354:PFN786362 PPJ786354:PPJ786362 PZF786354:PZF786362 QJB786354:QJB786362 QSX786354:QSX786362 RCT786354:RCT786362 RMP786354:RMP786362 RWL786354:RWL786362 SGH786354:SGH786362 SQD786354:SQD786362 SZZ786354:SZZ786362 TJV786354:TJV786362 TTR786354:TTR786362 UDN786354:UDN786362 UNJ786354:UNJ786362 UXF786354:UXF786362 VHB786354:VHB786362 VQX786354:VQX786362 WAT786354:WAT786362 WKP786354:WKP786362 WUL786354:WUL786362 HZ851890:HZ851898 RV851890:RV851898 ABR851890:ABR851898 ALN851890:ALN851898 AVJ851890:AVJ851898 BFF851890:BFF851898 BPB851890:BPB851898 BYX851890:BYX851898 CIT851890:CIT851898 CSP851890:CSP851898 DCL851890:DCL851898 DMH851890:DMH851898 DWD851890:DWD851898 EFZ851890:EFZ851898 EPV851890:EPV851898 EZR851890:EZR851898 FJN851890:FJN851898 FTJ851890:FTJ851898 GDF851890:GDF851898 GNB851890:GNB851898 GWX851890:GWX851898 HGT851890:HGT851898 HQP851890:HQP851898 IAL851890:IAL851898 IKH851890:IKH851898 IUD851890:IUD851898 JDZ851890:JDZ851898 JNV851890:JNV851898 JXR851890:JXR851898 KHN851890:KHN851898 KRJ851890:KRJ851898 LBF851890:LBF851898 LLB851890:LLB851898 LUX851890:LUX851898 MET851890:MET851898 MOP851890:MOP851898 MYL851890:MYL851898 NIH851890:NIH851898 NSD851890:NSD851898 OBZ851890:OBZ851898 OLV851890:OLV851898 OVR851890:OVR851898 PFN851890:PFN851898 PPJ851890:PPJ851898 PZF851890:PZF851898 QJB851890:QJB851898 QSX851890:QSX851898 RCT851890:RCT851898 RMP851890:RMP851898 RWL851890:RWL851898 SGH851890:SGH851898 SQD851890:SQD851898 SZZ851890:SZZ851898 TJV851890:TJV851898 TTR851890:TTR851898 UDN851890:UDN851898 UNJ851890:UNJ851898 UXF851890:UXF851898 VHB851890:VHB851898 VQX851890:VQX851898 WAT851890:WAT851898 WKP851890:WKP851898 WUL851890:WUL851898 HZ917426:HZ917434 RV917426:RV917434 ABR917426:ABR917434 ALN917426:ALN917434 AVJ917426:AVJ917434 BFF917426:BFF917434 BPB917426:BPB917434 BYX917426:BYX917434 CIT917426:CIT917434 CSP917426:CSP917434 DCL917426:DCL917434 DMH917426:DMH917434 DWD917426:DWD917434 EFZ917426:EFZ917434 EPV917426:EPV917434 EZR917426:EZR917434 FJN917426:FJN917434 FTJ917426:FTJ917434 GDF917426:GDF917434 GNB917426:GNB917434 GWX917426:GWX917434 HGT917426:HGT917434 HQP917426:HQP917434 IAL917426:IAL917434 IKH917426:IKH917434 IUD917426:IUD917434 JDZ917426:JDZ917434 JNV917426:JNV917434 JXR917426:JXR917434 KHN917426:KHN917434 KRJ917426:KRJ917434 LBF917426:LBF917434 LLB917426:LLB917434 LUX917426:LUX917434 MET917426:MET917434 MOP917426:MOP917434 MYL917426:MYL917434 NIH917426:NIH917434 NSD917426:NSD917434 OBZ917426:OBZ917434 OLV917426:OLV917434 OVR917426:OVR917434 PFN917426:PFN917434 PPJ917426:PPJ917434 PZF917426:PZF917434 QJB917426:QJB917434 QSX917426:QSX917434 RCT917426:RCT917434 RMP917426:RMP917434 RWL917426:RWL917434 SGH917426:SGH917434 SQD917426:SQD917434 SZZ917426:SZZ917434 TJV917426:TJV917434 TTR917426:TTR917434 UDN917426:UDN917434 UNJ917426:UNJ917434 UXF917426:UXF917434 VHB917426:VHB917434 VQX917426:VQX917434 WAT917426:WAT917434 WKP917426:WKP917434 WUL917426:WUL917434 HZ982962:HZ982970 RV982962:RV982970 ABR982962:ABR982970 ALN982962:ALN982970 AVJ982962:AVJ982970 BFF982962:BFF982970 BPB982962:BPB982970 BYX982962:BYX982970 CIT982962:CIT982970 CSP982962:CSP982970 DCL982962:DCL982970 DMH982962:DMH982970 DWD982962:DWD982970 EFZ982962:EFZ982970 EPV982962:EPV982970 EZR982962:EZR982970 FJN982962:FJN982970 FTJ982962:FTJ982970 GDF982962:GDF982970 GNB982962:GNB982970 GWX982962:GWX982970 HGT982962:HGT982970 HQP982962:HQP982970 IAL982962:IAL982970 IKH982962:IKH982970 IUD982962:IUD982970 JDZ982962:JDZ982970 JNV982962:JNV982970 JXR982962:JXR982970 KHN982962:KHN982970 KRJ982962:KRJ982970 LBF982962:LBF982970 LLB982962:LLB982970 LUX982962:LUX982970 MET982962:MET982970 MOP982962:MOP982970 MYL982962:MYL982970 NIH982962:NIH982970 NSD982962:NSD982970 OBZ982962:OBZ982970 OLV982962:OLV982970 OVR982962:OVR982970 PFN982962:PFN982970 PPJ982962:PPJ982970 PZF982962:PZF982970 QJB982962:QJB982970 QSX982962:QSX982970 RCT982962:RCT982970 RMP982962:RMP982970 RWL982962:RWL982970 SGH982962:SGH982970 SQD982962:SQD982970 SZZ982962:SZZ982970 TJV982962:TJV982970 TTR982962:TTR982970 UDN982962:UDN982970 UNJ982962:UNJ982970 UXF982962:UXF982970 VHB982962:VHB982970 VQX982962:VQX982970 WAT982962:WAT982970 WKP982962:WKP982970 WUL982962:WUL982970 HZ65469:HZ65477 RV65469:RV65477 ABR65469:ABR65477 ALN65469:ALN65477 AVJ65469:AVJ65477 BFF65469:BFF65477 BPB65469:BPB65477 BYX65469:BYX65477 CIT65469:CIT65477 CSP65469:CSP65477 DCL65469:DCL65477 DMH65469:DMH65477 DWD65469:DWD65477 EFZ65469:EFZ65477 EPV65469:EPV65477 EZR65469:EZR65477 FJN65469:FJN65477 FTJ65469:FTJ65477 GDF65469:GDF65477 GNB65469:GNB65477 GWX65469:GWX65477 HGT65469:HGT65477 HQP65469:HQP65477 IAL65469:IAL65477 IKH65469:IKH65477 IUD65469:IUD65477 JDZ65469:JDZ65477 JNV65469:JNV65477 JXR65469:JXR65477 KHN65469:KHN65477 KRJ65469:KRJ65477 LBF65469:LBF65477 LLB65469:LLB65477 LUX65469:LUX65477 MET65469:MET65477 MOP65469:MOP65477 MYL65469:MYL65477 NIH65469:NIH65477 NSD65469:NSD65477 OBZ65469:OBZ65477 OLV65469:OLV65477 OVR65469:OVR65477 PFN65469:PFN65477 PPJ65469:PPJ65477 PZF65469:PZF65477 QJB65469:QJB65477 QSX65469:QSX65477 RCT65469:RCT65477 RMP65469:RMP65477 RWL65469:RWL65477 SGH65469:SGH65477 SQD65469:SQD65477 SZZ65469:SZZ65477 TJV65469:TJV65477 TTR65469:TTR65477 UDN65469:UDN65477 UNJ65469:UNJ65477 UXF65469:UXF65477 VHB65469:VHB65477 VQX65469:VQX65477 WAT65469:WAT65477 WKP65469:WKP65477 WUL65469:WUL65477 HZ131005:HZ131013 RV131005:RV131013 ABR131005:ABR131013 ALN131005:ALN131013 AVJ131005:AVJ131013 BFF131005:BFF131013 BPB131005:BPB131013 BYX131005:BYX131013 CIT131005:CIT131013 CSP131005:CSP131013 DCL131005:DCL131013 DMH131005:DMH131013 DWD131005:DWD131013 EFZ131005:EFZ131013 EPV131005:EPV131013 EZR131005:EZR131013 FJN131005:FJN131013 FTJ131005:FTJ131013 GDF131005:GDF131013 GNB131005:GNB131013 GWX131005:GWX131013 HGT131005:HGT131013 HQP131005:HQP131013 IAL131005:IAL131013 IKH131005:IKH131013 IUD131005:IUD131013 JDZ131005:JDZ131013 JNV131005:JNV131013 JXR131005:JXR131013 KHN131005:KHN131013 KRJ131005:KRJ131013 LBF131005:LBF131013 LLB131005:LLB131013 LUX131005:LUX131013 MET131005:MET131013 MOP131005:MOP131013 MYL131005:MYL131013 NIH131005:NIH131013 NSD131005:NSD131013 OBZ131005:OBZ131013 OLV131005:OLV131013 OVR131005:OVR131013 PFN131005:PFN131013 PPJ131005:PPJ131013 PZF131005:PZF131013 QJB131005:QJB131013 QSX131005:QSX131013 RCT131005:RCT131013 RMP131005:RMP131013 RWL131005:RWL131013 SGH131005:SGH131013 SQD131005:SQD131013 SZZ131005:SZZ131013 TJV131005:TJV131013 TTR131005:TTR131013 UDN131005:UDN131013 UNJ131005:UNJ131013 UXF131005:UXF131013 VHB131005:VHB131013 VQX131005:VQX131013 WAT131005:WAT131013 WKP131005:WKP131013 WUL131005:WUL131013 HZ196541:HZ196549 RV196541:RV196549 ABR196541:ABR196549 ALN196541:ALN196549 AVJ196541:AVJ196549 BFF196541:BFF196549 BPB196541:BPB196549 BYX196541:BYX196549 CIT196541:CIT196549 CSP196541:CSP196549 DCL196541:DCL196549 DMH196541:DMH196549 DWD196541:DWD196549 EFZ196541:EFZ196549 EPV196541:EPV196549 EZR196541:EZR196549 FJN196541:FJN196549 FTJ196541:FTJ196549 GDF196541:GDF196549 GNB196541:GNB196549 GWX196541:GWX196549 HGT196541:HGT196549 HQP196541:HQP196549 IAL196541:IAL196549 IKH196541:IKH196549 IUD196541:IUD196549 JDZ196541:JDZ196549 JNV196541:JNV196549 JXR196541:JXR196549 KHN196541:KHN196549 KRJ196541:KRJ196549 LBF196541:LBF196549 LLB196541:LLB196549 LUX196541:LUX196549 MET196541:MET196549 MOP196541:MOP196549 MYL196541:MYL196549 NIH196541:NIH196549 NSD196541:NSD196549 OBZ196541:OBZ196549 OLV196541:OLV196549 OVR196541:OVR196549 PFN196541:PFN196549 PPJ196541:PPJ196549 PZF196541:PZF196549 QJB196541:QJB196549 QSX196541:QSX196549 RCT196541:RCT196549 RMP196541:RMP196549 RWL196541:RWL196549 SGH196541:SGH196549 SQD196541:SQD196549 SZZ196541:SZZ196549 TJV196541:TJV196549 TTR196541:TTR196549 UDN196541:UDN196549 UNJ196541:UNJ196549 UXF196541:UXF196549 VHB196541:VHB196549 VQX196541:VQX196549 WAT196541:WAT196549 WKP196541:WKP196549 WUL196541:WUL196549 HZ262077:HZ262085 RV262077:RV262085 ABR262077:ABR262085 ALN262077:ALN262085 AVJ262077:AVJ262085 BFF262077:BFF262085 BPB262077:BPB262085 BYX262077:BYX262085 CIT262077:CIT262085 CSP262077:CSP262085 DCL262077:DCL262085 DMH262077:DMH262085 DWD262077:DWD262085 EFZ262077:EFZ262085 EPV262077:EPV262085 EZR262077:EZR262085 FJN262077:FJN262085 FTJ262077:FTJ262085 GDF262077:GDF262085 GNB262077:GNB262085 GWX262077:GWX262085 HGT262077:HGT262085 HQP262077:HQP262085 IAL262077:IAL262085 IKH262077:IKH262085 IUD262077:IUD262085 JDZ262077:JDZ262085 JNV262077:JNV262085 JXR262077:JXR262085 KHN262077:KHN262085 KRJ262077:KRJ262085 LBF262077:LBF262085 LLB262077:LLB262085 LUX262077:LUX262085 MET262077:MET262085 MOP262077:MOP262085 MYL262077:MYL262085 NIH262077:NIH262085 NSD262077:NSD262085 OBZ262077:OBZ262085 OLV262077:OLV262085 OVR262077:OVR262085 PFN262077:PFN262085 PPJ262077:PPJ262085 PZF262077:PZF262085 QJB262077:QJB262085 QSX262077:QSX262085 RCT262077:RCT262085 RMP262077:RMP262085 RWL262077:RWL262085 SGH262077:SGH262085 SQD262077:SQD262085 SZZ262077:SZZ262085 TJV262077:TJV262085 TTR262077:TTR262085 UDN262077:UDN262085 UNJ262077:UNJ262085 UXF262077:UXF262085 VHB262077:VHB262085 VQX262077:VQX262085 WAT262077:WAT262085 WKP262077:WKP262085 WUL262077:WUL262085 HZ327613:HZ327621 RV327613:RV327621 ABR327613:ABR327621 ALN327613:ALN327621 AVJ327613:AVJ327621 BFF327613:BFF327621 BPB327613:BPB327621 BYX327613:BYX327621 CIT327613:CIT327621 CSP327613:CSP327621 DCL327613:DCL327621 DMH327613:DMH327621 DWD327613:DWD327621 EFZ327613:EFZ327621 EPV327613:EPV327621 EZR327613:EZR327621 FJN327613:FJN327621 FTJ327613:FTJ327621 GDF327613:GDF327621 GNB327613:GNB327621 GWX327613:GWX327621 HGT327613:HGT327621 HQP327613:HQP327621 IAL327613:IAL327621 IKH327613:IKH327621 IUD327613:IUD327621 JDZ327613:JDZ327621 JNV327613:JNV327621 JXR327613:JXR327621 KHN327613:KHN327621 KRJ327613:KRJ327621 LBF327613:LBF327621 LLB327613:LLB327621 LUX327613:LUX327621 MET327613:MET327621 MOP327613:MOP327621 MYL327613:MYL327621 NIH327613:NIH327621 NSD327613:NSD327621 OBZ327613:OBZ327621 OLV327613:OLV327621 OVR327613:OVR327621 PFN327613:PFN327621 PPJ327613:PPJ327621 PZF327613:PZF327621 QJB327613:QJB327621 QSX327613:QSX327621 RCT327613:RCT327621 RMP327613:RMP327621 RWL327613:RWL327621 SGH327613:SGH327621 SQD327613:SQD327621 SZZ327613:SZZ327621 TJV327613:TJV327621 TTR327613:TTR327621 UDN327613:UDN327621 UNJ327613:UNJ327621 UXF327613:UXF327621 VHB327613:VHB327621 VQX327613:VQX327621 WAT327613:WAT327621 WKP327613:WKP327621 WUL327613:WUL327621 HZ393149:HZ393157 RV393149:RV393157 ABR393149:ABR393157 ALN393149:ALN393157 AVJ393149:AVJ393157 BFF393149:BFF393157 BPB393149:BPB393157 BYX393149:BYX393157 CIT393149:CIT393157 CSP393149:CSP393157 DCL393149:DCL393157 DMH393149:DMH393157 DWD393149:DWD393157 EFZ393149:EFZ393157 EPV393149:EPV393157 EZR393149:EZR393157 FJN393149:FJN393157 FTJ393149:FTJ393157 GDF393149:GDF393157 GNB393149:GNB393157 GWX393149:GWX393157 HGT393149:HGT393157 HQP393149:HQP393157 IAL393149:IAL393157 IKH393149:IKH393157 IUD393149:IUD393157 JDZ393149:JDZ393157 JNV393149:JNV393157 JXR393149:JXR393157 KHN393149:KHN393157 KRJ393149:KRJ393157 LBF393149:LBF393157 LLB393149:LLB393157 LUX393149:LUX393157 MET393149:MET393157 MOP393149:MOP393157 MYL393149:MYL393157 NIH393149:NIH393157 NSD393149:NSD393157 OBZ393149:OBZ393157 OLV393149:OLV393157 OVR393149:OVR393157 PFN393149:PFN393157 PPJ393149:PPJ393157 PZF393149:PZF393157 QJB393149:QJB393157 QSX393149:QSX393157 RCT393149:RCT393157 RMP393149:RMP393157 RWL393149:RWL393157 SGH393149:SGH393157 SQD393149:SQD393157 SZZ393149:SZZ393157 TJV393149:TJV393157 TTR393149:TTR393157 UDN393149:UDN393157 UNJ393149:UNJ393157 UXF393149:UXF393157 VHB393149:VHB393157 VQX393149:VQX393157 WAT393149:WAT393157 WKP393149:WKP393157 WUL393149:WUL393157 HZ458685:HZ458693 RV458685:RV458693 ABR458685:ABR458693 ALN458685:ALN458693 AVJ458685:AVJ458693 BFF458685:BFF458693 BPB458685:BPB458693 BYX458685:BYX458693 CIT458685:CIT458693 CSP458685:CSP458693 DCL458685:DCL458693 DMH458685:DMH458693 DWD458685:DWD458693 EFZ458685:EFZ458693 EPV458685:EPV458693 EZR458685:EZR458693 FJN458685:FJN458693 FTJ458685:FTJ458693 GDF458685:GDF458693 GNB458685:GNB458693 GWX458685:GWX458693 HGT458685:HGT458693 HQP458685:HQP458693 IAL458685:IAL458693 IKH458685:IKH458693 IUD458685:IUD458693 JDZ458685:JDZ458693 JNV458685:JNV458693 JXR458685:JXR458693 KHN458685:KHN458693 KRJ458685:KRJ458693 LBF458685:LBF458693 LLB458685:LLB458693 LUX458685:LUX458693 MET458685:MET458693 MOP458685:MOP458693 MYL458685:MYL458693 NIH458685:NIH458693 NSD458685:NSD458693 OBZ458685:OBZ458693 OLV458685:OLV458693 OVR458685:OVR458693 PFN458685:PFN458693 PPJ458685:PPJ458693 PZF458685:PZF458693 QJB458685:QJB458693 QSX458685:QSX458693 RCT458685:RCT458693 RMP458685:RMP458693 RWL458685:RWL458693 SGH458685:SGH458693 SQD458685:SQD458693 SZZ458685:SZZ458693 TJV458685:TJV458693 TTR458685:TTR458693 UDN458685:UDN458693 UNJ458685:UNJ458693 UXF458685:UXF458693 VHB458685:VHB458693 VQX458685:VQX458693 WAT458685:WAT458693 WKP458685:WKP458693 WUL458685:WUL458693 HZ524221:HZ524229 RV524221:RV524229 ABR524221:ABR524229 ALN524221:ALN524229 AVJ524221:AVJ524229 BFF524221:BFF524229 BPB524221:BPB524229 BYX524221:BYX524229 CIT524221:CIT524229 CSP524221:CSP524229 DCL524221:DCL524229 DMH524221:DMH524229 DWD524221:DWD524229 EFZ524221:EFZ524229 EPV524221:EPV524229 EZR524221:EZR524229 FJN524221:FJN524229 FTJ524221:FTJ524229 GDF524221:GDF524229 GNB524221:GNB524229 GWX524221:GWX524229 HGT524221:HGT524229 HQP524221:HQP524229 IAL524221:IAL524229 IKH524221:IKH524229 IUD524221:IUD524229 JDZ524221:JDZ524229 JNV524221:JNV524229 JXR524221:JXR524229 KHN524221:KHN524229 KRJ524221:KRJ524229 LBF524221:LBF524229 LLB524221:LLB524229 LUX524221:LUX524229 MET524221:MET524229 MOP524221:MOP524229 MYL524221:MYL524229 NIH524221:NIH524229 NSD524221:NSD524229 OBZ524221:OBZ524229 OLV524221:OLV524229 OVR524221:OVR524229 PFN524221:PFN524229 PPJ524221:PPJ524229 PZF524221:PZF524229 QJB524221:QJB524229 QSX524221:QSX524229 RCT524221:RCT524229 RMP524221:RMP524229 RWL524221:RWL524229 SGH524221:SGH524229 SQD524221:SQD524229 SZZ524221:SZZ524229 TJV524221:TJV524229 TTR524221:TTR524229 UDN524221:UDN524229 UNJ524221:UNJ524229 UXF524221:UXF524229 VHB524221:VHB524229 VQX524221:VQX524229 WAT524221:WAT524229 WKP524221:WKP524229 WUL524221:WUL524229 HZ589757:HZ589765 RV589757:RV589765 ABR589757:ABR589765 ALN589757:ALN589765 AVJ589757:AVJ589765 BFF589757:BFF589765 BPB589757:BPB589765 BYX589757:BYX589765 CIT589757:CIT589765 CSP589757:CSP589765 DCL589757:DCL589765 DMH589757:DMH589765 DWD589757:DWD589765 EFZ589757:EFZ589765 EPV589757:EPV589765 EZR589757:EZR589765 FJN589757:FJN589765 FTJ589757:FTJ589765 GDF589757:GDF589765 GNB589757:GNB589765 GWX589757:GWX589765 HGT589757:HGT589765 HQP589757:HQP589765 IAL589757:IAL589765 IKH589757:IKH589765 IUD589757:IUD589765 JDZ589757:JDZ589765 JNV589757:JNV589765 JXR589757:JXR589765 KHN589757:KHN589765 KRJ589757:KRJ589765 LBF589757:LBF589765 LLB589757:LLB589765 LUX589757:LUX589765 MET589757:MET589765 MOP589757:MOP589765 MYL589757:MYL589765 NIH589757:NIH589765 NSD589757:NSD589765 OBZ589757:OBZ589765 OLV589757:OLV589765 OVR589757:OVR589765 PFN589757:PFN589765 PPJ589757:PPJ589765 PZF589757:PZF589765 QJB589757:QJB589765 QSX589757:QSX589765 RCT589757:RCT589765 RMP589757:RMP589765 RWL589757:RWL589765 SGH589757:SGH589765 SQD589757:SQD589765 SZZ589757:SZZ589765 TJV589757:TJV589765 TTR589757:TTR589765 UDN589757:UDN589765 UNJ589757:UNJ589765 UXF589757:UXF589765 VHB589757:VHB589765 VQX589757:VQX589765 WAT589757:WAT589765 WKP589757:WKP589765 WUL589757:WUL589765 HZ655293:HZ655301 RV655293:RV655301 ABR655293:ABR655301 ALN655293:ALN655301 AVJ655293:AVJ655301 BFF655293:BFF655301 BPB655293:BPB655301 BYX655293:BYX655301 CIT655293:CIT655301 CSP655293:CSP655301 DCL655293:DCL655301 DMH655293:DMH655301 DWD655293:DWD655301 EFZ655293:EFZ655301 EPV655293:EPV655301 EZR655293:EZR655301 FJN655293:FJN655301 FTJ655293:FTJ655301 GDF655293:GDF655301 GNB655293:GNB655301 GWX655293:GWX655301 HGT655293:HGT655301 HQP655293:HQP655301 IAL655293:IAL655301 IKH655293:IKH655301 IUD655293:IUD655301 JDZ655293:JDZ655301 JNV655293:JNV655301 JXR655293:JXR655301 KHN655293:KHN655301 KRJ655293:KRJ655301 LBF655293:LBF655301 LLB655293:LLB655301 LUX655293:LUX655301 MET655293:MET655301 MOP655293:MOP655301 MYL655293:MYL655301 NIH655293:NIH655301 NSD655293:NSD655301 OBZ655293:OBZ655301 OLV655293:OLV655301 OVR655293:OVR655301 PFN655293:PFN655301 PPJ655293:PPJ655301 PZF655293:PZF655301 QJB655293:QJB655301 QSX655293:QSX655301 RCT655293:RCT655301 RMP655293:RMP655301 RWL655293:RWL655301 SGH655293:SGH655301 SQD655293:SQD655301 SZZ655293:SZZ655301 TJV655293:TJV655301 TTR655293:TTR655301 UDN655293:UDN655301 UNJ655293:UNJ655301 UXF655293:UXF655301 VHB655293:VHB655301 VQX655293:VQX655301 WAT655293:WAT655301 WKP655293:WKP655301 WUL655293:WUL655301 HZ720829:HZ720837 RV720829:RV720837 ABR720829:ABR720837 ALN720829:ALN720837 AVJ720829:AVJ720837 BFF720829:BFF720837 BPB720829:BPB720837 BYX720829:BYX720837 CIT720829:CIT720837 CSP720829:CSP720837 DCL720829:DCL720837 DMH720829:DMH720837 DWD720829:DWD720837 EFZ720829:EFZ720837 EPV720829:EPV720837 EZR720829:EZR720837 FJN720829:FJN720837 FTJ720829:FTJ720837 GDF720829:GDF720837 GNB720829:GNB720837 GWX720829:GWX720837 HGT720829:HGT720837 HQP720829:HQP720837 IAL720829:IAL720837 IKH720829:IKH720837 IUD720829:IUD720837 JDZ720829:JDZ720837 JNV720829:JNV720837 JXR720829:JXR720837 KHN720829:KHN720837 KRJ720829:KRJ720837 LBF720829:LBF720837 LLB720829:LLB720837 LUX720829:LUX720837 MET720829:MET720837 MOP720829:MOP720837 MYL720829:MYL720837 NIH720829:NIH720837 NSD720829:NSD720837 OBZ720829:OBZ720837 OLV720829:OLV720837 OVR720829:OVR720837 PFN720829:PFN720837 PPJ720829:PPJ720837 PZF720829:PZF720837 QJB720829:QJB720837 QSX720829:QSX720837 RCT720829:RCT720837 RMP720829:RMP720837 RWL720829:RWL720837 SGH720829:SGH720837 SQD720829:SQD720837 SZZ720829:SZZ720837 TJV720829:TJV720837 TTR720829:TTR720837 UDN720829:UDN720837 UNJ720829:UNJ720837 UXF720829:UXF720837 VHB720829:VHB720837 VQX720829:VQX720837 WAT720829:WAT720837 WKP720829:WKP720837 WUL720829:WUL720837 HZ786365:HZ786373 RV786365:RV786373 ABR786365:ABR786373 ALN786365:ALN786373 AVJ786365:AVJ786373 BFF786365:BFF786373 BPB786365:BPB786373 BYX786365:BYX786373 CIT786365:CIT786373 CSP786365:CSP786373 DCL786365:DCL786373 DMH786365:DMH786373 DWD786365:DWD786373 EFZ786365:EFZ786373 EPV786365:EPV786373 EZR786365:EZR786373 FJN786365:FJN786373 FTJ786365:FTJ786373 GDF786365:GDF786373 GNB786365:GNB786373 GWX786365:GWX786373 HGT786365:HGT786373 HQP786365:HQP786373 IAL786365:IAL786373 IKH786365:IKH786373 IUD786365:IUD786373 JDZ786365:JDZ786373 JNV786365:JNV786373 JXR786365:JXR786373 KHN786365:KHN786373 KRJ786365:KRJ786373 LBF786365:LBF786373 LLB786365:LLB786373 LUX786365:LUX786373 MET786365:MET786373 MOP786365:MOP786373 MYL786365:MYL786373 NIH786365:NIH786373 NSD786365:NSD786373 OBZ786365:OBZ786373 OLV786365:OLV786373 OVR786365:OVR786373 PFN786365:PFN786373 PPJ786365:PPJ786373 PZF786365:PZF786373 QJB786365:QJB786373 QSX786365:QSX786373 RCT786365:RCT786373 RMP786365:RMP786373 RWL786365:RWL786373 SGH786365:SGH786373 SQD786365:SQD786373 SZZ786365:SZZ786373 TJV786365:TJV786373 TTR786365:TTR786373 UDN786365:UDN786373 UNJ786365:UNJ786373 UXF786365:UXF786373 VHB786365:VHB786373 VQX786365:VQX786373 WAT786365:WAT786373 WKP786365:WKP786373 WUL786365:WUL786373 HZ851901:HZ851909 RV851901:RV851909 ABR851901:ABR851909 ALN851901:ALN851909 AVJ851901:AVJ851909 BFF851901:BFF851909 BPB851901:BPB851909 BYX851901:BYX851909 CIT851901:CIT851909 CSP851901:CSP851909 DCL851901:DCL851909 DMH851901:DMH851909 DWD851901:DWD851909 EFZ851901:EFZ851909 EPV851901:EPV851909 EZR851901:EZR851909 FJN851901:FJN851909 FTJ851901:FTJ851909 GDF851901:GDF851909 GNB851901:GNB851909 GWX851901:GWX851909 HGT851901:HGT851909 HQP851901:HQP851909 IAL851901:IAL851909 IKH851901:IKH851909 IUD851901:IUD851909 JDZ851901:JDZ851909 JNV851901:JNV851909 JXR851901:JXR851909 KHN851901:KHN851909 KRJ851901:KRJ851909 LBF851901:LBF851909 LLB851901:LLB851909 LUX851901:LUX851909 MET851901:MET851909 MOP851901:MOP851909 MYL851901:MYL851909 NIH851901:NIH851909 NSD851901:NSD851909 OBZ851901:OBZ851909 OLV851901:OLV851909 OVR851901:OVR851909 PFN851901:PFN851909 PPJ851901:PPJ851909 PZF851901:PZF851909 QJB851901:QJB851909 QSX851901:QSX851909 RCT851901:RCT851909 RMP851901:RMP851909 RWL851901:RWL851909 SGH851901:SGH851909 SQD851901:SQD851909 SZZ851901:SZZ851909 TJV851901:TJV851909 TTR851901:TTR851909 UDN851901:UDN851909 UNJ851901:UNJ851909 UXF851901:UXF851909 VHB851901:VHB851909 VQX851901:VQX851909 WAT851901:WAT851909 WKP851901:WKP851909 WUL851901:WUL851909 HZ917437:HZ917445 RV917437:RV917445 ABR917437:ABR917445 ALN917437:ALN917445 AVJ917437:AVJ917445 BFF917437:BFF917445 BPB917437:BPB917445 BYX917437:BYX917445 CIT917437:CIT917445 CSP917437:CSP917445 DCL917437:DCL917445 DMH917437:DMH917445 DWD917437:DWD917445 EFZ917437:EFZ917445 EPV917437:EPV917445 EZR917437:EZR917445 FJN917437:FJN917445 FTJ917437:FTJ917445 GDF917437:GDF917445 GNB917437:GNB917445 GWX917437:GWX917445 HGT917437:HGT917445 HQP917437:HQP917445 IAL917437:IAL917445 IKH917437:IKH917445 IUD917437:IUD917445 JDZ917437:JDZ917445 JNV917437:JNV917445 JXR917437:JXR917445 KHN917437:KHN917445 KRJ917437:KRJ917445 LBF917437:LBF917445 LLB917437:LLB917445 LUX917437:LUX917445 MET917437:MET917445 MOP917437:MOP917445 MYL917437:MYL917445 NIH917437:NIH917445 NSD917437:NSD917445 OBZ917437:OBZ917445 OLV917437:OLV917445 OVR917437:OVR917445 PFN917437:PFN917445 PPJ917437:PPJ917445 PZF917437:PZF917445 QJB917437:QJB917445 QSX917437:QSX917445 RCT917437:RCT917445 RMP917437:RMP917445 RWL917437:RWL917445 SGH917437:SGH917445 SQD917437:SQD917445 SZZ917437:SZZ917445 TJV917437:TJV917445 TTR917437:TTR917445 UDN917437:UDN917445 UNJ917437:UNJ917445 UXF917437:UXF917445 VHB917437:VHB917445 VQX917437:VQX917445 WAT917437:WAT917445 WKP917437:WKP917445 WUL917437:WUL917445 HZ982973:HZ982981 RV982973:RV982981 ABR982973:ABR982981 ALN982973:ALN982981 AVJ982973:AVJ982981 BFF982973:BFF982981 BPB982973:BPB982981 BYX982973:BYX982981 CIT982973:CIT982981 CSP982973:CSP982981 DCL982973:DCL982981 DMH982973:DMH982981 DWD982973:DWD982981 EFZ982973:EFZ982981 EPV982973:EPV982981 EZR982973:EZR982981 FJN982973:FJN982981 FTJ982973:FTJ982981 GDF982973:GDF982981 GNB982973:GNB982981 GWX982973:GWX982981 HGT982973:HGT982981 HQP982973:HQP982981 IAL982973:IAL982981 IKH982973:IKH982981 IUD982973:IUD982981 JDZ982973:JDZ982981 JNV982973:JNV982981 JXR982973:JXR982981 KHN982973:KHN982981 KRJ982973:KRJ982981 LBF982973:LBF982981 LLB982973:LLB982981 LUX982973:LUX982981 MET982973:MET982981 MOP982973:MOP982981 MYL982973:MYL982981 NIH982973:NIH982981 NSD982973:NSD982981 OBZ982973:OBZ982981 OLV982973:OLV982981 OVR982973:OVR982981 PFN982973:PFN982981 PPJ982973:PPJ982981 PZF982973:PZF982981 QJB982973:QJB982981 QSX982973:QSX982981 RCT982973:RCT982981 RMP982973:RMP982981 RWL982973:RWL982981 SGH982973:SGH982981 SQD982973:SQD982981 SZZ982973:SZZ982981 TJV982973:TJV982981 TTR982973:TTR982981 UDN982973:UDN982981 UNJ982973:UNJ982981 UXF982973:UXF982981 VHB982973:VHB982981 VQX982973:VQX982981 WAT982973:WAT982981 WKP982973:WKP982981 WUL9:WUL10 WKP9:WKP10 WAT9:WAT10 VQX9:VQX10 VHB9:VHB10 UXF9:UXF10 UNJ9:UNJ10 UDN9:UDN10 TTR9:TTR10 TJV9:TJV10 SZZ9:SZZ10 SQD9:SQD10 SGH9:SGH10 RWL9:RWL10 RMP9:RMP10 RCT9:RCT10 QSX9:QSX10 QJB9:QJB10 PZF9:PZF10 PPJ9:PPJ10 PFN9:PFN10 OVR9:OVR10 OLV9:OLV10 OBZ9:OBZ10 NSD9:NSD10 NIH9:NIH10 MYL9:MYL10 MOP9:MOP10 MET9:MET10 LUX9:LUX10 LLB9:LLB10 LBF9:LBF10 KRJ9:KRJ10 KHN9:KHN10 JXR9:JXR10 JNV9:JNV10 JDZ9:JDZ10 IUD9:IUD10 IKH9:IKH10 IAL9:IAL10 HQP9:HQP10 HGT9:HGT10 GWX9:GWX10 GNB9:GNB10 GDF9:GDF10 FTJ9:FTJ10 FJN9:FJN10 EZR9:EZR10 EPV9:EPV10 EFZ9:EFZ10 DWD9:DWD10 DMH9:DMH10 DCL9:DCL10 CSP9:CSP10 CIT9:CIT10 BYX9:BYX10 BPB9:BPB10 BFF9:BFF10 AVJ9:AVJ10 ALN9:ALN10 ABR9:ABR10 RV9:RV10 HZ9:HZ10" xr:uid="{00000000-0002-0000-0400-000005000000}"/>
  </dataValidations>
  <hyperlinks>
    <hyperlink ref="G1" location="ins" display="Instructivo" xr:uid="{00000000-0004-0000-0400-000000000000}"/>
    <hyperlink ref="G9" location="honorarios" display="Tabla de honorarios" xr:uid="{00000000-0004-0000-0400-000001000000}"/>
    <hyperlink ref="G2" location="PEPSP1" display="Plan de ejecución física y de inversiones - prestación de servicios personales" xr:uid="{00000000-0004-0000-0400-000002000000}"/>
  </hyperlinks>
  <printOptions horizontalCentered="1"/>
  <pageMargins left="0" right="0" top="0" bottom="0" header="0" footer="0"/>
  <pageSetup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6000000}">
          <x14:formula1>
            <xm:f>Honorarios!$A$9:$A$15</xm:f>
          </x14:formula1>
          <xm:sqref>A9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tabColor theme="5" tint="0.39997558519241921"/>
    <pageSetUpPr fitToPage="1"/>
  </sheetPr>
  <dimension ref="A1:W194"/>
  <sheetViews>
    <sheetView showGridLines="0" topLeftCell="A108" zoomScale="80" zoomScaleNormal="80" zoomScalePageLayoutView="90" workbookViewId="0">
      <selection activeCell="O100" sqref="O100"/>
    </sheetView>
  </sheetViews>
  <sheetFormatPr defaultColWidth="15.1640625" defaultRowHeight="18" customHeight="1"/>
  <cols>
    <col min="1" max="1" width="31" style="64" customWidth="1"/>
    <col min="2" max="2" width="19.33203125" style="64" customWidth="1"/>
    <col min="3" max="3" width="19" style="64" customWidth="1"/>
    <col min="4" max="4" width="17" style="64" customWidth="1"/>
    <col min="5" max="5" width="17.83203125" style="64" customWidth="1"/>
    <col min="6" max="6" width="15.83203125" style="64" customWidth="1"/>
    <col min="7" max="7" width="15.33203125" style="64" customWidth="1"/>
    <col min="8" max="8" width="20.6640625" style="64" customWidth="1"/>
    <col min="9" max="9" width="11.1640625" style="64" customWidth="1"/>
    <col min="10" max="10" width="17.33203125" style="64" customWidth="1"/>
    <col min="11" max="11" width="16.33203125" style="64" bestFit="1" customWidth="1"/>
    <col min="12" max="12" width="15.1640625" style="64"/>
    <col min="13" max="13" width="17.1640625" style="64" customWidth="1"/>
    <col min="14" max="14" width="14" style="64" customWidth="1"/>
    <col min="15" max="15" width="16.83203125" style="64" customWidth="1"/>
    <col min="16" max="16" width="16.5" style="64" customWidth="1"/>
    <col min="17" max="17" width="20.6640625" style="64" bestFit="1" customWidth="1"/>
    <col min="18" max="20" width="15.1640625" style="64"/>
    <col min="21" max="21" width="11.83203125" style="64" customWidth="1"/>
    <col min="22" max="255" width="15.1640625" style="64"/>
    <col min="256" max="256" width="2.83203125" style="64" customWidth="1"/>
    <col min="257" max="257" width="26.33203125" style="64" customWidth="1"/>
    <col min="258" max="258" width="11.83203125" style="64" customWidth="1"/>
    <col min="259" max="259" width="17.6640625" style="64" customWidth="1"/>
    <col min="260" max="261" width="12.83203125" style="64" bestFit="1" customWidth="1"/>
    <col min="262" max="262" width="15.1640625" style="64"/>
    <col min="263" max="263" width="17.6640625" style="64" customWidth="1"/>
    <col min="264" max="264" width="15.5" style="64" customWidth="1"/>
    <col min="265" max="511" width="15.1640625" style="64"/>
    <col min="512" max="512" width="2.83203125" style="64" customWidth="1"/>
    <col min="513" max="513" width="26.33203125" style="64" customWidth="1"/>
    <col min="514" max="514" width="11.83203125" style="64" customWidth="1"/>
    <col min="515" max="515" width="17.6640625" style="64" customWidth="1"/>
    <col min="516" max="517" width="12.83203125" style="64" bestFit="1" customWidth="1"/>
    <col min="518" max="518" width="15.1640625" style="64"/>
    <col min="519" max="519" width="17.6640625" style="64" customWidth="1"/>
    <col min="520" max="520" width="15.5" style="64" customWidth="1"/>
    <col min="521" max="767" width="15.1640625" style="64"/>
    <col min="768" max="768" width="2.83203125" style="64" customWidth="1"/>
    <col min="769" max="769" width="26.33203125" style="64" customWidth="1"/>
    <col min="770" max="770" width="11.83203125" style="64" customWidth="1"/>
    <col min="771" max="771" width="17.6640625" style="64" customWidth="1"/>
    <col min="772" max="773" width="12.83203125" style="64" bestFit="1" customWidth="1"/>
    <col min="774" max="774" width="15.1640625" style="64"/>
    <col min="775" max="775" width="17.6640625" style="64" customWidth="1"/>
    <col min="776" max="776" width="15.5" style="64" customWidth="1"/>
    <col min="777" max="1023" width="15.1640625" style="64"/>
    <col min="1024" max="1024" width="2.83203125" style="64" customWidth="1"/>
    <col min="1025" max="1025" width="26.33203125" style="64" customWidth="1"/>
    <col min="1026" max="1026" width="11.83203125" style="64" customWidth="1"/>
    <col min="1027" max="1027" width="17.6640625" style="64" customWidth="1"/>
    <col min="1028" max="1029" width="12.83203125" style="64" bestFit="1" customWidth="1"/>
    <col min="1030" max="1030" width="15.1640625" style="64"/>
    <col min="1031" max="1031" width="17.6640625" style="64" customWidth="1"/>
    <col min="1032" max="1032" width="15.5" style="64" customWidth="1"/>
    <col min="1033" max="1279" width="15.1640625" style="64"/>
    <col min="1280" max="1280" width="2.83203125" style="64" customWidth="1"/>
    <col min="1281" max="1281" width="26.33203125" style="64" customWidth="1"/>
    <col min="1282" max="1282" width="11.83203125" style="64" customWidth="1"/>
    <col min="1283" max="1283" width="17.6640625" style="64" customWidth="1"/>
    <col min="1284" max="1285" width="12.83203125" style="64" bestFit="1" customWidth="1"/>
    <col min="1286" max="1286" width="15.1640625" style="64"/>
    <col min="1287" max="1287" width="17.6640625" style="64" customWidth="1"/>
    <col min="1288" max="1288" width="15.5" style="64" customWidth="1"/>
    <col min="1289" max="1535" width="15.1640625" style="64"/>
    <col min="1536" max="1536" width="2.83203125" style="64" customWidth="1"/>
    <col min="1537" max="1537" width="26.33203125" style="64" customWidth="1"/>
    <col min="1538" max="1538" width="11.83203125" style="64" customWidth="1"/>
    <col min="1539" max="1539" width="17.6640625" style="64" customWidth="1"/>
    <col min="1540" max="1541" width="12.83203125" style="64" bestFit="1" customWidth="1"/>
    <col min="1542" max="1542" width="15.1640625" style="64"/>
    <col min="1543" max="1543" width="17.6640625" style="64" customWidth="1"/>
    <col min="1544" max="1544" width="15.5" style="64" customWidth="1"/>
    <col min="1545" max="1791" width="15.1640625" style="64"/>
    <col min="1792" max="1792" width="2.83203125" style="64" customWidth="1"/>
    <col min="1793" max="1793" width="26.33203125" style="64" customWidth="1"/>
    <col min="1794" max="1794" width="11.83203125" style="64" customWidth="1"/>
    <col min="1795" max="1795" width="17.6640625" style="64" customWidth="1"/>
    <col min="1796" max="1797" width="12.83203125" style="64" bestFit="1" customWidth="1"/>
    <col min="1798" max="1798" width="15.1640625" style="64"/>
    <col min="1799" max="1799" width="17.6640625" style="64" customWidth="1"/>
    <col min="1800" max="1800" width="15.5" style="64" customWidth="1"/>
    <col min="1801" max="2047" width="15.1640625" style="64"/>
    <col min="2048" max="2048" width="2.83203125" style="64" customWidth="1"/>
    <col min="2049" max="2049" width="26.33203125" style="64" customWidth="1"/>
    <col min="2050" max="2050" width="11.83203125" style="64" customWidth="1"/>
    <col min="2051" max="2051" width="17.6640625" style="64" customWidth="1"/>
    <col min="2052" max="2053" width="12.83203125" style="64" bestFit="1" customWidth="1"/>
    <col min="2054" max="2054" width="15.1640625" style="64"/>
    <col min="2055" max="2055" width="17.6640625" style="64" customWidth="1"/>
    <col min="2056" max="2056" width="15.5" style="64" customWidth="1"/>
    <col min="2057" max="2303" width="15.1640625" style="64"/>
    <col min="2304" max="2304" width="2.83203125" style="64" customWidth="1"/>
    <col min="2305" max="2305" width="26.33203125" style="64" customWidth="1"/>
    <col min="2306" max="2306" width="11.83203125" style="64" customWidth="1"/>
    <col min="2307" max="2307" width="17.6640625" style="64" customWidth="1"/>
    <col min="2308" max="2309" width="12.83203125" style="64" bestFit="1" customWidth="1"/>
    <col min="2310" max="2310" width="15.1640625" style="64"/>
    <col min="2311" max="2311" width="17.6640625" style="64" customWidth="1"/>
    <col min="2312" max="2312" width="15.5" style="64" customWidth="1"/>
    <col min="2313" max="2559" width="15.1640625" style="64"/>
    <col min="2560" max="2560" width="2.83203125" style="64" customWidth="1"/>
    <col min="2561" max="2561" width="26.33203125" style="64" customWidth="1"/>
    <col min="2562" max="2562" width="11.83203125" style="64" customWidth="1"/>
    <col min="2563" max="2563" width="17.6640625" style="64" customWidth="1"/>
    <col min="2564" max="2565" width="12.83203125" style="64" bestFit="1" customWidth="1"/>
    <col min="2566" max="2566" width="15.1640625" style="64"/>
    <col min="2567" max="2567" width="17.6640625" style="64" customWidth="1"/>
    <col min="2568" max="2568" width="15.5" style="64" customWidth="1"/>
    <col min="2569" max="2815" width="15.1640625" style="64"/>
    <col min="2816" max="2816" width="2.83203125" style="64" customWidth="1"/>
    <col min="2817" max="2817" width="26.33203125" style="64" customWidth="1"/>
    <col min="2818" max="2818" width="11.83203125" style="64" customWidth="1"/>
    <col min="2819" max="2819" width="17.6640625" style="64" customWidth="1"/>
    <col min="2820" max="2821" width="12.83203125" style="64" bestFit="1" customWidth="1"/>
    <col min="2822" max="2822" width="15.1640625" style="64"/>
    <col min="2823" max="2823" width="17.6640625" style="64" customWidth="1"/>
    <col min="2824" max="2824" width="15.5" style="64" customWidth="1"/>
    <col min="2825" max="3071" width="15.1640625" style="64"/>
    <col min="3072" max="3072" width="2.83203125" style="64" customWidth="1"/>
    <col min="3073" max="3073" width="26.33203125" style="64" customWidth="1"/>
    <col min="3074" max="3074" width="11.83203125" style="64" customWidth="1"/>
    <col min="3075" max="3075" width="17.6640625" style="64" customWidth="1"/>
    <col min="3076" max="3077" width="12.83203125" style="64" bestFit="1" customWidth="1"/>
    <col min="3078" max="3078" width="15.1640625" style="64"/>
    <col min="3079" max="3079" width="17.6640625" style="64" customWidth="1"/>
    <col min="3080" max="3080" width="15.5" style="64" customWidth="1"/>
    <col min="3081" max="3327" width="15.1640625" style="64"/>
    <col min="3328" max="3328" width="2.83203125" style="64" customWidth="1"/>
    <col min="3329" max="3329" width="26.33203125" style="64" customWidth="1"/>
    <col min="3330" max="3330" width="11.83203125" style="64" customWidth="1"/>
    <col min="3331" max="3331" width="17.6640625" style="64" customWidth="1"/>
    <col min="3332" max="3333" width="12.83203125" style="64" bestFit="1" customWidth="1"/>
    <col min="3334" max="3334" width="15.1640625" style="64"/>
    <col min="3335" max="3335" width="17.6640625" style="64" customWidth="1"/>
    <col min="3336" max="3336" width="15.5" style="64" customWidth="1"/>
    <col min="3337" max="3583" width="15.1640625" style="64"/>
    <col min="3584" max="3584" width="2.83203125" style="64" customWidth="1"/>
    <col min="3585" max="3585" width="26.33203125" style="64" customWidth="1"/>
    <col min="3586" max="3586" width="11.83203125" style="64" customWidth="1"/>
    <col min="3587" max="3587" width="17.6640625" style="64" customWidth="1"/>
    <col min="3588" max="3589" width="12.83203125" style="64" bestFit="1" customWidth="1"/>
    <col min="3590" max="3590" width="15.1640625" style="64"/>
    <col min="3591" max="3591" width="17.6640625" style="64" customWidth="1"/>
    <col min="3592" max="3592" width="15.5" style="64" customWidth="1"/>
    <col min="3593" max="3839" width="15.1640625" style="64"/>
    <col min="3840" max="3840" width="2.83203125" style="64" customWidth="1"/>
    <col min="3841" max="3841" width="26.33203125" style="64" customWidth="1"/>
    <col min="3842" max="3842" width="11.83203125" style="64" customWidth="1"/>
    <col min="3843" max="3843" width="17.6640625" style="64" customWidth="1"/>
    <col min="3844" max="3845" width="12.83203125" style="64" bestFit="1" customWidth="1"/>
    <col min="3846" max="3846" width="15.1640625" style="64"/>
    <col min="3847" max="3847" width="17.6640625" style="64" customWidth="1"/>
    <col min="3848" max="3848" width="15.5" style="64" customWidth="1"/>
    <col min="3849" max="4095" width="15.1640625" style="64"/>
    <col min="4096" max="4096" width="2.83203125" style="64" customWidth="1"/>
    <col min="4097" max="4097" width="26.33203125" style="64" customWidth="1"/>
    <col min="4098" max="4098" width="11.83203125" style="64" customWidth="1"/>
    <col min="4099" max="4099" width="17.6640625" style="64" customWidth="1"/>
    <col min="4100" max="4101" width="12.83203125" style="64" bestFit="1" customWidth="1"/>
    <col min="4102" max="4102" width="15.1640625" style="64"/>
    <col min="4103" max="4103" width="17.6640625" style="64" customWidth="1"/>
    <col min="4104" max="4104" width="15.5" style="64" customWidth="1"/>
    <col min="4105" max="4351" width="15.1640625" style="64"/>
    <col min="4352" max="4352" width="2.83203125" style="64" customWidth="1"/>
    <col min="4353" max="4353" width="26.33203125" style="64" customWidth="1"/>
    <col min="4354" max="4354" width="11.83203125" style="64" customWidth="1"/>
    <col min="4355" max="4355" width="17.6640625" style="64" customWidth="1"/>
    <col min="4356" max="4357" width="12.83203125" style="64" bestFit="1" customWidth="1"/>
    <col min="4358" max="4358" width="15.1640625" style="64"/>
    <col min="4359" max="4359" width="17.6640625" style="64" customWidth="1"/>
    <col min="4360" max="4360" width="15.5" style="64" customWidth="1"/>
    <col min="4361" max="4607" width="15.1640625" style="64"/>
    <col min="4608" max="4608" width="2.83203125" style="64" customWidth="1"/>
    <col min="4609" max="4609" width="26.33203125" style="64" customWidth="1"/>
    <col min="4610" max="4610" width="11.83203125" style="64" customWidth="1"/>
    <col min="4611" max="4611" width="17.6640625" style="64" customWidth="1"/>
    <col min="4612" max="4613" width="12.83203125" style="64" bestFit="1" customWidth="1"/>
    <col min="4614" max="4614" width="15.1640625" style="64"/>
    <col min="4615" max="4615" width="17.6640625" style="64" customWidth="1"/>
    <col min="4616" max="4616" width="15.5" style="64" customWidth="1"/>
    <col min="4617" max="4863" width="15.1640625" style="64"/>
    <col min="4864" max="4864" width="2.83203125" style="64" customWidth="1"/>
    <col min="4865" max="4865" width="26.33203125" style="64" customWidth="1"/>
    <col min="4866" max="4866" width="11.83203125" style="64" customWidth="1"/>
    <col min="4867" max="4867" width="17.6640625" style="64" customWidth="1"/>
    <col min="4868" max="4869" width="12.83203125" style="64" bestFit="1" customWidth="1"/>
    <col min="4870" max="4870" width="15.1640625" style="64"/>
    <col min="4871" max="4871" width="17.6640625" style="64" customWidth="1"/>
    <col min="4872" max="4872" width="15.5" style="64" customWidth="1"/>
    <col min="4873" max="5119" width="15.1640625" style="64"/>
    <col min="5120" max="5120" width="2.83203125" style="64" customWidth="1"/>
    <col min="5121" max="5121" width="26.33203125" style="64" customWidth="1"/>
    <col min="5122" max="5122" width="11.83203125" style="64" customWidth="1"/>
    <col min="5123" max="5123" width="17.6640625" style="64" customWidth="1"/>
    <col min="5124" max="5125" width="12.83203125" style="64" bestFit="1" customWidth="1"/>
    <col min="5126" max="5126" width="15.1640625" style="64"/>
    <col min="5127" max="5127" width="17.6640625" style="64" customWidth="1"/>
    <col min="5128" max="5128" width="15.5" style="64" customWidth="1"/>
    <col min="5129" max="5375" width="15.1640625" style="64"/>
    <col min="5376" max="5376" width="2.83203125" style="64" customWidth="1"/>
    <col min="5377" max="5377" width="26.33203125" style="64" customWidth="1"/>
    <col min="5378" max="5378" width="11.83203125" style="64" customWidth="1"/>
    <col min="5379" max="5379" width="17.6640625" style="64" customWidth="1"/>
    <col min="5380" max="5381" width="12.83203125" style="64" bestFit="1" customWidth="1"/>
    <col min="5382" max="5382" width="15.1640625" style="64"/>
    <col min="5383" max="5383" width="17.6640625" style="64" customWidth="1"/>
    <col min="5384" max="5384" width="15.5" style="64" customWidth="1"/>
    <col min="5385" max="5631" width="15.1640625" style="64"/>
    <col min="5632" max="5632" width="2.83203125" style="64" customWidth="1"/>
    <col min="5633" max="5633" width="26.33203125" style="64" customWidth="1"/>
    <col min="5634" max="5634" width="11.83203125" style="64" customWidth="1"/>
    <col min="5635" max="5635" width="17.6640625" style="64" customWidth="1"/>
    <col min="5636" max="5637" width="12.83203125" style="64" bestFit="1" customWidth="1"/>
    <col min="5638" max="5638" width="15.1640625" style="64"/>
    <col min="5639" max="5639" width="17.6640625" style="64" customWidth="1"/>
    <col min="5640" max="5640" width="15.5" style="64" customWidth="1"/>
    <col min="5641" max="5887" width="15.1640625" style="64"/>
    <col min="5888" max="5888" width="2.83203125" style="64" customWidth="1"/>
    <col min="5889" max="5889" width="26.33203125" style="64" customWidth="1"/>
    <col min="5890" max="5890" width="11.83203125" style="64" customWidth="1"/>
    <col min="5891" max="5891" width="17.6640625" style="64" customWidth="1"/>
    <col min="5892" max="5893" width="12.83203125" style="64" bestFit="1" customWidth="1"/>
    <col min="5894" max="5894" width="15.1640625" style="64"/>
    <col min="5895" max="5895" width="17.6640625" style="64" customWidth="1"/>
    <col min="5896" max="5896" width="15.5" style="64" customWidth="1"/>
    <col min="5897" max="6143" width="15.1640625" style="64"/>
    <col min="6144" max="6144" width="2.83203125" style="64" customWidth="1"/>
    <col min="6145" max="6145" width="26.33203125" style="64" customWidth="1"/>
    <col min="6146" max="6146" width="11.83203125" style="64" customWidth="1"/>
    <col min="6147" max="6147" width="17.6640625" style="64" customWidth="1"/>
    <col min="6148" max="6149" width="12.83203125" style="64" bestFit="1" customWidth="1"/>
    <col min="6150" max="6150" width="15.1640625" style="64"/>
    <col min="6151" max="6151" width="17.6640625" style="64" customWidth="1"/>
    <col min="6152" max="6152" width="15.5" style="64" customWidth="1"/>
    <col min="6153" max="6399" width="15.1640625" style="64"/>
    <col min="6400" max="6400" width="2.83203125" style="64" customWidth="1"/>
    <col min="6401" max="6401" width="26.33203125" style="64" customWidth="1"/>
    <col min="6402" max="6402" width="11.83203125" style="64" customWidth="1"/>
    <col min="6403" max="6403" width="17.6640625" style="64" customWidth="1"/>
    <col min="6404" max="6405" width="12.83203125" style="64" bestFit="1" customWidth="1"/>
    <col min="6406" max="6406" width="15.1640625" style="64"/>
    <col min="6407" max="6407" width="17.6640625" style="64" customWidth="1"/>
    <col min="6408" max="6408" width="15.5" style="64" customWidth="1"/>
    <col min="6409" max="6655" width="15.1640625" style="64"/>
    <col min="6656" max="6656" width="2.83203125" style="64" customWidth="1"/>
    <col min="6657" max="6657" width="26.33203125" style="64" customWidth="1"/>
    <col min="6658" max="6658" width="11.83203125" style="64" customWidth="1"/>
    <col min="6659" max="6659" width="17.6640625" style="64" customWidth="1"/>
    <col min="6660" max="6661" width="12.83203125" style="64" bestFit="1" customWidth="1"/>
    <col min="6662" max="6662" width="15.1640625" style="64"/>
    <col min="6663" max="6663" width="17.6640625" style="64" customWidth="1"/>
    <col min="6664" max="6664" width="15.5" style="64" customWidth="1"/>
    <col min="6665" max="6911" width="15.1640625" style="64"/>
    <col min="6912" max="6912" width="2.83203125" style="64" customWidth="1"/>
    <col min="6913" max="6913" width="26.33203125" style="64" customWidth="1"/>
    <col min="6914" max="6914" width="11.83203125" style="64" customWidth="1"/>
    <col min="6915" max="6915" width="17.6640625" style="64" customWidth="1"/>
    <col min="6916" max="6917" width="12.83203125" style="64" bestFit="1" customWidth="1"/>
    <col min="6918" max="6918" width="15.1640625" style="64"/>
    <col min="6919" max="6919" width="17.6640625" style="64" customWidth="1"/>
    <col min="6920" max="6920" width="15.5" style="64" customWidth="1"/>
    <col min="6921" max="7167" width="15.1640625" style="64"/>
    <col min="7168" max="7168" width="2.83203125" style="64" customWidth="1"/>
    <col min="7169" max="7169" width="26.33203125" style="64" customWidth="1"/>
    <col min="7170" max="7170" width="11.83203125" style="64" customWidth="1"/>
    <col min="7171" max="7171" width="17.6640625" style="64" customWidth="1"/>
    <col min="7172" max="7173" width="12.83203125" style="64" bestFit="1" customWidth="1"/>
    <col min="7174" max="7174" width="15.1640625" style="64"/>
    <col min="7175" max="7175" width="17.6640625" style="64" customWidth="1"/>
    <col min="7176" max="7176" width="15.5" style="64" customWidth="1"/>
    <col min="7177" max="7423" width="15.1640625" style="64"/>
    <col min="7424" max="7424" width="2.83203125" style="64" customWidth="1"/>
    <col min="7425" max="7425" width="26.33203125" style="64" customWidth="1"/>
    <col min="7426" max="7426" width="11.83203125" style="64" customWidth="1"/>
    <col min="7427" max="7427" width="17.6640625" style="64" customWidth="1"/>
    <col min="7428" max="7429" width="12.83203125" style="64" bestFit="1" customWidth="1"/>
    <col min="7430" max="7430" width="15.1640625" style="64"/>
    <col min="7431" max="7431" width="17.6640625" style="64" customWidth="1"/>
    <col min="7432" max="7432" width="15.5" style="64" customWidth="1"/>
    <col min="7433" max="7679" width="15.1640625" style="64"/>
    <col min="7680" max="7680" width="2.83203125" style="64" customWidth="1"/>
    <col min="7681" max="7681" width="26.33203125" style="64" customWidth="1"/>
    <col min="7682" max="7682" width="11.83203125" style="64" customWidth="1"/>
    <col min="7683" max="7683" width="17.6640625" style="64" customWidth="1"/>
    <col min="7684" max="7685" width="12.83203125" style="64" bestFit="1" customWidth="1"/>
    <col min="7686" max="7686" width="15.1640625" style="64"/>
    <col min="7687" max="7687" width="17.6640625" style="64" customWidth="1"/>
    <col min="7688" max="7688" width="15.5" style="64" customWidth="1"/>
    <col min="7689" max="7935" width="15.1640625" style="64"/>
    <col min="7936" max="7936" width="2.83203125" style="64" customWidth="1"/>
    <col min="7937" max="7937" width="26.33203125" style="64" customWidth="1"/>
    <col min="7938" max="7938" width="11.83203125" style="64" customWidth="1"/>
    <col min="7939" max="7939" width="17.6640625" style="64" customWidth="1"/>
    <col min="7940" max="7941" width="12.83203125" style="64" bestFit="1" customWidth="1"/>
    <col min="7942" max="7942" width="15.1640625" style="64"/>
    <col min="7943" max="7943" width="17.6640625" style="64" customWidth="1"/>
    <col min="7944" max="7944" width="15.5" style="64" customWidth="1"/>
    <col min="7945" max="8191" width="15.1640625" style="64"/>
    <col min="8192" max="8192" width="2.83203125" style="64" customWidth="1"/>
    <col min="8193" max="8193" width="26.33203125" style="64" customWidth="1"/>
    <col min="8194" max="8194" width="11.83203125" style="64" customWidth="1"/>
    <col min="8195" max="8195" width="17.6640625" style="64" customWidth="1"/>
    <col min="8196" max="8197" width="12.83203125" style="64" bestFit="1" customWidth="1"/>
    <col min="8198" max="8198" width="15.1640625" style="64"/>
    <col min="8199" max="8199" width="17.6640625" style="64" customWidth="1"/>
    <col min="8200" max="8200" width="15.5" style="64" customWidth="1"/>
    <col min="8201" max="8447" width="15.1640625" style="64"/>
    <col min="8448" max="8448" width="2.83203125" style="64" customWidth="1"/>
    <col min="8449" max="8449" width="26.33203125" style="64" customWidth="1"/>
    <col min="8450" max="8450" width="11.83203125" style="64" customWidth="1"/>
    <col min="8451" max="8451" width="17.6640625" style="64" customWidth="1"/>
    <col min="8452" max="8453" width="12.83203125" style="64" bestFit="1" customWidth="1"/>
    <col min="8454" max="8454" width="15.1640625" style="64"/>
    <col min="8455" max="8455" width="17.6640625" style="64" customWidth="1"/>
    <col min="8456" max="8456" width="15.5" style="64" customWidth="1"/>
    <col min="8457" max="8703" width="15.1640625" style="64"/>
    <col min="8704" max="8704" width="2.83203125" style="64" customWidth="1"/>
    <col min="8705" max="8705" width="26.33203125" style="64" customWidth="1"/>
    <col min="8706" max="8706" width="11.83203125" style="64" customWidth="1"/>
    <col min="8707" max="8707" width="17.6640625" style="64" customWidth="1"/>
    <col min="8708" max="8709" width="12.83203125" style="64" bestFit="1" customWidth="1"/>
    <col min="8710" max="8710" width="15.1640625" style="64"/>
    <col min="8711" max="8711" width="17.6640625" style="64" customWidth="1"/>
    <col min="8712" max="8712" width="15.5" style="64" customWidth="1"/>
    <col min="8713" max="8959" width="15.1640625" style="64"/>
    <col min="8960" max="8960" width="2.83203125" style="64" customWidth="1"/>
    <col min="8961" max="8961" width="26.33203125" style="64" customWidth="1"/>
    <col min="8962" max="8962" width="11.83203125" style="64" customWidth="1"/>
    <col min="8963" max="8963" width="17.6640625" style="64" customWidth="1"/>
    <col min="8964" max="8965" width="12.83203125" style="64" bestFit="1" customWidth="1"/>
    <col min="8966" max="8966" width="15.1640625" style="64"/>
    <col min="8967" max="8967" width="17.6640625" style="64" customWidth="1"/>
    <col min="8968" max="8968" width="15.5" style="64" customWidth="1"/>
    <col min="8969" max="9215" width="15.1640625" style="64"/>
    <col min="9216" max="9216" width="2.83203125" style="64" customWidth="1"/>
    <col min="9217" max="9217" width="26.33203125" style="64" customWidth="1"/>
    <col min="9218" max="9218" width="11.83203125" style="64" customWidth="1"/>
    <col min="9219" max="9219" width="17.6640625" style="64" customWidth="1"/>
    <col min="9220" max="9221" width="12.83203125" style="64" bestFit="1" customWidth="1"/>
    <col min="9222" max="9222" width="15.1640625" style="64"/>
    <col min="9223" max="9223" width="17.6640625" style="64" customWidth="1"/>
    <col min="9224" max="9224" width="15.5" style="64" customWidth="1"/>
    <col min="9225" max="9471" width="15.1640625" style="64"/>
    <col min="9472" max="9472" width="2.83203125" style="64" customWidth="1"/>
    <col min="9473" max="9473" width="26.33203125" style="64" customWidth="1"/>
    <col min="9474" max="9474" width="11.83203125" style="64" customWidth="1"/>
    <col min="9475" max="9475" width="17.6640625" style="64" customWidth="1"/>
    <col min="9476" max="9477" width="12.83203125" style="64" bestFit="1" customWidth="1"/>
    <col min="9478" max="9478" width="15.1640625" style="64"/>
    <col min="9479" max="9479" width="17.6640625" style="64" customWidth="1"/>
    <col min="9480" max="9480" width="15.5" style="64" customWidth="1"/>
    <col min="9481" max="9727" width="15.1640625" style="64"/>
    <col min="9728" max="9728" width="2.83203125" style="64" customWidth="1"/>
    <col min="9729" max="9729" width="26.33203125" style="64" customWidth="1"/>
    <col min="9730" max="9730" width="11.83203125" style="64" customWidth="1"/>
    <col min="9731" max="9731" width="17.6640625" style="64" customWidth="1"/>
    <col min="9732" max="9733" width="12.83203125" style="64" bestFit="1" customWidth="1"/>
    <col min="9734" max="9734" width="15.1640625" style="64"/>
    <col min="9735" max="9735" width="17.6640625" style="64" customWidth="1"/>
    <col min="9736" max="9736" width="15.5" style="64" customWidth="1"/>
    <col min="9737" max="9983" width="15.1640625" style="64"/>
    <col min="9984" max="9984" width="2.83203125" style="64" customWidth="1"/>
    <col min="9985" max="9985" width="26.33203125" style="64" customWidth="1"/>
    <col min="9986" max="9986" width="11.83203125" style="64" customWidth="1"/>
    <col min="9987" max="9987" width="17.6640625" style="64" customWidth="1"/>
    <col min="9988" max="9989" width="12.83203125" style="64" bestFit="1" customWidth="1"/>
    <col min="9990" max="9990" width="15.1640625" style="64"/>
    <col min="9991" max="9991" width="17.6640625" style="64" customWidth="1"/>
    <col min="9992" max="9992" width="15.5" style="64" customWidth="1"/>
    <col min="9993" max="10239" width="15.1640625" style="64"/>
    <col min="10240" max="10240" width="2.83203125" style="64" customWidth="1"/>
    <col min="10241" max="10241" width="26.33203125" style="64" customWidth="1"/>
    <col min="10242" max="10242" width="11.83203125" style="64" customWidth="1"/>
    <col min="10243" max="10243" width="17.6640625" style="64" customWidth="1"/>
    <col min="10244" max="10245" width="12.83203125" style="64" bestFit="1" customWidth="1"/>
    <col min="10246" max="10246" width="15.1640625" style="64"/>
    <col min="10247" max="10247" width="17.6640625" style="64" customWidth="1"/>
    <col min="10248" max="10248" width="15.5" style="64" customWidth="1"/>
    <col min="10249" max="10495" width="15.1640625" style="64"/>
    <col min="10496" max="10496" width="2.83203125" style="64" customWidth="1"/>
    <col min="10497" max="10497" width="26.33203125" style="64" customWidth="1"/>
    <col min="10498" max="10498" width="11.83203125" style="64" customWidth="1"/>
    <col min="10499" max="10499" width="17.6640625" style="64" customWidth="1"/>
    <col min="10500" max="10501" width="12.83203125" style="64" bestFit="1" customWidth="1"/>
    <col min="10502" max="10502" width="15.1640625" style="64"/>
    <col min="10503" max="10503" width="17.6640625" style="64" customWidth="1"/>
    <col min="10504" max="10504" width="15.5" style="64" customWidth="1"/>
    <col min="10505" max="10751" width="15.1640625" style="64"/>
    <col min="10752" max="10752" width="2.83203125" style="64" customWidth="1"/>
    <col min="10753" max="10753" width="26.33203125" style="64" customWidth="1"/>
    <col min="10754" max="10754" width="11.83203125" style="64" customWidth="1"/>
    <col min="10755" max="10755" width="17.6640625" style="64" customWidth="1"/>
    <col min="10756" max="10757" width="12.83203125" style="64" bestFit="1" customWidth="1"/>
    <col min="10758" max="10758" width="15.1640625" style="64"/>
    <col min="10759" max="10759" width="17.6640625" style="64" customWidth="1"/>
    <col min="10760" max="10760" width="15.5" style="64" customWidth="1"/>
    <col min="10761" max="11007" width="15.1640625" style="64"/>
    <col min="11008" max="11008" width="2.83203125" style="64" customWidth="1"/>
    <col min="11009" max="11009" width="26.33203125" style="64" customWidth="1"/>
    <col min="11010" max="11010" width="11.83203125" style="64" customWidth="1"/>
    <col min="11011" max="11011" width="17.6640625" style="64" customWidth="1"/>
    <col min="11012" max="11013" width="12.83203125" style="64" bestFit="1" customWidth="1"/>
    <col min="11014" max="11014" width="15.1640625" style="64"/>
    <col min="11015" max="11015" width="17.6640625" style="64" customWidth="1"/>
    <col min="11016" max="11016" width="15.5" style="64" customWidth="1"/>
    <col min="11017" max="11263" width="15.1640625" style="64"/>
    <col min="11264" max="11264" width="2.83203125" style="64" customWidth="1"/>
    <col min="11265" max="11265" width="26.33203125" style="64" customWidth="1"/>
    <col min="11266" max="11266" width="11.83203125" style="64" customWidth="1"/>
    <col min="11267" max="11267" width="17.6640625" style="64" customWidth="1"/>
    <col min="11268" max="11269" width="12.83203125" style="64" bestFit="1" customWidth="1"/>
    <col min="11270" max="11270" width="15.1640625" style="64"/>
    <col min="11271" max="11271" width="17.6640625" style="64" customWidth="1"/>
    <col min="11272" max="11272" width="15.5" style="64" customWidth="1"/>
    <col min="11273" max="11519" width="15.1640625" style="64"/>
    <col min="11520" max="11520" width="2.83203125" style="64" customWidth="1"/>
    <col min="11521" max="11521" width="26.33203125" style="64" customWidth="1"/>
    <col min="11522" max="11522" width="11.83203125" style="64" customWidth="1"/>
    <col min="11523" max="11523" width="17.6640625" style="64" customWidth="1"/>
    <col min="11524" max="11525" width="12.83203125" style="64" bestFit="1" customWidth="1"/>
    <col min="11526" max="11526" width="15.1640625" style="64"/>
    <col min="11527" max="11527" width="17.6640625" style="64" customWidth="1"/>
    <col min="11528" max="11528" width="15.5" style="64" customWidth="1"/>
    <col min="11529" max="11775" width="15.1640625" style="64"/>
    <col min="11776" max="11776" width="2.83203125" style="64" customWidth="1"/>
    <col min="11777" max="11777" width="26.33203125" style="64" customWidth="1"/>
    <col min="11778" max="11778" width="11.83203125" style="64" customWidth="1"/>
    <col min="11779" max="11779" width="17.6640625" style="64" customWidth="1"/>
    <col min="11780" max="11781" width="12.83203125" style="64" bestFit="1" customWidth="1"/>
    <col min="11782" max="11782" width="15.1640625" style="64"/>
    <col min="11783" max="11783" width="17.6640625" style="64" customWidth="1"/>
    <col min="11784" max="11784" width="15.5" style="64" customWidth="1"/>
    <col min="11785" max="12031" width="15.1640625" style="64"/>
    <col min="12032" max="12032" width="2.83203125" style="64" customWidth="1"/>
    <col min="12033" max="12033" width="26.33203125" style="64" customWidth="1"/>
    <col min="12034" max="12034" width="11.83203125" style="64" customWidth="1"/>
    <col min="12035" max="12035" width="17.6640625" style="64" customWidth="1"/>
    <col min="12036" max="12037" width="12.83203125" style="64" bestFit="1" customWidth="1"/>
    <col min="12038" max="12038" width="15.1640625" style="64"/>
    <col min="12039" max="12039" width="17.6640625" style="64" customWidth="1"/>
    <col min="12040" max="12040" width="15.5" style="64" customWidth="1"/>
    <col min="12041" max="12287" width="15.1640625" style="64"/>
    <col min="12288" max="12288" width="2.83203125" style="64" customWidth="1"/>
    <col min="12289" max="12289" width="26.33203125" style="64" customWidth="1"/>
    <col min="12290" max="12290" width="11.83203125" style="64" customWidth="1"/>
    <col min="12291" max="12291" width="17.6640625" style="64" customWidth="1"/>
    <col min="12292" max="12293" width="12.83203125" style="64" bestFit="1" customWidth="1"/>
    <col min="12294" max="12294" width="15.1640625" style="64"/>
    <col min="12295" max="12295" width="17.6640625" style="64" customWidth="1"/>
    <col min="12296" max="12296" width="15.5" style="64" customWidth="1"/>
    <col min="12297" max="12543" width="15.1640625" style="64"/>
    <col min="12544" max="12544" width="2.83203125" style="64" customWidth="1"/>
    <col min="12545" max="12545" width="26.33203125" style="64" customWidth="1"/>
    <col min="12546" max="12546" width="11.83203125" style="64" customWidth="1"/>
    <col min="12547" max="12547" width="17.6640625" style="64" customWidth="1"/>
    <col min="12548" max="12549" width="12.83203125" style="64" bestFit="1" customWidth="1"/>
    <col min="12550" max="12550" width="15.1640625" style="64"/>
    <col min="12551" max="12551" width="17.6640625" style="64" customWidth="1"/>
    <col min="12552" max="12552" width="15.5" style="64" customWidth="1"/>
    <col min="12553" max="12799" width="15.1640625" style="64"/>
    <col min="12800" max="12800" width="2.83203125" style="64" customWidth="1"/>
    <col min="12801" max="12801" width="26.33203125" style="64" customWidth="1"/>
    <col min="12802" max="12802" width="11.83203125" style="64" customWidth="1"/>
    <col min="12803" max="12803" width="17.6640625" style="64" customWidth="1"/>
    <col min="12804" max="12805" width="12.83203125" style="64" bestFit="1" customWidth="1"/>
    <col min="12806" max="12806" width="15.1640625" style="64"/>
    <col min="12807" max="12807" width="17.6640625" style="64" customWidth="1"/>
    <col min="12808" max="12808" width="15.5" style="64" customWidth="1"/>
    <col min="12809" max="13055" width="15.1640625" style="64"/>
    <col min="13056" max="13056" width="2.83203125" style="64" customWidth="1"/>
    <col min="13057" max="13057" width="26.33203125" style="64" customWidth="1"/>
    <col min="13058" max="13058" width="11.83203125" style="64" customWidth="1"/>
    <col min="13059" max="13059" width="17.6640625" style="64" customWidth="1"/>
    <col min="13060" max="13061" width="12.83203125" style="64" bestFit="1" customWidth="1"/>
    <col min="13062" max="13062" width="15.1640625" style="64"/>
    <col min="13063" max="13063" width="17.6640625" style="64" customWidth="1"/>
    <col min="13064" max="13064" width="15.5" style="64" customWidth="1"/>
    <col min="13065" max="13311" width="15.1640625" style="64"/>
    <col min="13312" max="13312" width="2.83203125" style="64" customWidth="1"/>
    <col min="13313" max="13313" width="26.33203125" style="64" customWidth="1"/>
    <col min="13314" max="13314" width="11.83203125" style="64" customWidth="1"/>
    <col min="13315" max="13315" width="17.6640625" style="64" customWidth="1"/>
    <col min="13316" max="13317" width="12.83203125" style="64" bestFit="1" customWidth="1"/>
    <col min="13318" max="13318" width="15.1640625" style="64"/>
    <col min="13319" max="13319" width="17.6640625" style="64" customWidth="1"/>
    <col min="13320" max="13320" width="15.5" style="64" customWidth="1"/>
    <col min="13321" max="13567" width="15.1640625" style="64"/>
    <col min="13568" max="13568" width="2.83203125" style="64" customWidth="1"/>
    <col min="13569" max="13569" width="26.33203125" style="64" customWidth="1"/>
    <col min="13570" max="13570" width="11.83203125" style="64" customWidth="1"/>
    <col min="13571" max="13571" width="17.6640625" style="64" customWidth="1"/>
    <col min="13572" max="13573" width="12.83203125" style="64" bestFit="1" customWidth="1"/>
    <col min="13574" max="13574" width="15.1640625" style="64"/>
    <col min="13575" max="13575" width="17.6640625" style="64" customWidth="1"/>
    <col min="13576" max="13576" width="15.5" style="64" customWidth="1"/>
    <col min="13577" max="13823" width="15.1640625" style="64"/>
    <col min="13824" max="13824" width="2.83203125" style="64" customWidth="1"/>
    <col min="13825" max="13825" width="26.33203125" style="64" customWidth="1"/>
    <col min="13826" max="13826" width="11.83203125" style="64" customWidth="1"/>
    <col min="13827" max="13827" width="17.6640625" style="64" customWidth="1"/>
    <col min="13828" max="13829" width="12.83203125" style="64" bestFit="1" customWidth="1"/>
    <col min="13830" max="13830" width="15.1640625" style="64"/>
    <col min="13831" max="13831" width="17.6640625" style="64" customWidth="1"/>
    <col min="13832" max="13832" width="15.5" style="64" customWidth="1"/>
    <col min="13833" max="14079" width="15.1640625" style="64"/>
    <col min="14080" max="14080" width="2.83203125" style="64" customWidth="1"/>
    <col min="14081" max="14081" width="26.33203125" style="64" customWidth="1"/>
    <col min="14082" max="14082" width="11.83203125" style="64" customWidth="1"/>
    <col min="14083" max="14083" width="17.6640625" style="64" customWidth="1"/>
    <col min="14084" max="14085" width="12.83203125" style="64" bestFit="1" customWidth="1"/>
    <col min="14086" max="14086" width="15.1640625" style="64"/>
    <col min="14087" max="14087" width="17.6640625" style="64" customWidth="1"/>
    <col min="14088" max="14088" width="15.5" style="64" customWidth="1"/>
    <col min="14089" max="14335" width="15.1640625" style="64"/>
    <col min="14336" max="14336" width="2.83203125" style="64" customWidth="1"/>
    <col min="14337" max="14337" width="26.33203125" style="64" customWidth="1"/>
    <col min="14338" max="14338" width="11.83203125" style="64" customWidth="1"/>
    <col min="14339" max="14339" width="17.6640625" style="64" customWidth="1"/>
    <col min="14340" max="14341" width="12.83203125" style="64" bestFit="1" customWidth="1"/>
    <col min="14342" max="14342" width="15.1640625" style="64"/>
    <col min="14343" max="14343" width="17.6640625" style="64" customWidth="1"/>
    <col min="14344" max="14344" width="15.5" style="64" customWidth="1"/>
    <col min="14345" max="14591" width="15.1640625" style="64"/>
    <col min="14592" max="14592" width="2.83203125" style="64" customWidth="1"/>
    <col min="14593" max="14593" width="26.33203125" style="64" customWidth="1"/>
    <col min="14594" max="14594" width="11.83203125" style="64" customWidth="1"/>
    <col min="14595" max="14595" width="17.6640625" style="64" customWidth="1"/>
    <col min="14596" max="14597" width="12.83203125" style="64" bestFit="1" customWidth="1"/>
    <col min="14598" max="14598" width="15.1640625" style="64"/>
    <col min="14599" max="14599" width="17.6640625" style="64" customWidth="1"/>
    <col min="14600" max="14600" width="15.5" style="64" customWidth="1"/>
    <col min="14601" max="14847" width="15.1640625" style="64"/>
    <col min="14848" max="14848" width="2.83203125" style="64" customWidth="1"/>
    <col min="14849" max="14849" width="26.33203125" style="64" customWidth="1"/>
    <col min="14850" max="14850" width="11.83203125" style="64" customWidth="1"/>
    <col min="14851" max="14851" width="17.6640625" style="64" customWidth="1"/>
    <col min="14852" max="14853" width="12.83203125" style="64" bestFit="1" customWidth="1"/>
    <col min="14854" max="14854" width="15.1640625" style="64"/>
    <col min="14855" max="14855" width="17.6640625" style="64" customWidth="1"/>
    <col min="14856" max="14856" width="15.5" style="64" customWidth="1"/>
    <col min="14857" max="15103" width="15.1640625" style="64"/>
    <col min="15104" max="15104" width="2.83203125" style="64" customWidth="1"/>
    <col min="15105" max="15105" width="26.33203125" style="64" customWidth="1"/>
    <col min="15106" max="15106" width="11.83203125" style="64" customWidth="1"/>
    <col min="15107" max="15107" width="17.6640625" style="64" customWidth="1"/>
    <col min="15108" max="15109" width="12.83203125" style="64" bestFit="1" customWidth="1"/>
    <col min="15110" max="15110" width="15.1640625" style="64"/>
    <col min="15111" max="15111" width="17.6640625" style="64" customWidth="1"/>
    <col min="15112" max="15112" width="15.5" style="64" customWidth="1"/>
    <col min="15113" max="15359" width="15.1640625" style="64"/>
    <col min="15360" max="15360" width="2.83203125" style="64" customWidth="1"/>
    <col min="15361" max="15361" width="26.33203125" style="64" customWidth="1"/>
    <col min="15362" max="15362" width="11.83203125" style="64" customWidth="1"/>
    <col min="15363" max="15363" width="17.6640625" style="64" customWidth="1"/>
    <col min="15364" max="15365" width="12.83203125" style="64" bestFit="1" customWidth="1"/>
    <col min="15366" max="15366" width="15.1640625" style="64"/>
    <col min="15367" max="15367" width="17.6640625" style="64" customWidth="1"/>
    <col min="15368" max="15368" width="15.5" style="64" customWidth="1"/>
    <col min="15369" max="15615" width="15.1640625" style="64"/>
    <col min="15616" max="15616" width="2.83203125" style="64" customWidth="1"/>
    <col min="15617" max="15617" width="26.33203125" style="64" customWidth="1"/>
    <col min="15618" max="15618" width="11.83203125" style="64" customWidth="1"/>
    <col min="15619" max="15619" width="17.6640625" style="64" customWidth="1"/>
    <col min="15620" max="15621" width="12.83203125" style="64" bestFit="1" customWidth="1"/>
    <col min="15622" max="15622" width="15.1640625" style="64"/>
    <col min="15623" max="15623" width="17.6640625" style="64" customWidth="1"/>
    <col min="15624" max="15624" width="15.5" style="64" customWidth="1"/>
    <col min="15625" max="15871" width="15.1640625" style="64"/>
    <col min="15872" max="15872" width="2.83203125" style="64" customWidth="1"/>
    <col min="15873" max="15873" width="26.33203125" style="64" customWidth="1"/>
    <col min="15874" max="15874" width="11.83203125" style="64" customWidth="1"/>
    <col min="15875" max="15875" width="17.6640625" style="64" customWidth="1"/>
    <col min="15876" max="15877" width="12.83203125" style="64" bestFit="1" customWidth="1"/>
    <col min="15878" max="15878" width="15.1640625" style="64"/>
    <col min="15879" max="15879" width="17.6640625" style="64" customWidth="1"/>
    <col min="15880" max="15880" width="15.5" style="64" customWidth="1"/>
    <col min="15881" max="16127" width="15.1640625" style="64"/>
    <col min="16128" max="16128" width="2.83203125" style="64" customWidth="1"/>
    <col min="16129" max="16129" width="26.33203125" style="64" customWidth="1"/>
    <col min="16130" max="16130" width="11.83203125" style="64" customWidth="1"/>
    <col min="16131" max="16131" width="17.6640625" style="64" customWidth="1"/>
    <col min="16132" max="16133" width="12.83203125" style="64" bestFit="1" customWidth="1"/>
    <col min="16134" max="16134" width="15.1640625" style="64"/>
    <col min="16135" max="16135" width="17.6640625" style="64" customWidth="1"/>
    <col min="16136" max="16136" width="15.5" style="64" customWidth="1"/>
    <col min="16137" max="16384" width="15.1640625" style="64"/>
  </cols>
  <sheetData>
    <row r="1" spans="1:22" ht="23.25" customHeight="1">
      <c r="A1" s="1120"/>
      <c r="B1" s="1078"/>
      <c r="C1" s="1078"/>
      <c r="D1" s="1078"/>
      <c r="E1" s="1078" t="s">
        <v>0</v>
      </c>
      <c r="F1" s="1078"/>
      <c r="G1" s="1078"/>
      <c r="H1" s="1078"/>
      <c r="I1" s="1078"/>
      <c r="J1" s="1078"/>
      <c r="K1" s="1078"/>
      <c r="L1" s="1078"/>
      <c r="M1" s="1078"/>
      <c r="N1" s="1078"/>
      <c r="O1" s="1078"/>
      <c r="P1" s="1078"/>
      <c r="Q1" s="1078"/>
      <c r="R1" s="1078"/>
      <c r="S1" s="1078"/>
      <c r="T1" s="1079"/>
      <c r="U1" s="815" t="s">
        <v>104</v>
      </c>
      <c r="V1" s="65"/>
    </row>
    <row r="2" spans="1:22" ht="20.25" customHeight="1">
      <c r="A2" s="1121"/>
      <c r="B2" s="1080"/>
      <c r="C2" s="1080"/>
      <c r="D2" s="1080"/>
      <c r="E2" s="1080" t="s">
        <v>432</v>
      </c>
      <c r="F2" s="1080"/>
      <c r="G2" s="1080"/>
      <c r="H2" s="1080"/>
      <c r="I2" s="1080"/>
      <c r="J2" s="1080"/>
      <c r="K2" s="1080"/>
      <c r="L2" s="1080"/>
      <c r="M2" s="1080"/>
      <c r="N2" s="1080"/>
      <c r="O2" s="1080"/>
      <c r="P2" s="1080"/>
      <c r="Q2" s="1080"/>
      <c r="R2" s="1080"/>
      <c r="S2" s="1080"/>
      <c r="T2" s="1081"/>
    </row>
    <row r="3" spans="1:22" ht="21" customHeight="1" thickBot="1">
      <c r="A3" s="1122"/>
      <c r="B3" s="1082"/>
      <c r="C3" s="1082"/>
      <c r="D3" s="1082"/>
      <c r="E3" s="1082" t="s">
        <v>2</v>
      </c>
      <c r="F3" s="1082"/>
      <c r="G3" s="1082"/>
      <c r="H3" s="1082"/>
      <c r="I3" s="1082"/>
      <c r="J3" s="1082"/>
      <c r="K3" s="1082"/>
      <c r="L3" s="1082"/>
      <c r="M3" s="1082" t="s">
        <v>3</v>
      </c>
      <c r="N3" s="1082"/>
      <c r="O3" s="1082"/>
      <c r="P3" s="1082"/>
      <c r="Q3" s="1082"/>
      <c r="R3" s="1082"/>
      <c r="S3" s="1082"/>
      <c r="T3" s="1123"/>
    </row>
    <row r="4" spans="1:22" ht="18" customHeight="1" thickBot="1"/>
    <row r="5" spans="1:22" ht="18" customHeight="1" thickBot="1">
      <c r="A5" s="990" t="s">
        <v>107</v>
      </c>
      <c r="B5" s="990"/>
      <c r="C5" s="1090" t="str">
        <f>'Plan Ejecución'!AE5</f>
        <v>CONTRATACIÓN DIRECTA</v>
      </c>
      <c r="D5" s="1091"/>
      <c r="E5" s="1091"/>
      <c r="F5" s="1091"/>
      <c r="G5" s="1091"/>
      <c r="H5" s="1091"/>
      <c r="I5" s="1091"/>
      <c r="J5" s="1091"/>
      <c r="K5" s="1091"/>
      <c r="L5" s="1091"/>
      <c r="M5" s="1091"/>
      <c r="N5" s="1091"/>
      <c r="O5" s="1091"/>
      <c r="P5" s="1091"/>
      <c r="Q5" s="1091"/>
      <c r="R5" s="1091"/>
      <c r="S5" s="1091"/>
      <c r="T5" s="1092"/>
    </row>
    <row r="6" spans="1:22" ht="18" customHeight="1" thickBot="1">
      <c r="A6" s="990" t="s">
        <v>109</v>
      </c>
      <c r="B6" s="990"/>
      <c r="C6" s="1090" t="str">
        <f>'Plan Ejecución'!AE6</f>
        <v xml:space="preserve"> "“SOPORTE, MANTENIMIENTO Y ACTUALIZACIÓN DEL VISOR GEOGRÁFICO – AÑO 2025"</v>
      </c>
      <c r="D6" s="1091"/>
      <c r="E6" s="1091"/>
      <c r="F6" s="1091"/>
      <c r="G6" s="1091"/>
      <c r="H6" s="1091"/>
      <c r="I6" s="1091"/>
      <c r="J6" s="1091"/>
      <c r="K6" s="1091"/>
      <c r="L6" s="1091"/>
      <c r="M6" s="1091"/>
      <c r="N6" s="1091"/>
      <c r="O6" s="1091"/>
      <c r="P6" s="1091"/>
      <c r="Q6" s="1091"/>
      <c r="R6" s="1091"/>
      <c r="S6" s="1091"/>
      <c r="T6" s="1092"/>
    </row>
    <row r="7" spans="1:22" ht="18" customHeight="1" thickBot="1">
      <c r="A7" s="32"/>
      <c r="B7" s="32"/>
      <c r="C7" s="32"/>
      <c r="D7" s="32"/>
      <c r="E7" s="32"/>
      <c r="F7" s="32"/>
      <c r="G7" s="32"/>
      <c r="H7" s="32"/>
      <c r="I7" s="32"/>
      <c r="J7" s="32"/>
      <c r="K7" s="32"/>
      <c r="L7" s="32"/>
      <c r="M7" s="32"/>
    </row>
    <row r="8" spans="1:22" ht="18" customHeight="1">
      <c r="A8" s="1069" t="s">
        <v>389</v>
      </c>
      <c r="B8" s="1070"/>
      <c r="C8" s="1070"/>
      <c r="D8" s="1070"/>
      <c r="E8" s="1070"/>
      <c r="F8" s="1070"/>
      <c r="G8" s="1070"/>
      <c r="H8" s="1070"/>
      <c r="I8" s="1070"/>
      <c r="J8" s="1147" t="s">
        <v>433</v>
      </c>
      <c r="K8" s="1147"/>
      <c r="L8" s="1147"/>
      <c r="M8" s="1148"/>
      <c r="O8" s="1093" t="s">
        <v>434</v>
      </c>
      <c r="P8" s="1094"/>
      <c r="Q8" s="1094"/>
      <c r="R8" s="1094"/>
      <c r="S8" s="1094"/>
      <c r="T8" s="1095"/>
    </row>
    <row r="9" spans="1:22" ht="18" customHeight="1">
      <c r="A9" s="1151" t="s">
        <v>391</v>
      </c>
      <c r="B9" s="1114" t="s">
        <v>392</v>
      </c>
      <c r="C9" s="1114" t="s">
        <v>393</v>
      </c>
      <c r="D9" s="1114" t="s">
        <v>122</v>
      </c>
      <c r="E9" s="1114" t="s">
        <v>394</v>
      </c>
      <c r="F9" s="1114" t="s">
        <v>395</v>
      </c>
      <c r="G9" s="1114" t="s">
        <v>396</v>
      </c>
      <c r="H9" s="1114" t="s">
        <v>397</v>
      </c>
      <c r="I9" s="1152" t="s">
        <v>398</v>
      </c>
      <c r="J9" s="1149" t="s">
        <v>435</v>
      </c>
      <c r="K9" s="1149"/>
      <c r="L9" s="1149" t="s">
        <v>436</v>
      </c>
      <c r="M9" s="1150"/>
      <c r="O9" s="1133"/>
      <c r="P9" s="1134"/>
      <c r="Q9" s="1134"/>
      <c r="R9" s="1134"/>
      <c r="S9" s="1134"/>
      <c r="T9" s="1135"/>
    </row>
    <row r="10" spans="1:22" ht="18" customHeight="1">
      <c r="A10" s="1151"/>
      <c r="B10" s="1114"/>
      <c r="C10" s="1114"/>
      <c r="D10" s="1114"/>
      <c r="E10" s="1114"/>
      <c r="F10" s="1114"/>
      <c r="G10" s="1114"/>
      <c r="H10" s="1114"/>
      <c r="I10" s="1152"/>
      <c r="J10" s="132" t="s">
        <v>437</v>
      </c>
      <c r="K10" s="132" t="s">
        <v>438</v>
      </c>
      <c r="L10" s="132" t="s">
        <v>437</v>
      </c>
      <c r="M10" s="133" t="s">
        <v>438</v>
      </c>
      <c r="O10" s="420" t="s">
        <v>152</v>
      </c>
      <c r="P10" s="421" t="s">
        <v>185</v>
      </c>
      <c r="Q10" s="421" t="s">
        <v>218</v>
      </c>
      <c r="R10" s="421" t="s">
        <v>251</v>
      </c>
      <c r="S10" s="421" t="s">
        <v>282</v>
      </c>
      <c r="T10" s="422" t="s">
        <v>313</v>
      </c>
    </row>
    <row r="11" spans="1:22" ht="18" customHeight="1">
      <c r="A11" s="1117" t="s">
        <v>399</v>
      </c>
      <c r="B11" s="1118"/>
      <c r="C11" s="1118"/>
      <c r="D11" s="1118"/>
      <c r="E11" s="1118"/>
      <c r="F11" s="1118"/>
      <c r="G11" s="1118"/>
      <c r="H11" s="1118"/>
      <c r="I11" s="1118"/>
      <c r="J11" s="1118"/>
      <c r="K11" s="1118"/>
      <c r="L11" s="1118"/>
      <c r="M11" s="1119"/>
      <c r="O11" s="394"/>
      <c r="P11" s="392"/>
      <c r="Q11" s="392"/>
      <c r="R11" s="392"/>
      <c r="S11" s="392"/>
      <c r="T11" s="419"/>
    </row>
    <row r="12" spans="1:22" ht="18" customHeight="1">
      <c r="A12" s="40"/>
      <c r="B12" s="625"/>
      <c r="C12" s="5"/>
      <c r="D12" s="4"/>
      <c r="E12" s="719"/>
      <c r="F12" s="11" t="str">
        <f>IFERROR(VLOOKUP(A12,Honorarios!$A$9:$D$15,2,FALSE),"")</f>
        <v/>
      </c>
      <c r="G12" s="626" t="str">
        <f>IFERROR(((VLOOKUP(A12,Honorarios!$A$9:$D$15,3,FALSE))),"")</f>
        <v/>
      </c>
      <c r="H12" s="111">
        <f>IFERROR(B12*C12*E12*F12*G12,0)</f>
        <v>0</v>
      </c>
      <c r="I12" s="161">
        <f>IFERROR(H12/$H$100,0)</f>
        <v>0</v>
      </c>
      <c r="J12" s="720"/>
      <c r="K12" s="139"/>
      <c r="L12" s="139"/>
      <c r="M12" s="140"/>
      <c r="N12" s="134">
        <f>IFERROR(H12-SUM(J12:M12),"")</f>
        <v>0</v>
      </c>
      <c r="O12" s="715"/>
      <c r="P12" s="139"/>
      <c r="Q12" s="139"/>
      <c r="R12" s="139"/>
      <c r="S12" s="139"/>
      <c r="T12" s="140"/>
      <c r="U12" s="134">
        <f>J12-SUM(O12:T12)</f>
        <v>0</v>
      </c>
      <c r="V12" s="134"/>
    </row>
    <row r="13" spans="1:22" ht="18" customHeight="1">
      <c r="A13" s="40"/>
      <c r="B13" s="625"/>
      <c r="C13" s="5"/>
      <c r="D13" s="4"/>
      <c r="E13" s="719"/>
      <c r="F13" s="11" t="str">
        <f>IFERROR(VLOOKUP(A13,Honorarios!$A$9:$D$15,2,FALSE),"")</f>
        <v/>
      </c>
      <c r="G13" s="626" t="str">
        <f>IFERROR(((VLOOKUP(A13,Honorarios!$A$9:$D$15,3,FALSE))),"")</f>
        <v/>
      </c>
      <c r="H13" s="111">
        <f t="shared" ref="H13:H60" si="0">IFERROR(B13*C13*E13*F13*G13,0)</f>
        <v>0</v>
      </c>
      <c r="I13" s="161">
        <f>IFERROR(H13/$H$100,0)</f>
        <v>0</v>
      </c>
      <c r="J13" s="720"/>
      <c r="K13" s="139"/>
      <c r="L13" s="139"/>
      <c r="M13" s="140"/>
      <c r="N13" s="134">
        <f t="shared" ref="N13:N60" si="1">IFERROR(H13-SUM(J13:M13),"")</f>
        <v>0</v>
      </c>
      <c r="O13" s="715"/>
      <c r="P13" s="139"/>
      <c r="Q13" s="139"/>
      <c r="R13" s="139"/>
      <c r="S13" s="139"/>
      <c r="T13" s="140"/>
      <c r="U13" s="134">
        <f t="shared" ref="U13:U76" si="2">J13-SUM(O13:T13)</f>
        <v>0</v>
      </c>
      <c r="V13" s="134"/>
    </row>
    <row r="14" spans="1:22" ht="18" customHeight="1">
      <c r="A14" s="40"/>
      <c r="B14" s="625"/>
      <c r="C14" s="5"/>
      <c r="D14" s="4"/>
      <c r="E14" s="719"/>
      <c r="F14" s="11" t="str">
        <f>IFERROR(VLOOKUP(A14,Honorarios!$A$9:$D$15,2,FALSE),"")</f>
        <v/>
      </c>
      <c r="G14" s="626" t="str">
        <f>IFERROR(((VLOOKUP(A14,Honorarios!$A$9:$D$15,3,FALSE))),"")</f>
        <v/>
      </c>
      <c r="H14" s="111">
        <f t="shared" ref="H14:H34" si="3">IFERROR(B14*C14*E14*F14*G14,0)</f>
        <v>0</v>
      </c>
      <c r="I14" s="161">
        <f t="shared" ref="I14:I34" si="4">IFERROR(H14/$H$100,0)</f>
        <v>0</v>
      </c>
      <c r="J14" s="720"/>
      <c r="K14" s="139"/>
      <c r="L14" s="139"/>
      <c r="M14" s="140"/>
      <c r="N14" s="134">
        <f t="shared" si="1"/>
        <v>0</v>
      </c>
      <c r="O14" s="715"/>
      <c r="P14" s="139"/>
      <c r="Q14" s="139"/>
      <c r="R14" s="139"/>
      <c r="S14" s="139"/>
      <c r="T14" s="140"/>
      <c r="U14" s="134">
        <f t="shared" si="2"/>
        <v>0</v>
      </c>
      <c r="V14" s="134"/>
    </row>
    <row r="15" spans="1:22" ht="18" customHeight="1">
      <c r="A15" s="40"/>
      <c r="B15" s="625"/>
      <c r="C15" s="5"/>
      <c r="D15" s="4"/>
      <c r="E15" s="719"/>
      <c r="F15" s="11" t="str">
        <f>IFERROR(VLOOKUP(A15,Honorarios!$A$9:$D$15,2,FALSE),"")</f>
        <v/>
      </c>
      <c r="G15" s="626" t="str">
        <f>IFERROR(((VLOOKUP(A15,Honorarios!$A$9:$D$15,3,FALSE))),"")</f>
        <v/>
      </c>
      <c r="H15" s="111">
        <f t="shared" si="3"/>
        <v>0</v>
      </c>
      <c r="I15" s="161">
        <f t="shared" si="4"/>
        <v>0</v>
      </c>
      <c r="J15" s="720"/>
      <c r="K15" s="139"/>
      <c r="L15" s="139"/>
      <c r="M15" s="140"/>
      <c r="N15" s="134">
        <f t="shared" si="1"/>
        <v>0</v>
      </c>
      <c r="O15" s="715"/>
      <c r="P15" s="139"/>
      <c r="Q15" s="139"/>
      <c r="R15" s="139"/>
      <c r="S15" s="139"/>
      <c r="T15" s="140"/>
      <c r="U15" s="134">
        <f t="shared" si="2"/>
        <v>0</v>
      </c>
      <c r="V15" s="134"/>
    </row>
    <row r="16" spans="1:22" ht="18" customHeight="1">
      <c r="A16" s="40"/>
      <c r="B16" s="625"/>
      <c r="C16" s="5"/>
      <c r="D16" s="4"/>
      <c r="E16" s="719"/>
      <c r="F16" s="11" t="str">
        <f>IFERROR(VLOOKUP(A16,Honorarios!$A$9:$D$15,2,FALSE),"")</f>
        <v/>
      </c>
      <c r="G16" s="626" t="str">
        <f>IFERROR(((VLOOKUP(A16,Honorarios!$A$9:$D$15,3,FALSE))),"")</f>
        <v/>
      </c>
      <c r="H16" s="111">
        <f t="shared" si="3"/>
        <v>0</v>
      </c>
      <c r="I16" s="161">
        <f t="shared" si="4"/>
        <v>0</v>
      </c>
      <c r="J16" s="720"/>
      <c r="K16" s="139"/>
      <c r="L16" s="139"/>
      <c r="M16" s="140"/>
      <c r="N16" s="134">
        <f t="shared" si="1"/>
        <v>0</v>
      </c>
      <c r="O16" s="715"/>
      <c r="P16" s="139"/>
      <c r="Q16" s="139"/>
      <c r="R16" s="139"/>
      <c r="S16" s="139"/>
      <c r="T16" s="140"/>
      <c r="U16" s="134">
        <f t="shared" si="2"/>
        <v>0</v>
      </c>
      <c r="V16" s="134"/>
    </row>
    <row r="17" spans="1:22" ht="18" hidden="1" customHeight="1">
      <c r="A17" s="40"/>
      <c r="B17" s="625"/>
      <c r="C17" s="5"/>
      <c r="D17" s="4"/>
      <c r="E17" s="719"/>
      <c r="F17" s="11" t="str">
        <f>IFERROR(VLOOKUP(A17,Honorarios!$A$9:$D$15,2,FALSE),"")</f>
        <v/>
      </c>
      <c r="G17" s="626" t="str">
        <f>IFERROR(((VLOOKUP(A17,Honorarios!$A$9:$D$15,3,FALSE))),"")</f>
        <v/>
      </c>
      <c r="H17" s="111">
        <f t="shared" si="3"/>
        <v>0</v>
      </c>
      <c r="I17" s="161">
        <f t="shared" si="4"/>
        <v>0</v>
      </c>
      <c r="J17" s="720"/>
      <c r="K17" s="139"/>
      <c r="L17" s="139"/>
      <c r="M17" s="140"/>
      <c r="N17" s="134">
        <f t="shared" si="1"/>
        <v>0</v>
      </c>
      <c r="O17" s="715"/>
      <c r="P17" s="139"/>
      <c r="Q17" s="139"/>
      <c r="R17" s="139"/>
      <c r="S17" s="139"/>
      <c r="T17" s="140"/>
      <c r="U17" s="134">
        <f t="shared" si="2"/>
        <v>0</v>
      </c>
      <c r="V17" s="134"/>
    </row>
    <row r="18" spans="1:22" ht="18" hidden="1" customHeight="1">
      <c r="A18" s="40"/>
      <c r="B18" s="625"/>
      <c r="C18" s="5"/>
      <c r="D18" s="4"/>
      <c r="E18" s="719"/>
      <c r="F18" s="11" t="str">
        <f>IFERROR(VLOOKUP(A18,Honorarios!$A$9:$D$15,2,FALSE),"")</f>
        <v/>
      </c>
      <c r="G18" s="626" t="str">
        <f>IFERROR(((VLOOKUP(A18,Honorarios!$A$9:$D$15,3,FALSE))),"")</f>
        <v/>
      </c>
      <c r="H18" s="111">
        <f t="shared" si="3"/>
        <v>0</v>
      </c>
      <c r="I18" s="161">
        <f t="shared" si="4"/>
        <v>0</v>
      </c>
      <c r="J18" s="720"/>
      <c r="K18" s="139"/>
      <c r="L18" s="139"/>
      <c r="M18" s="140"/>
      <c r="N18" s="134">
        <f t="shared" si="1"/>
        <v>0</v>
      </c>
      <c r="O18" s="715"/>
      <c r="P18" s="139"/>
      <c r="Q18" s="139"/>
      <c r="R18" s="139"/>
      <c r="S18" s="139"/>
      <c r="T18" s="140"/>
      <c r="U18" s="134">
        <f t="shared" si="2"/>
        <v>0</v>
      </c>
      <c r="V18" s="134"/>
    </row>
    <row r="19" spans="1:22" ht="18" hidden="1" customHeight="1">
      <c r="A19" s="40"/>
      <c r="B19" s="625"/>
      <c r="C19" s="5"/>
      <c r="D19" s="4"/>
      <c r="E19" s="719"/>
      <c r="F19" s="11" t="str">
        <f>IFERROR(VLOOKUP(A19,Honorarios!$A$9:$D$15,2,FALSE),"")</f>
        <v/>
      </c>
      <c r="G19" s="626" t="str">
        <f>IFERROR(((VLOOKUP(A19,Honorarios!$A$9:$D$15,3,FALSE))),"")</f>
        <v/>
      </c>
      <c r="H19" s="111">
        <f t="shared" si="3"/>
        <v>0</v>
      </c>
      <c r="I19" s="161">
        <f t="shared" si="4"/>
        <v>0</v>
      </c>
      <c r="J19" s="720"/>
      <c r="K19" s="139"/>
      <c r="L19" s="139"/>
      <c r="M19" s="140"/>
      <c r="N19" s="134">
        <f t="shared" si="1"/>
        <v>0</v>
      </c>
      <c r="O19" s="715"/>
      <c r="P19" s="139"/>
      <c r="Q19" s="139"/>
      <c r="R19" s="139"/>
      <c r="S19" s="139"/>
      <c r="T19" s="140"/>
      <c r="U19" s="134">
        <f t="shared" si="2"/>
        <v>0</v>
      </c>
      <c r="V19" s="134"/>
    </row>
    <row r="20" spans="1:22" ht="18" hidden="1" customHeight="1">
      <c r="A20" s="40"/>
      <c r="B20" s="625"/>
      <c r="C20" s="5"/>
      <c r="D20" s="4"/>
      <c r="E20" s="719"/>
      <c r="F20" s="11" t="str">
        <f>IFERROR(VLOOKUP(A20,Honorarios!$A$9:$D$15,2,FALSE),"")</f>
        <v/>
      </c>
      <c r="G20" s="626" t="str">
        <f>IFERROR(((VLOOKUP(A20,Honorarios!$A$9:$D$15,3,FALSE))),"")</f>
        <v/>
      </c>
      <c r="H20" s="111">
        <f t="shared" si="3"/>
        <v>0</v>
      </c>
      <c r="I20" s="161">
        <f t="shared" si="4"/>
        <v>0</v>
      </c>
      <c r="J20" s="720"/>
      <c r="K20" s="139"/>
      <c r="L20" s="139"/>
      <c r="M20" s="140"/>
      <c r="N20" s="134">
        <f t="shared" si="1"/>
        <v>0</v>
      </c>
      <c r="O20" s="715"/>
      <c r="P20" s="139"/>
      <c r="Q20" s="139"/>
      <c r="R20" s="139"/>
      <c r="S20" s="139"/>
      <c r="T20" s="140"/>
      <c r="U20" s="134">
        <f t="shared" si="2"/>
        <v>0</v>
      </c>
      <c r="V20" s="134"/>
    </row>
    <row r="21" spans="1:22" ht="18" hidden="1" customHeight="1">
      <c r="A21" s="40"/>
      <c r="B21" s="625"/>
      <c r="C21" s="5"/>
      <c r="D21" s="4"/>
      <c r="E21" s="719"/>
      <c r="F21" s="11" t="str">
        <f>IFERROR(VLOOKUP(A21,Honorarios!$A$9:$D$15,2,FALSE),"")</f>
        <v/>
      </c>
      <c r="G21" s="626" t="str">
        <f>IFERROR(((VLOOKUP(A21,Honorarios!$A$9:$D$15,3,FALSE))),"")</f>
        <v/>
      </c>
      <c r="H21" s="111">
        <f t="shared" si="3"/>
        <v>0</v>
      </c>
      <c r="I21" s="161">
        <f t="shared" si="4"/>
        <v>0</v>
      </c>
      <c r="J21" s="720"/>
      <c r="K21" s="139"/>
      <c r="L21" s="139"/>
      <c r="M21" s="140"/>
      <c r="N21" s="134">
        <f t="shared" si="1"/>
        <v>0</v>
      </c>
      <c r="O21" s="715"/>
      <c r="P21" s="139"/>
      <c r="Q21" s="139"/>
      <c r="R21" s="139"/>
      <c r="S21" s="139"/>
      <c r="T21" s="140"/>
      <c r="U21" s="134">
        <f t="shared" si="2"/>
        <v>0</v>
      </c>
      <c r="V21" s="134"/>
    </row>
    <row r="22" spans="1:22" ht="18" hidden="1" customHeight="1">
      <c r="A22" s="40"/>
      <c r="B22" s="625"/>
      <c r="C22" s="5"/>
      <c r="D22" s="4"/>
      <c r="E22" s="719"/>
      <c r="F22" s="11" t="str">
        <f>IFERROR(VLOOKUP(A22,Honorarios!$A$9:$D$15,2,FALSE),"")</f>
        <v/>
      </c>
      <c r="G22" s="626" t="str">
        <f>IFERROR(((VLOOKUP(A22,Honorarios!$A$9:$D$15,3,FALSE))),"")</f>
        <v/>
      </c>
      <c r="H22" s="111">
        <f t="shared" si="3"/>
        <v>0</v>
      </c>
      <c r="I22" s="161">
        <f t="shared" si="4"/>
        <v>0</v>
      </c>
      <c r="J22" s="720"/>
      <c r="K22" s="139"/>
      <c r="L22" s="139"/>
      <c r="M22" s="140"/>
      <c r="N22" s="134">
        <f t="shared" si="1"/>
        <v>0</v>
      </c>
      <c r="O22" s="715"/>
      <c r="P22" s="139"/>
      <c r="Q22" s="139"/>
      <c r="R22" s="139"/>
      <c r="S22" s="139"/>
      <c r="T22" s="140"/>
      <c r="U22" s="134">
        <f t="shared" si="2"/>
        <v>0</v>
      </c>
      <c r="V22" s="134"/>
    </row>
    <row r="23" spans="1:22" ht="18" hidden="1" customHeight="1">
      <c r="A23" s="40"/>
      <c r="B23" s="625"/>
      <c r="C23" s="5"/>
      <c r="D23" s="4"/>
      <c r="E23" s="719"/>
      <c r="F23" s="11" t="str">
        <f>IFERROR(VLOOKUP(A23,Honorarios!$A$9:$D$15,2,FALSE),"")</f>
        <v/>
      </c>
      <c r="G23" s="626" t="str">
        <f>IFERROR(((VLOOKUP(A23,Honorarios!$A$9:$D$15,3,FALSE))),"")</f>
        <v/>
      </c>
      <c r="H23" s="111">
        <f t="shared" si="3"/>
        <v>0</v>
      </c>
      <c r="I23" s="161">
        <f t="shared" si="4"/>
        <v>0</v>
      </c>
      <c r="J23" s="720"/>
      <c r="K23" s="139"/>
      <c r="L23" s="139"/>
      <c r="M23" s="140"/>
      <c r="N23" s="134">
        <f t="shared" si="1"/>
        <v>0</v>
      </c>
      <c r="O23" s="715"/>
      <c r="P23" s="139"/>
      <c r="Q23" s="139"/>
      <c r="R23" s="139"/>
      <c r="S23" s="139"/>
      <c r="T23" s="140"/>
      <c r="U23" s="134">
        <f t="shared" si="2"/>
        <v>0</v>
      </c>
      <c r="V23" s="134"/>
    </row>
    <row r="24" spans="1:22" ht="18" hidden="1" customHeight="1">
      <c r="A24" s="40"/>
      <c r="B24" s="625"/>
      <c r="C24" s="5"/>
      <c r="D24" s="4"/>
      <c r="E24" s="719"/>
      <c r="F24" s="11" t="str">
        <f>IFERROR(VLOOKUP(A24,Honorarios!$A$9:$D$15,2,FALSE),"")</f>
        <v/>
      </c>
      <c r="G24" s="626" t="str">
        <f>IFERROR(((VLOOKUP(A24,Honorarios!$A$9:$D$15,3,FALSE))),"")</f>
        <v/>
      </c>
      <c r="H24" s="111">
        <f t="shared" si="3"/>
        <v>0</v>
      </c>
      <c r="I24" s="161">
        <f t="shared" si="4"/>
        <v>0</v>
      </c>
      <c r="J24" s="720"/>
      <c r="K24" s="139"/>
      <c r="L24" s="139"/>
      <c r="M24" s="140"/>
      <c r="N24" s="134">
        <f t="shared" si="1"/>
        <v>0</v>
      </c>
      <c r="O24" s="715"/>
      <c r="P24" s="139"/>
      <c r="Q24" s="139"/>
      <c r="R24" s="139"/>
      <c r="S24" s="139"/>
      <c r="T24" s="140"/>
      <c r="U24" s="134">
        <f t="shared" si="2"/>
        <v>0</v>
      </c>
      <c r="V24" s="134"/>
    </row>
    <row r="25" spans="1:22" ht="18" hidden="1" customHeight="1">
      <c r="A25" s="40"/>
      <c r="B25" s="625"/>
      <c r="C25" s="5"/>
      <c r="D25" s="4"/>
      <c r="E25" s="719"/>
      <c r="F25" s="11" t="str">
        <f>IFERROR(VLOOKUP(A25,Honorarios!$A$9:$D$15,2,FALSE),"")</f>
        <v/>
      </c>
      <c r="G25" s="626" t="str">
        <f>IFERROR(((VLOOKUP(A25,Honorarios!$A$9:$D$15,3,FALSE))),"")</f>
        <v/>
      </c>
      <c r="H25" s="111">
        <f t="shared" si="3"/>
        <v>0</v>
      </c>
      <c r="I25" s="161">
        <f t="shared" si="4"/>
        <v>0</v>
      </c>
      <c r="J25" s="720"/>
      <c r="K25" s="139"/>
      <c r="L25" s="139"/>
      <c r="M25" s="140"/>
      <c r="N25" s="134">
        <f t="shared" si="1"/>
        <v>0</v>
      </c>
      <c r="O25" s="715"/>
      <c r="P25" s="139"/>
      <c r="Q25" s="139"/>
      <c r="R25" s="139"/>
      <c r="S25" s="139"/>
      <c r="T25" s="140"/>
      <c r="U25" s="134">
        <f t="shared" si="2"/>
        <v>0</v>
      </c>
      <c r="V25" s="134"/>
    </row>
    <row r="26" spans="1:22" ht="18" hidden="1" customHeight="1">
      <c r="A26" s="40"/>
      <c r="B26" s="625"/>
      <c r="C26" s="5"/>
      <c r="D26" s="4"/>
      <c r="E26" s="719"/>
      <c r="F26" s="11" t="str">
        <f>IFERROR(VLOOKUP(A26,Honorarios!$A$9:$D$15,2,FALSE),"")</f>
        <v/>
      </c>
      <c r="G26" s="626" t="str">
        <f>IFERROR(((VLOOKUP(A26,Honorarios!$A$9:$D$15,3,FALSE))),"")</f>
        <v/>
      </c>
      <c r="H26" s="111">
        <f t="shared" si="3"/>
        <v>0</v>
      </c>
      <c r="I26" s="161">
        <f t="shared" si="4"/>
        <v>0</v>
      </c>
      <c r="J26" s="720"/>
      <c r="K26" s="139"/>
      <c r="L26" s="139"/>
      <c r="M26" s="140"/>
      <c r="N26" s="134">
        <f t="shared" si="1"/>
        <v>0</v>
      </c>
      <c r="O26" s="715"/>
      <c r="P26" s="139"/>
      <c r="Q26" s="139"/>
      <c r="R26" s="139"/>
      <c r="S26" s="139"/>
      <c r="T26" s="140"/>
      <c r="U26" s="134">
        <f t="shared" si="2"/>
        <v>0</v>
      </c>
      <c r="V26" s="134"/>
    </row>
    <row r="27" spans="1:22" ht="18" hidden="1" customHeight="1">
      <c r="A27" s="40"/>
      <c r="B27" s="625"/>
      <c r="C27" s="5"/>
      <c r="D27" s="4"/>
      <c r="E27" s="719"/>
      <c r="F27" s="11" t="str">
        <f>IFERROR(VLOOKUP(A27,Honorarios!$A$9:$D$15,2,FALSE),"")</f>
        <v/>
      </c>
      <c r="G27" s="626" t="str">
        <f>IFERROR(((VLOOKUP(A27,Honorarios!$A$9:$D$15,3,FALSE))),"")</f>
        <v/>
      </c>
      <c r="H27" s="111">
        <f t="shared" si="3"/>
        <v>0</v>
      </c>
      <c r="I27" s="161">
        <f t="shared" si="4"/>
        <v>0</v>
      </c>
      <c r="J27" s="720"/>
      <c r="K27" s="139"/>
      <c r="L27" s="139"/>
      <c r="M27" s="140"/>
      <c r="N27" s="134">
        <f t="shared" si="1"/>
        <v>0</v>
      </c>
      <c r="O27" s="715"/>
      <c r="P27" s="139"/>
      <c r="Q27" s="139"/>
      <c r="R27" s="139"/>
      <c r="S27" s="139"/>
      <c r="T27" s="140"/>
      <c r="U27" s="134">
        <f t="shared" si="2"/>
        <v>0</v>
      </c>
      <c r="V27" s="134"/>
    </row>
    <row r="28" spans="1:22" ht="18" hidden="1" customHeight="1">
      <c r="A28" s="40"/>
      <c r="B28" s="625"/>
      <c r="C28" s="5"/>
      <c r="D28" s="4"/>
      <c r="E28" s="719"/>
      <c r="F28" s="11" t="str">
        <f>IFERROR(VLOOKUP(A28,Honorarios!$A$9:$D$15,2,FALSE),"")</f>
        <v/>
      </c>
      <c r="G28" s="626" t="str">
        <f>IFERROR(((VLOOKUP(A28,Honorarios!$A$9:$D$15,3,FALSE))),"")</f>
        <v/>
      </c>
      <c r="H28" s="111">
        <f t="shared" si="3"/>
        <v>0</v>
      </c>
      <c r="I28" s="161">
        <f t="shared" si="4"/>
        <v>0</v>
      </c>
      <c r="J28" s="720"/>
      <c r="K28" s="139"/>
      <c r="L28" s="139"/>
      <c r="M28" s="140"/>
      <c r="N28" s="134">
        <f t="shared" si="1"/>
        <v>0</v>
      </c>
      <c r="O28" s="715"/>
      <c r="P28" s="139"/>
      <c r="Q28" s="139"/>
      <c r="R28" s="139"/>
      <c r="S28" s="139"/>
      <c r="T28" s="140"/>
      <c r="U28" s="134">
        <f t="shared" si="2"/>
        <v>0</v>
      </c>
      <c r="V28" s="134"/>
    </row>
    <row r="29" spans="1:22" ht="18" hidden="1" customHeight="1">
      <c r="A29" s="40"/>
      <c r="B29" s="625"/>
      <c r="C29" s="5"/>
      <c r="D29" s="4"/>
      <c r="E29" s="719"/>
      <c r="F29" s="11" t="str">
        <f>IFERROR(VLOOKUP(A29,Honorarios!$A$9:$D$15,2,FALSE),"")</f>
        <v/>
      </c>
      <c r="G29" s="626" t="str">
        <f>IFERROR(((VLOOKUP(A29,Honorarios!$A$9:$D$15,3,FALSE))),"")</f>
        <v/>
      </c>
      <c r="H29" s="111">
        <f t="shared" si="3"/>
        <v>0</v>
      </c>
      <c r="I29" s="161">
        <f t="shared" si="4"/>
        <v>0</v>
      </c>
      <c r="J29" s="720"/>
      <c r="K29" s="139"/>
      <c r="L29" s="139"/>
      <c r="M29" s="140"/>
      <c r="N29" s="134">
        <f t="shared" si="1"/>
        <v>0</v>
      </c>
      <c r="O29" s="715"/>
      <c r="P29" s="139"/>
      <c r="Q29" s="139"/>
      <c r="R29" s="139"/>
      <c r="S29" s="139"/>
      <c r="T29" s="140"/>
      <c r="U29" s="134">
        <f t="shared" si="2"/>
        <v>0</v>
      </c>
      <c r="V29" s="134"/>
    </row>
    <row r="30" spans="1:22" ht="18" hidden="1" customHeight="1">
      <c r="A30" s="40"/>
      <c r="B30" s="625"/>
      <c r="C30" s="5"/>
      <c r="D30" s="4"/>
      <c r="E30" s="719"/>
      <c r="F30" s="11" t="str">
        <f>IFERROR(VLOOKUP(A30,Honorarios!$A$9:$D$15,2,FALSE),"")</f>
        <v/>
      </c>
      <c r="G30" s="626" t="str">
        <f>IFERROR(((VLOOKUP(A30,Honorarios!$A$9:$D$15,3,FALSE))),"")</f>
        <v/>
      </c>
      <c r="H30" s="111">
        <f t="shared" si="3"/>
        <v>0</v>
      </c>
      <c r="I30" s="161">
        <f t="shared" si="4"/>
        <v>0</v>
      </c>
      <c r="J30" s="720"/>
      <c r="K30" s="139"/>
      <c r="L30" s="139"/>
      <c r="M30" s="140"/>
      <c r="N30" s="134">
        <f t="shared" si="1"/>
        <v>0</v>
      </c>
      <c r="O30" s="715"/>
      <c r="P30" s="139"/>
      <c r="Q30" s="139"/>
      <c r="R30" s="139"/>
      <c r="S30" s="139"/>
      <c r="T30" s="140"/>
      <c r="U30" s="134">
        <f t="shared" si="2"/>
        <v>0</v>
      </c>
      <c r="V30" s="134"/>
    </row>
    <row r="31" spans="1:22" ht="18" hidden="1" customHeight="1">
      <c r="A31" s="40"/>
      <c r="B31" s="625"/>
      <c r="C31" s="5"/>
      <c r="D31" s="4"/>
      <c r="E31" s="719"/>
      <c r="F31" s="11" t="str">
        <f>IFERROR(VLOOKUP(A31,Honorarios!$A$9:$D$15,2,FALSE),"")</f>
        <v/>
      </c>
      <c r="G31" s="626" t="str">
        <f>IFERROR(((VLOOKUP(A31,Honorarios!$A$9:$D$15,3,FALSE))),"")</f>
        <v/>
      </c>
      <c r="H31" s="111">
        <f t="shared" si="3"/>
        <v>0</v>
      </c>
      <c r="I31" s="161">
        <f t="shared" si="4"/>
        <v>0</v>
      </c>
      <c r="J31" s="720"/>
      <c r="K31" s="139"/>
      <c r="L31" s="139"/>
      <c r="M31" s="140"/>
      <c r="N31" s="134">
        <f t="shared" si="1"/>
        <v>0</v>
      </c>
      <c r="O31" s="715"/>
      <c r="P31" s="139"/>
      <c r="Q31" s="139"/>
      <c r="R31" s="139"/>
      <c r="S31" s="139"/>
      <c r="T31" s="140"/>
      <c r="U31" s="134">
        <f t="shared" si="2"/>
        <v>0</v>
      </c>
      <c r="V31" s="134"/>
    </row>
    <row r="32" spans="1:22" ht="18" hidden="1" customHeight="1">
      <c r="A32" s="40"/>
      <c r="B32" s="625"/>
      <c r="C32" s="5"/>
      <c r="D32" s="4"/>
      <c r="E32" s="719"/>
      <c r="F32" s="11" t="str">
        <f>IFERROR(VLOOKUP(A32,Honorarios!$A$9:$D$15,2,FALSE),"")</f>
        <v/>
      </c>
      <c r="G32" s="626" t="str">
        <f>IFERROR(((VLOOKUP(A32,Honorarios!$A$9:$D$15,3,FALSE))),"")</f>
        <v/>
      </c>
      <c r="H32" s="111">
        <f t="shared" si="3"/>
        <v>0</v>
      </c>
      <c r="I32" s="161">
        <f t="shared" si="4"/>
        <v>0</v>
      </c>
      <c r="J32" s="720"/>
      <c r="K32" s="139"/>
      <c r="L32" s="139"/>
      <c r="M32" s="140"/>
      <c r="N32" s="134">
        <f t="shared" si="1"/>
        <v>0</v>
      </c>
      <c r="O32" s="715"/>
      <c r="P32" s="139"/>
      <c r="Q32" s="139"/>
      <c r="R32" s="139"/>
      <c r="S32" s="139"/>
      <c r="T32" s="140"/>
      <c r="U32" s="134">
        <f t="shared" si="2"/>
        <v>0</v>
      </c>
      <c r="V32" s="134"/>
    </row>
    <row r="33" spans="1:22" ht="18" hidden="1" customHeight="1">
      <c r="A33" s="40"/>
      <c r="B33" s="625"/>
      <c r="C33" s="5"/>
      <c r="D33" s="4"/>
      <c r="E33" s="719"/>
      <c r="F33" s="11" t="str">
        <f>IFERROR(VLOOKUP(A33,Honorarios!$A$9:$D$15,2,FALSE),"")</f>
        <v/>
      </c>
      <c r="G33" s="626" t="str">
        <f>IFERROR(((VLOOKUP(A33,Honorarios!$A$9:$D$15,3,FALSE))),"")</f>
        <v/>
      </c>
      <c r="H33" s="111">
        <f t="shared" si="3"/>
        <v>0</v>
      </c>
      <c r="I33" s="161">
        <f t="shared" si="4"/>
        <v>0</v>
      </c>
      <c r="J33" s="720"/>
      <c r="K33" s="139"/>
      <c r="L33" s="139"/>
      <c r="M33" s="140"/>
      <c r="N33" s="134">
        <f t="shared" si="1"/>
        <v>0</v>
      </c>
      <c r="O33" s="715"/>
      <c r="P33" s="139"/>
      <c r="Q33" s="139"/>
      <c r="R33" s="139"/>
      <c r="S33" s="139"/>
      <c r="T33" s="140"/>
      <c r="U33" s="134">
        <f t="shared" si="2"/>
        <v>0</v>
      </c>
      <c r="V33" s="134"/>
    </row>
    <row r="34" spans="1:22" ht="18" hidden="1" customHeight="1">
      <c r="A34" s="40"/>
      <c r="B34" s="625"/>
      <c r="C34" s="5"/>
      <c r="D34" s="4"/>
      <c r="E34" s="719"/>
      <c r="F34" s="11" t="str">
        <f>IFERROR(VLOOKUP(A34,Honorarios!$A$9:$D$15,2,FALSE),"")</f>
        <v/>
      </c>
      <c r="G34" s="626" t="str">
        <f>IFERROR(((VLOOKUP(A34,Honorarios!$A$9:$D$15,3,FALSE))),"")</f>
        <v/>
      </c>
      <c r="H34" s="111">
        <f t="shared" si="3"/>
        <v>0</v>
      </c>
      <c r="I34" s="161">
        <f t="shared" si="4"/>
        <v>0</v>
      </c>
      <c r="J34" s="720"/>
      <c r="K34" s="139"/>
      <c r="L34" s="139"/>
      <c r="M34" s="140"/>
      <c r="N34" s="134">
        <f t="shared" si="1"/>
        <v>0</v>
      </c>
      <c r="O34" s="715"/>
      <c r="P34" s="139"/>
      <c r="Q34" s="139"/>
      <c r="R34" s="139"/>
      <c r="S34" s="139"/>
      <c r="T34" s="140"/>
      <c r="U34" s="134">
        <f t="shared" si="2"/>
        <v>0</v>
      </c>
      <c r="V34" s="134"/>
    </row>
    <row r="35" spans="1:22" ht="18" hidden="1" customHeight="1">
      <c r="A35" s="40"/>
      <c r="B35" s="625"/>
      <c r="C35" s="5"/>
      <c r="D35" s="4"/>
      <c r="E35" s="14"/>
      <c r="F35" s="11" t="str">
        <f>IFERROR(VLOOKUP(A35,Honorarios!$A$9:$D$15,2,FALSE),"")</f>
        <v/>
      </c>
      <c r="G35" s="626" t="str">
        <f>IFERROR(((VLOOKUP(A35,Honorarios!$A$9:$D$15,3,FALSE))),"")</f>
        <v/>
      </c>
      <c r="H35" s="111">
        <f t="shared" si="0"/>
        <v>0</v>
      </c>
      <c r="I35" s="161">
        <f t="shared" ref="I35:I43" si="5">IFERROR(H35/$H$100,0)</f>
        <v>0</v>
      </c>
      <c r="J35" s="627"/>
      <c r="K35" s="135"/>
      <c r="L35" s="135"/>
      <c r="M35" s="136"/>
      <c r="N35" s="134">
        <f t="shared" si="1"/>
        <v>0</v>
      </c>
      <c r="O35" s="715"/>
      <c r="P35" s="139"/>
      <c r="Q35" s="139"/>
      <c r="R35" s="139"/>
      <c r="S35" s="139"/>
      <c r="T35" s="140"/>
      <c r="U35" s="134">
        <f t="shared" si="2"/>
        <v>0</v>
      </c>
      <c r="V35" s="134"/>
    </row>
    <row r="36" spans="1:22" ht="18" hidden="1" customHeight="1">
      <c r="A36" s="40"/>
      <c r="B36" s="625"/>
      <c r="C36" s="5"/>
      <c r="D36" s="4"/>
      <c r="E36" s="14"/>
      <c r="F36" s="11" t="str">
        <f>IFERROR(VLOOKUP(A36,Honorarios!$A$9:$D$15,2,FALSE),"")</f>
        <v/>
      </c>
      <c r="G36" s="626" t="str">
        <f>IFERROR(((VLOOKUP(A36,Honorarios!$A$9:$D$15,3,FALSE))),"")</f>
        <v/>
      </c>
      <c r="H36" s="111">
        <f t="shared" si="0"/>
        <v>0</v>
      </c>
      <c r="I36" s="161">
        <f t="shared" si="5"/>
        <v>0</v>
      </c>
      <c r="J36" s="627"/>
      <c r="K36" s="135"/>
      <c r="L36" s="135"/>
      <c r="M36" s="136"/>
      <c r="N36" s="134">
        <f t="shared" si="1"/>
        <v>0</v>
      </c>
      <c r="O36" s="715"/>
      <c r="P36" s="139"/>
      <c r="Q36" s="139"/>
      <c r="R36" s="139"/>
      <c r="S36" s="139"/>
      <c r="T36" s="140"/>
      <c r="U36" s="134">
        <f t="shared" si="2"/>
        <v>0</v>
      </c>
      <c r="V36" s="134"/>
    </row>
    <row r="37" spans="1:22" ht="18" hidden="1" customHeight="1">
      <c r="A37" s="40"/>
      <c r="B37" s="625"/>
      <c r="C37" s="5"/>
      <c r="D37" s="4"/>
      <c r="E37" s="14"/>
      <c r="F37" s="11" t="str">
        <f>IFERROR(VLOOKUP(A37,Honorarios!$A$9:$D$15,2,FALSE),"")</f>
        <v/>
      </c>
      <c r="G37" s="626" t="str">
        <f>IFERROR(((VLOOKUP(A37,Honorarios!$A$9:$D$15,3,FALSE))),"")</f>
        <v/>
      </c>
      <c r="H37" s="111">
        <f t="shared" si="0"/>
        <v>0</v>
      </c>
      <c r="I37" s="161">
        <f t="shared" si="5"/>
        <v>0</v>
      </c>
      <c r="J37" s="627"/>
      <c r="K37" s="135"/>
      <c r="L37" s="135"/>
      <c r="M37" s="136"/>
      <c r="N37" s="134">
        <f t="shared" si="1"/>
        <v>0</v>
      </c>
      <c r="O37" s="715"/>
      <c r="P37" s="139"/>
      <c r="Q37" s="139"/>
      <c r="R37" s="139"/>
      <c r="S37" s="139"/>
      <c r="T37" s="140"/>
      <c r="U37" s="134">
        <f t="shared" si="2"/>
        <v>0</v>
      </c>
      <c r="V37" s="134"/>
    </row>
    <row r="38" spans="1:22" ht="18" hidden="1" customHeight="1">
      <c r="A38" s="40"/>
      <c r="B38" s="625"/>
      <c r="C38" s="5"/>
      <c r="D38" s="4"/>
      <c r="E38" s="14"/>
      <c r="F38" s="11" t="str">
        <f>IFERROR(VLOOKUP(A38,Honorarios!$A$9:$D$15,2,FALSE),"")</f>
        <v/>
      </c>
      <c r="G38" s="626" t="str">
        <f>IFERROR(((VLOOKUP(A38,Honorarios!$A$9:$D$15,3,FALSE))),"")</f>
        <v/>
      </c>
      <c r="H38" s="111">
        <f t="shared" si="0"/>
        <v>0</v>
      </c>
      <c r="I38" s="161">
        <f t="shared" si="5"/>
        <v>0</v>
      </c>
      <c r="J38" s="627"/>
      <c r="K38" s="135"/>
      <c r="L38" s="135"/>
      <c r="M38" s="136"/>
      <c r="N38" s="134">
        <f t="shared" si="1"/>
        <v>0</v>
      </c>
      <c r="O38" s="715"/>
      <c r="P38" s="139"/>
      <c r="Q38" s="139"/>
      <c r="R38" s="139"/>
      <c r="S38" s="139"/>
      <c r="T38" s="140"/>
      <c r="U38" s="134">
        <f t="shared" si="2"/>
        <v>0</v>
      </c>
      <c r="V38" s="134"/>
    </row>
    <row r="39" spans="1:22" ht="18" hidden="1" customHeight="1">
      <c r="A39" s="40"/>
      <c r="B39" s="625"/>
      <c r="C39" s="5"/>
      <c r="D39" s="4"/>
      <c r="E39" s="14"/>
      <c r="F39" s="11" t="str">
        <f>IFERROR(VLOOKUP(A39,Honorarios!$A$9:$D$15,2,FALSE),"")</f>
        <v/>
      </c>
      <c r="G39" s="626" t="str">
        <f>IFERROR(((VLOOKUP(A39,Honorarios!$A$9:$D$15,3,FALSE))),"")</f>
        <v/>
      </c>
      <c r="H39" s="111">
        <f t="shared" si="0"/>
        <v>0</v>
      </c>
      <c r="I39" s="161">
        <f t="shared" si="5"/>
        <v>0</v>
      </c>
      <c r="J39" s="627"/>
      <c r="K39" s="135"/>
      <c r="L39" s="135"/>
      <c r="M39" s="136"/>
      <c r="N39" s="134">
        <f t="shared" si="1"/>
        <v>0</v>
      </c>
      <c r="O39" s="715"/>
      <c r="P39" s="139"/>
      <c r="Q39" s="139"/>
      <c r="R39" s="139"/>
      <c r="S39" s="139"/>
      <c r="T39" s="140"/>
      <c r="U39" s="134">
        <f t="shared" si="2"/>
        <v>0</v>
      </c>
      <c r="V39" s="134"/>
    </row>
    <row r="40" spans="1:22" ht="18" hidden="1" customHeight="1">
      <c r="A40" s="40"/>
      <c r="B40" s="625"/>
      <c r="C40" s="5"/>
      <c r="D40" s="4"/>
      <c r="E40" s="14"/>
      <c r="F40" s="11" t="str">
        <f>IFERROR(VLOOKUP(A40,Honorarios!$A$9:$D$15,2,FALSE),"")</f>
        <v/>
      </c>
      <c r="G40" s="626" t="str">
        <f>IFERROR(((VLOOKUP(A40,Honorarios!$A$9:$D$15,3,FALSE))),"")</f>
        <v/>
      </c>
      <c r="H40" s="111">
        <f t="shared" si="0"/>
        <v>0</v>
      </c>
      <c r="I40" s="161">
        <f t="shared" si="5"/>
        <v>0</v>
      </c>
      <c r="J40" s="627"/>
      <c r="K40" s="135"/>
      <c r="L40" s="135"/>
      <c r="M40" s="136"/>
      <c r="N40" s="134">
        <f t="shared" si="1"/>
        <v>0</v>
      </c>
      <c r="O40" s="715"/>
      <c r="P40" s="139"/>
      <c r="Q40" s="139"/>
      <c r="R40" s="139"/>
      <c r="S40" s="139"/>
      <c r="T40" s="140"/>
      <c r="U40" s="134">
        <f t="shared" si="2"/>
        <v>0</v>
      </c>
      <c r="V40" s="134"/>
    </row>
    <row r="41" spans="1:22" ht="18" hidden="1" customHeight="1">
      <c r="A41" s="40"/>
      <c r="B41" s="625"/>
      <c r="C41" s="5"/>
      <c r="D41" s="4"/>
      <c r="E41" s="14"/>
      <c r="F41" s="11" t="str">
        <f>IFERROR(VLOOKUP(A41,Honorarios!$A$9:$D$15,2,FALSE),"")</f>
        <v/>
      </c>
      <c r="G41" s="626" t="str">
        <f>IFERROR(((VLOOKUP(A41,Honorarios!$A$9:$D$15,3,FALSE))),"")</f>
        <v/>
      </c>
      <c r="H41" s="111">
        <f t="shared" si="0"/>
        <v>0</v>
      </c>
      <c r="I41" s="161">
        <f t="shared" si="5"/>
        <v>0</v>
      </c>
      <c r="J41" s="627"/>
      <c r="K41" s="135"/>
      <c r="L41" s="135"/>
      <c r="M41" s="136"/>
      <c r="N41" s="134">
        <f t="shared" si="1"/>
        <v>0</v>
      </c>
      <c r="O41" s="715"/>
      <c r="P41" s="139"/>
      <c r="Q41" s="139"/>
      <c r="R41" s="139"/>
      <c r="S41" s="139"/>
      <c r="T41" s="140"/>
      <c r="U41" s="134">
        <f t="shared" si="2"/>
        <v>0</v>
      </c>
      <c r="V41" s="134"/>
    </row>
    <row r="42" spans="1:22" ht="18" hidden="1" customHeight="1">
      <c r="A42" s="40"/>
      <c r="B42" s="625"/>
      <c r="C42" s="5"/>
      <c r="D42" s="4"/>
      <c r="E42" s="14"/>
      <c r="F42" s="11" t="str">
        <f>IFERROR(VLOOKUP(A42,Honorarios!$A$9:$D$15,2,FALSE),"")</f>
        <v/>
      </c>
      <c r="G42" s="626" t="str">
        <f>IFERROR(((VLOOKUP(A42,Honorarios!$A$9:$D$15,3,FALSE))),"")</f>
        <v/>
      </c>
      <c r="H42" s="111">
        <f t="shared" si="0"/>
        <v>0</v>
      </c>
      <c r="I42" s="161">
        <f t="shared" si="5"/>
        <v>0</v>
      </c>
      <c r="J42" s="627"/>
      <c r="K42" s="135"/>
      <c r="L42" s="135"/>
      <c r="M42" s="136"/>
      <c r="N42" s="134">
        <f t="shared" si="1"/>
        <v>0</v>
      </c>
      <c r="O42" s="715"/>
      <c r="P42" s="139"/>
      <c r="Q42" s="139"/>
      <c r="R42" s="139"/>
      <c r="S42" s="139"/>
      <c r="T42" s="140"/>
      <c r="U42" s="134">
        <f t="shared" si="2"/>
        <v>0</v>
      </c>
      <c r="V42" s="134"/>
    </row>
    <row r="43" spans="1:22" ht="18" hidden="1" customHeight="1">
      <c r="A43" s="40"/>
      <c r="B43" s="625"/>
      <c r="C43" s="5"/>
      <c r="D43" s="4"/>
      <c r="E43" s="14"/>
      <c r="F43" s="11" t="str">
        <f>IFERROR(VLOOKUP(A43,Honorarios!$A$9:$D$15,2,FALSE),"")</f>
        <v/>
      </c>
      <c r="G43" s="626" t="str">
        <f>IFERROR(((VLOOKUP(A43,Honorarios!$A$9:$D$15,3,FALSE))),"")</f>
        <v/>
      </c>
      <c r="H43" s="111">
        <f t="shared" si="0"/>
        <v>0</v>
      </c>
      <c r="I43" s="161">
        <f t="shared" si="5"/>
        <v>0</v>
      </c>
      <c r="J43" s="627"/>
      <c r="K43" s="135"/>
      <c r="L43" s="135"/>
      <c r="M43" s="136"/>
      <c r="N43" s="134">
        <f t="shared" si="1"/>
        <v>0</v>
      </c>
      <c r="O43" s="715"/>
      <c r="P43" s="139"/>
      <c r="Q43" s="139"/>
      <c r="R43" s="139"/>
      <c r="S43" s="139"/>
      <c r="T43" s="140"/>
      <c r="U43" s="134">
        <f t="shared" si="2"/>
        <v>0</v>
      </c>
      <c r="V43" s="134"/>
    </row>
    <row r="44" spans="1:22" ht="18" hidden="1" customHeight="1">
      <c r="A44" s="40"/>
      <c r="B44" s="625"/>
      <c r="C44" s="5"/>
      <c r="D44" s="4"/>
      <c r="E44" s="14"/>
      <c r="F44" s="11" t="str">
        <f>IFERROR(VLOOKUP(A44,Honorarios!$A$9:$D$15,2,FALSE),"")</f>
        <v/>
      </c>
      <c r="G44" s="626" t="str">
        <f>IFERROR(((VLOOKUP(A44,Honorarios!$A$9:$D$15,3,FALSE))),"")</f>
        <v/>
      </c>
      <c r="H44" s="111">
        <f t="shared" ref="H44:H59" si="6">IFERROR(B44*C44*E44*F44*G44,0)</f>
        <v>0</v>
      </c>
      <c r="I44" s="161">
        <f t="shared" ref="I44:I59" si="7">IFERROR(H44/$H$100,0)</f>
        <v>0</v>
      </c>
      <c r="J44" s="627"/>
      <c r="K44" s="135"/>
      <c r="L44" s="135"/>
      <c r="M44" s="136"/>
      <c r="N44" s="134">
        <f t="shared" si="1"/>
        <v>0</v>
      </c>
      <c r="O44" s="715"/>
      <c r="P44" s="139"/>
      <c r="Q44" s="139"/>
      <c r="R44" s="139"/>
      <c r="S44" s="139"/>
      <c r="T44" s="140"/>
      <c r="U44" s="134">
        <f t="shared" si="2"/>
        <v>0</v>
      </c>
      <c r="V44" s="134"/>
    </row>
    <row r="45" spans="1:22" ht="18" hidden="1" customHeight="1">
      <c r="A45" s="40"/>
      <c r="B45" s="625"/>
      <c r="C45" s="5"/>
      <c r="D45" s="4"/>
      <c r="E45" s="14"/>
      <c r="F45" s="11" t="str">
        <f>IFERROR(VLOOKUP(A45,Honorarios!$A$9:$D$15,2,FALSE),"")</f>
        <v/>
      </c>
      <c r="G45" s="626" t="str">
        <f>IFERROR(((VLOOKUP(A45,Honorarios!$A$9:$D$15,3,FALSE))),"")</f>
        <v/>
      </c>
      <c r="H45" s="111">
        <f t="shared" si="6"/>
        <v>0</v>
      </c>
      <c r="I45" s="161">
        <f t="shared" si="7"/>
        <v>0</v>
      </c>
      <c r="J45" s="627"/>
      <c r="K45" s="135"/>
      <c r="L45" s="135"/>
      <c r="M45" s="136"/>
      <c r="N45" s="134">
        <f t="shared" si="1"/>
        <v>0</v>
      </c>
      <c r="O45" s="715"/>
      <c r="P45" s="139"/>
      <c r="Q45" s="139"/>
      <c r="R45" s="139"/>
      <c r="S45" s="139"/>
      <c r="T45" s="140"/>
      <c r="U45" s="134">
        <f t="shared" si="2"/>
        <v>0</v>
      </c>
      <c r="V45" s="134"/>
    </row>
    <row r="46" spans="1:22" ht="18" hidden="1" customHeight="1">
      <c r="A46" s="40"/>
      <c r="B46" s="625"/>
      <c r="C46" s="5"/>
      <c r="D46" s="4"/>
      <c r="E46" s="14"/>
      <c r="F46" s="11" t="str">
        <f>IFERROR(VLOOKUP(A46,Honorarios!$A$9:$D$15,2,FALSE),"")</f>
        <v/>
      </c>
      <c r="G46" s="626" t="str">
        <f>IFERROR(((VLOOKUP(A46,Honorarios!$A$9:$D$15,3,FALSE))),"")</f>
        <v/>
      </c>
      <c r="H46" s="111">
        <f t="shared" si="6"/>
        <v>0</v>
      </c>
      <c r="I46" s="161">
        <f t="shared" si="7"/>
        <v>0</v>
      </c>
      <c r="J46" s="627"/>
      <c r="K46" s="135"/>
      <c r="L46" s="135"/>
      <c r="M46" s="136"/>
      <c r="N46" s="134">
        <f t="shared" si="1"/>
        <v>0</v>
      </c>
      <c r="O46" s="715"/>
      <c r="P46" s="139"/>
      <c r="Q46" s="139"/>
      <c r="R46" s="139"/>
      <c r="S46" s="139"/>
      <c r="T46" s="140"/>
      <c r="U46" s="134">
        <f t="shared" si="2"/>
        <v>0</v>
      </c>
      <c r="V46" s="134"/>
    </row>
    <row r="47" spans="1:22" ht="18" hidden="1" customHeight="1">
      <c r="A47" s="40"/>
      <c r="B47" s="625"/>
      <c r="C47" s="5"/>
      <c r="D47" s="4"/>
      <c r="E47" s="14"/>
      <c r="F47" s="11" t="str">
        <f>IFERROR(VLOOKUP(A47,Honorarios!$A$9:$D$15,2,FALSE),"")</f>
        <v/>
      </c>
      <c r="G47" s="626" t="str">
        <f>IFERROR(((VLOOKUP(A47,Honorarios!$A$9:$D$15,3,FALSE))),"")</f>
        <v/>
      </c>
      <c r="H47" s="111">
        <f t="shared" si="6"/>
        <v>0</v>
      </c>
      <c r="I47" s="161">
        <f t="shared" si="7"/>
        <v>0</v>
      </c>
      <c r="J47" s="627"/>
      <c r="K47" s="135"/>
      <c r="L47" s="135"/>
      <c r="M47" s="136"/>
      <c r="N47" s="134">
        <f t="shared" si="1"/>
        <v>0</v>
      </c>
      <c r="O47" s="715"/>
      <c r="P47" s="139"/>
      <c r="Q47" s="139"/>
      <c r="R47" s="139"/>
      <c r="S47" s="139"/>
      <c r="T47" s="140"/>
      <c r="U47" s="134">
        <f t="shared" si="2"/>
        <v>0</v>
      </c>
      <c r="V47" s="134"/>
    </row>
    <row r="48" spans="1:22" ht="18" hidden="1" customHeight="1">
      <c r="A48" s="40"/>
      <c r="B48" s="625"/>
      <c r="C48" s="5"/>
      <c r="D48" s="4"/>
      <c r="E48" s="14"/>
      <c r="F48" s="11" t="str">
        <f>IFERROR(VLOOKUP(A48,Honorarios!$A$9:$D$15,2,FALSE),"")</f>
        <v/>
      </c>
      <c r="G48" s="626" t="str">
        <f>IFERROR(((VLOOKUP(A48,Honorarios!$A$9:$D$15,3,FALSE))),"")</f>
        <v/>
      </c>
      <c r="H48" s="111">
        <f t="shared" si="6"/>
        <v>0</v>
      </c>
      <c r="I48" s="161">
        <f t="shared" si="7"/>
        <v>0</v>
      </c>
      <c r="J48" s="627"/>
      <c r="K48" s="135"/>
      <c r="L48" s="135"/>
      <c r="M48" s="136"/>
      <c r="N48" s="134">
        <f t="shared" si="1"/>
        <v>0</v>
      </c>
      <c r="O48" s="715"/>
      <c r="P48" s="139"/>
      <c r="Q48" s="139"/>
      <c r="R48" s="139"/>
      <c r="S48" s="139"/>
      <c r="T48" s="140"/>
      <c r="U48" s="134">
        <f t="shared" si="2"/>
        <v>0</v>
      </c>
      <c r="V48" s="134"/>
    </row>
    <row r="49" spans="1:22" ht="18" hidden="1" customHeight="1">
      <c r="A49" s="40"/>
      <c r="B49" s="625"/>
      <c r="C49" s="5"/>
      <c r="D49" s="4"/>
      <c r="E49" s="14"/>
      <c r="F49" s="11" t="str">
        <f>IFERROR(VLOOKUP(A49,Honorarios!$A$9:$D$15,2,FALSE),"")</f>
        <v/>
      </c>
      <c r="G49" s="626" t="str">
        <f>IFERROR(((VLOOKUP(A49,Honorarios!$A$9:$D$15,3,FALSE))),"")</f>
        <v/>
      </c>
      <c r="H49" s="111">
        <f t="shared" si="6"/>
        <v>0</v>
      </c>
      <c r="I49" s="161">
        <f t="shared" si="7"/>
        <v>0</v>
      </c>
      <c r="J49" s="627"/>
      <c r="K49" s="135"/>
      <c r="L49" s="135"/>
      <c r="M49" s="136"/>
      <c r="N49" s="134">
        <f t="shared" si="1"/>
        <v>0</v>
      </c>
      <c r="O49" s="715"/>
      <c r="P49" s="139"/>
      <c r="Q49" s="139"/>
      <c r="R49" s="139"/>
      <c r="S49" s="139"/>
      <c r="T49" s="140"/>
      <c r="U49" s="134">
        <f t="shared" si="2"/>
        <v>0</v>
      </c>
      <c r="V49" s="134"/>
    </row>
    <row r="50" spans="1:22" ht="18" hidden="1" customHeight="1">
      <c r="A50" s="40"/>
      <c r="B50" s="625"/>
      <c r="C50" s="5"/>
      <c r="D50" s="4"/>
      <c r="E50" s="14"/>
      <c r="F50" s="11" t="str">
        <f>IFERROR(VLOOKUP(A50,Honorarios!$A$9:$D$15,2,FALSE),"")</f>
        <v/>
      </c>
      <c r="G50" s="626" t="str">
        <f>IFERROR(((VLOOKUP(A50,Honorarios!$A$9:$D$15,3,FALSE))),"")</f>
        <v/>
      </c>
      <c r="H50" s="111">
        <f t="shared" si="6"/>
        <v>0</v>
      </c>
      <c r="I50" s="161">
        <f t="shared" si="7"/>
        <v>0</v>
      </c>
      <c r="J50" s="627"/>
      <c r="K50" s="135"/>
      <c r="L50" s="135"/>
      <c r="M50" s="136"/>
      <c r="N50" s="134">
        <f t="shared" si="1"/>
        <v>0</v>
      </c>
      <c r="O50" s="715"/>
      <c r="P50" s="139"/>
      <c r="Q50" s="139"/>
      <c r="R50" s="139"/>
      <c r="S50" s="139"/>
      <c r="T50" s="140"/>
      <c r="U50" s="134">
        <f t="shared" si="2"/>
        <v>0</v>
      </c>
      <c r="V50" s="134"/>
    </row>
    <row r="51" spans="1:22" ht="18" hidden="1" customHeight="1">
      <c r="A51" s="40"/>
      <c r="B51" s="625"/>
      <c r="C51" s="5"/>
      <c r="D51" s="4"/>
      <c r="E51" s="14"/>
      <c r="F51" s="11" t="str">
        <f>IFERROR(VLOOKUP(A51,Honorarios!$A$9:$D$15,2,FALSE),"")</f>
        <v/>
      </c>
      <c r="G51" s="626" t="str">
        <f>IFERROR(((VLOOKUP(A51,Honorarios!$A$9:$D$15,3,FALSE))),"")</f>
        <v/>
      </c>
      <c r="H51" s="111">
        <f t="shared" si="6"/>
        <v>0</v>
      </c>
      <c r="I51" s="161">
        <f t="shared" si="7"/>
        <v>0</v>
      </c>
      <c r="J51" s="627"/>
      <c r="K51" s="135"/>
      <c r="L51" s="135"/>
      <c r="M51" s="136"/>
      <c r="N51" s="134">
        <f t="shared" si="1"/>
        <v>0</v>
      </c>
      <c r="O51" s="715"/>
      <c r="P51" s="139"/>
      <c r="Q51" s="139"/>
      <c r="R51" s="139"/>
      <c r="S51" s="139"/>
      <c r="T51" s="140"/>
      <c r="U51" s="134">
        <f t="shared" si="2"/>
        <v>0</v>
      </c>
      <c r="V51" s="134"/>
    </row>
    <row r="52" spans="1:22" ht="18" hidden="1" customHeight="1">
      <c r="A52" s="40"/>
      <c r="B52" s="625"/>
      <c r="C52" s="5"/>
      <c r="D52" s="4"/>
      <c r="E52" s="14"/>
      <c r="F52" s="11" t="str">
        <f>IFERROR(VLOOKUP(A52,Honorarios!$A$9:$D$15,2,FALSE),"")</f>
        <v/>
      </c>
      <c r="G52" s="626" t="str">
        <f>IFERROR(((VLOOKUP(A52,Honorarios!$A$9:$D$15,3,FALSE))),"")</f>
        <v/>
      </c>
      <c r="H52" s="111">
        <f t="shared" si="6"/>
        <v>0</v>
      </c>
      <c r="I52" s="161">
        <f t="shared" si="7"/>
        <v>0</v>
      </c>
      <c r="J52" s="627"/>
      <c r="K52" s="135"/>
      <c r="L52" s="135"/>
      <c r="M52" s="136"/>
      <c r="N52" s="134">
        <f t="shared" si="1"/>
        <v>0</v>
      </c>
      <c r="O52" s="715"/>
      <c r="P52" s="139"/>
      <c r="Q52" s="139"/>
      <c r="R52" s="139"/>
      <c r="S52" s="139"/>
      <c r="T52" s="140"/>
      <c r="U52" s="134">
        <f t="shared" si="2"/>
        <v>0</v>
      </c>
      <c r="V52" s="134"/>
    </row>
    <row r="53" spans="1:22" ht="18" hidden="1" customHeight="1">
      <c r="A53" s="40"/>
      <c r="B53" s="625"/>
      <c r="C53" s="5"/>
      <c r="D53" s="4"/>
      <c r="E53" s="14"/>
      <c r="F53" s="11" t="str">
        <f>IFERROR(VLOOKUP(A53,Honorarios!$A$9:$D$15,2,FALSE),"")</f>
        <v/>
      </c>
      <c r="G53" s="626" t="str">
        <f>IFERROR(((VLOOKUP(A53,Honorarios!$A$9:$D$15,3,FALSE))),"")</f>
        <v/>
      </c>
      <c r="H53" s="111">
        <f t="shared" si="6"/>
        <v>0</v>
      </c>
      <c r="I53" s="161">
        <f t="shared" si="7"/>
        <v>0</v>
      </c>
      <c r="J53" s="627"/>
      <c r="K53" s="135"/>
      <c r="L53" s="135"/>
      <c r="M53" s="136"/>
      <c r="N53" s="134">
        <f t="shared" si="1"/>
        <v>0</v>
      </c>
      <c r="O53" s="715"/>
      <c r="P53" s="139"/>
      <c r="Q53" s="139"/>
      <c r="R53" s="139"/>
      <c r="S53" s="139"/>
      <c r="T53" s="140"/>
      <c r="U53" s="134">
        <f t="shared" si="2"/>
        <v>0</v>
      </c>
      <c r="V53" s="134"/>
    </row>
    <row r="54" spans="1:22" ht="18" hidden="1" customHeight="1">
      <c r="A54" s="40"/>
      <c r="B54" s="625"/>
      <c r="C54" s="5"/>
      <c r="D54" s="4"/>
      <c r="E54" s="14"/>
      <c r="F54" s="11" t="str">
        <f>IFERROR(VLOOKUP(A54,Honorarios!$A$9:$D$15,2,FALSE),"")</f>
        <v/>
      </c>
      <c r="G54" s="626" t="str">
        <f>IFERROR(((VLOOKUP(A54,Honorarios!$A$9:$D$15,3,FALSE))),"")</f>
        <v/>
      </c>
      <c r="H54" s="111">
        <f t="shared" si="6"/>
        <v>0</v>
      </c>
      <c r="I54" s="161">
        <f t="shared" si="7"/>
        <v>0</v>
      </c>
      <c r="J54" s="627"/>
      <c r="K54" s="135"/>
      <c r="L54" s="135"/>
      <c r="M54" s="136"/>
      <c r="N54" s="134">
        <f t="shared" si="1"/>
        <v>0</v>
      </c>
      <c r="O54" s="715"/>
      <c r="P54" s="139"/>
      <c r="Q54" s="139"/>
      <c r="R54" s="139"/>
      <c r="S54" s="139"/>
      <c r="T54" s="140"/>
      <c r="U54" s="134">
        <f t="shared" si="2"/>
        <v>0</v>
      </c>
      <c r="V54" s="134"/>
    </row>
    <row r="55" spans="1:22" ht="18" hidden="1" customHeight="1">
      <c r="A55" s="40"/>
      <c r="B55" s="625"/>
      <c r="C55" s="5"/>
      <c r="D55" s="4"/>
      <c r="E55" s="14"/>
      <c r="F55" s="11" t="str">
        <f>IFERROR(VLOOKUP(A55,Honorarios!$A$9:$D$15,2,FALSE),"")</f>
        <v/>
      </c>
      <c r="G55" s="626" t="str">
        <f>IFERROR(((VLOOKUP(A55,Honorarios!$A$9:$D$15,3,FALSE))),"")</f>
        <v/>
      </c>
      <c r="H55" s="111">
        <f t="shared" si="6"/>
        <v>0</v>
      </c>
      <c r="I55" s="161">
        <f t="shared" si="7"/>
        <v>0</v>
      </c>
      <c r="J55" s="627"/>
      <c r="K55" s="135"/>
      <c r="L55" s="135"/>
      <c r="M55" s="136"/>
      <c r="N55" s="134">
        <f t="shared" si="1"/>
        <v>0</v>
      </c>
      <c r="O55" s="715"/>
      <c r="P55" s="139"/>
      <c r="Q55" s="139"/>
      <c r="R55" s="139"/>
      <c r="S55" s="139"/>
      <c r="T55" s="140"/>
      <c r="U55" s="134">
        <f t="shared" si="2"/>
        <v>0</v>
      </c>
      <c r="V55" s="134"/>
    </row>
    <row r="56" spans="1:22" ht="18" hidden="1" customHeight="1">
      <c r="A56" s="40"/>
      <c r="B56" s="625"/>
      <c r="C56" s="5"/>
      <c r="D56" s="4"/>
      <c r="E56" s="14"/>
      <c r="F56" s="11" t="str">
        <f>IFERROR(VLOOKUP(A56,Honorarios!$A$9:$D$15,2,FALSE),"")</f>
        <v/>
      </c>
      <c r="G56" s="626" t="str">
        <f>IFERROR(((VLOOKUP(A56,Honorarios!$A$9:$D$15,3,FALSE))),"")</f>
        <v/>
      </c>
      <c r="H56" s="111">
        <f t="shared" si="6"/>
        <v>0</v>
      </c>
      <c r="I56" s="161">
        <f t="shared" si="7"/>
        <v>0</v>
      </c>
      <c r="J56" s="627"/>
      <c r="K56" s="135"/>
      <c r="L56" s="135"/>
      <c r="M56" s="136"/>
      <c r="N56" s="134">
        <f t="shared" si="1"/>
        <v>0</v>
      </c>
      <c r="O56" s="715"/>
      <c r="P56" s="139"/>
      <c r="Q56" s="139"/>
      <c r="R56" s="139"/>
      <c r="S56" s="139"/>
      <c r="T56" s="140"/>
      <c r="U56" s="134">
        <f t="shared" si="2"/>
        <v>0</v>
      </c>
      <c r="V56" s="134"/>
    </row>
    <row r="57" spans="1:22" ht="18" hidden="1" customHeight="1">
      <c r="A57" s="40"/>
      <c r="B57" s="625"/>
      <c r="C57" s="5"/>
      <c r="D57" s="4"/>
      <c r="E57" s="14"/>
      <c r="F57" s="11" t="str">
        <f>IFERROR(VLOOKUP(A57,Honorarios!$A$9:$D$15,2,FALSE),"")</f>
        <v/>
      </c>
      <c r="G57" s="626" t="str">
        <f>IFERROR(((VLOOKUP(A57,Honorarios!$A$9:$D$15,3,FALSE))),"")</f>
        <v/>
      </c>
      <c r="H57" s="111">
        <f t="shared" si="6"/>
        <v>0</v>
      </c>
      <c r="I57" s="161">
        <f t="shared" si="7"/>
        <v>0</v>
      </c>
      <c r="J57" s="627"/>
      <c r="K57" s="135"/>
      <c r="L57" s="135"/>
      <c r="M57" s="136"/>
      <c r="N57" s="134">
        <f t="shared" si="1"/>
        <v>0</v>
      </c>
      <c r="O57" s="715"/>
      <c r="P57" s="139"/>
      <c r="Q57" s="139"/>
      <c r="R57" s="139"/>
      <c r="S57" s="139"/>
      <c r="T57" s="140"/>
      <c r="U57" s="134">
        <f t="shared" si="2"/>
        <v>0</v>
      </c>
      <c r="V57" s="134"/>
    </row>
    <row r="58" spans="1:22" ht="18" hidden="1" customHeight="1">
      <c r="A58" s="40"/>
      <c r="B58" s="625"/>
      <c r="C58" s="5"/>
      <c r="D58" s="4"/>
      <c r="E58" s="14"/>
      <c r="F58" s="11" t="str">
        <f>IFERROR(VLOOKUP(A58,Honorarios!$A$9:$D$15,2,FALSE),"")</f>
        <v/>
      </c>
      <c r="G58" s="626" t="str">
        <f>IFERROR(((VLOOKUP(A58,Honorarios!$A$9:$D$15,3,FALSE))),"")</f>
        <v/>
      </c>
      <c r="H58" s="111">
        <f t="shared" si="6"/>
        <v>0</v>
      </c>
      <c r="I58" s="161">
        <f t="shared" si="7"/>
        <v>0</v>
      </c>
      <c r="J58" s="627"/>
      <c r="K58" s="135"/>
      <c r="L58" s="135"/>
      <c r="M58" s="136"/>
      <c r="N58" s="134">
        <f t="shared" si="1"/>
        <v>0</v>
      </c>
      <c r="O58" s="715"/>
      <c r="P58" s="139"/>
      <c r="Q58" s="139"/>
      <c r="R58" s="139"/>
      <c r="S58" s="139"/>
      <c r="T58" s="140"/>
      <c r="U58" s="134">
        <f t="shared" si="2"/>
        <v>0</v>
      </c>
      <c r="V58" s="134"/>
    </row>
    <row r="59" spans="1:22" ht="18" hidden="1" customHeight="1">
      <c r="A59" s="40"/>
      <c r="B59" s="625"/>
      <c r="C59" s="5"/>
      <c r="D59" s="4"/>
      <c r="E59" s="14"/>
      <c r="F59" s="11" t="str">
        <f>IFERROR(VLOOKUP(A59,Honorarios!$A$9:$D$15,2,FALSE),"")</f>
        <v/>
      </c>
      <c r="G59" s="626" t="str">
        <f>IFERROR(((VLOOKUP(A59,Honorarios!$A$9:$D$15,3,FALSE))),"")</f>
        <v/>
      </c>
      <c r="H59" s="111">
        <f t="shared" si="6"/>
        <v>0</v>
      </c>
      <c r="I59" s="161">
        <f t="shared" si="7"/>
        <v>0</v>
      </c>
      <c r="J59" s="627"/>
      <c r="K59" s="135"/>
      <c r="L59" s="135"/>
      <c r="M59" s="136"/>
      <c r="N59" s="134">
        <f t="shared" si="1"/>
        <v>0</v>
      </c>
      <c r="O59" s="715"/>
      <c r="P59" s="139"/>
      <c r="Q59" s="139"/>
      <c r="R59" s="139"/>
      <c r="S59" s="139"/>
      <c r="T59" s="140"/>
      <c r="U59" s="134">
        <f t="shared" si="2"/>
        <v>0</v>
      </c>
      <c r="V59" s="134"/>
    </row>
    <row r="60" spans="1:22" ht="18" hidden="1" customHeight="1">
      <c r="A60" s="40"/>
      <c r="B60" s="625"/>
      <c r="C60" s="5"/>
      <c r="D60" s="4"/>
      <c r="E60" s="14"/>
      <c r="F60" s="11" t="str">
        <f>IFERROR(VLOOKUP(A60,Honorarios!$A$9:$D$15,2,FALSE),"")</f>
        <v/>
      </c>
      <c r="G60" s="626" t="str">
        <f>IFERROR(((VLOOKUP(A60,Honorarios!$A$9:$D$15,3,FALSE))),"")</f>
        <v/>
      </c>
      <c r="H60" s="111">
        <f t="shared" si="0"/>
        <v>0</v>
      </c>
      <c r="I60" s="161">
        <f>IFERROR(H60/$H$100,0)</f>
        <v>0</v>
      </c>
      <c r="J60" s="627"/>
      <c r="K60" s="135"/>
      <c r="L60" s="135"/>
      <c r="M60" s="136"/>
      <c r="N60" s="134">
        <f t="shared" si="1"/>
        <v>0</v>
      </c>
      <c r="O60" s="715"/>
      <c r="P60" s="139"/>
      <c r="Q60" s="139"/>
      <c r="R60" s="139"/>
      <c r="S60" s="139"/>
      <c r="T60" s="140"/>
      <c r="U60" s="134">
        <f t="shared" si="2"/>
        <v>0</v>
      </c>
      <c r="V60" s="134"/>
    </row>
    <row r="61" spans="1:22" ht="18" customHeight="1">
      <c r="A61" s="1115" t="s">
        <v>400</v>
      </c>
      <c r="B61" s="1116"/>
      <c r="C61" s="1116"/>
      <c r="D61" s="1116"/>
      <c r="E61" s="1116"/>
      <c r="F61" s="1116"/>
      <c r="G61" s="1116"/>
      <c r="H61" s="112">
        <f>SUM(H12:H60)</f>
        <v>0</v>
      </c>
      <c r="I61" s="160">
        <f>SUM(I12:I60)</f>
        <v>0</v>
      </c>
      <c r="J61" s="137">
        <f>SUM(J12:J60)</f>
        <v>0</v>
      </c>
      <c r="K61" s="137">
        <f t="shared" ref="K61" si="8">SUM(K12:K60)</f>
        <v>0</v>
      </c>
      <c r="L61" s="137">
        <f>SUM(L12:L60)</f>
        <v>0</v>
      </c>
      <c r="M61" s="138">
        <f>SUM(M12:M60)</f>
        <v>0</v>
      </c>
      <c r="N61" s="134">
        <f t="shared" ref="N61" si="9">H61-SUM(J61:M61)</f>
        <v>0</v>
      </c>
      <c r="O61" s="715"/>
      <c r="P61" s="139"/>
      <c r="Q61" s="139"/>
      <c r="R61" s="139"/>
      <c r="S61" s="139"/>
      <c r="T61" s="140"/>
      <c r="U61" s="134"/>
      <c r="V61" s="134"/>
    </row>
    <row r="62" spans="1:22" ht="18" customHeight="1">
      <c r="A62" s="1117" t="s">
        <v>401</v>
      </c>
      <c r="B62" s="1118"/>
      <c r="C62" s="1118"/>
      <c r="D62" s="1118"/>
      <c r="E62" s="1118"/>
      <c r="F62" s="1118"/>
      <c r="G62" s="1118"/>
      <c r="H62" s="1118"/>
      <c r="I62" s="1118"/>
      <c r="J62" s="1118"/>
      <c r="K62" s="1118"/>
      <c r="L62" s="1118"/>
      <c r="M62" s="1119"/>
      <c r="N62" s="134"/>
      <c r="O62" s="715"/>
      <c r="P62" s="139"/>
      <c r="Q62" s="139"/>
      <c r="R62" s="139"/>
      <c r="S62" s="139"/>
      <c r="T62" s="140"/>
      <c r="U62" s="134"/>
      <c r="V62" s="134"/>
    </row>
    <row r="63" spans="1:22" ht="18" customHeight="1">
      <c r="A63" s="10"/>
      <c r="B63" s="6"/>
      <c r="C63" s="7"/>
      <c r="D63" s="4"/>
      <c r="E63" s="13"/>
      <c r="F63" s="11"/>
      <c r="G63" s="692"/>
      <c r="H63" s="111">
        <f t="shared" ref="H63:H98" si="10">IFERROR(B63*C63*E63*F63*G63,0)</f>
        <v>0</v>
      </c>
      <c r="I63" s="161">
        <f>IFERROR(H63/$H$100,0)</f>
        <v>0</v>
      </c>
      <c r="J63" s="139"/>
      <c r="K63" s="139"/>
      <c r="L63" s="139"/>
      <c r="M63" s="140"/>
      <c r="N63" s="134">
        <f t="shared" ref="N63:N149" si="11">H63-SUM(J63:M63)</f>
        <v>0</v>
      </c>
      <c r="O63" s="715"/>
      <c r="P63" s="139"/>
      <c r="Q63" s="139"/>
      <c r="R63" s="139"/>
      <c r="S63" s="139"/>
      <c r="T63" s="140"/>
      <c r="U63" s="134">
        <f t="shared" si="2"/>
        <v>0</v>
      </c>
      <c r="V63" s="134"/>
    </row>
    <row r="64" spans="1:22" ht="18" customHeight="1">
      <c r="A64" s="12"/>
      <c r="B64" s="6"/>
      <c r="C64" s="7"/>
      <c r="D64" s="4"/>
      <c r="E64" s="13"/>
      <c r="F64" s="58"/>
      <c r="G64" s="14"/>
      <c r="H64" s="111">
        <f t="shared" si="10"/>
        <v>0</v>
      </c>
      <c r="I64" s="161">
        <f>IFERROR(H64/$H$100,0)</f>
        <v>0</v>
      </c>
      <c r="J64" s="139"/>
      <c r="K64" s="139"/>
      <c r="L64" s="139"/>
      <c r="M64" s="140"/>
      <c r="N64" s="134">
        <f t="shared" si="11"/>
        <v>0</v>
      </c>
      <c r="O64" s="715"/>
      <c r="P64" s="139"/>
      <c r="Q64" s="139"/>
      <c r="R64" s="139"/>
      <c r="S64" s="139"/>
      <c r="T64" s="140"/>
      <c r="U64" s="134">
        <f t="shared" si="2"/>
        <v>0</v>
      </c>
      <c r="V64" s="134"/>
    </row>
    <row r="65" spans="1:22" ht="18" customHeight="1">
      <c r="A65" s="12"/>
      <c r="B65" s="6"/>
      <c r="C65" s="7"/>
      <c r="D65" s="4"/>
      <c r="E65" s="13"/>
      <c r="F65" s="58"/>
      <c r="G65" s="14"/>
      <c r="H65" s="111">
        <f t="shared" si="10"/>
        <v>0</v>
      </c>
      <c r="I65" s="161">
        <f>IFERROR(H65/$H$100,0)</f>
        <v>0</v>
      </c>
      <c r="J65" s="139"/>
      <c r="K65" s="139"/>
      <c r="L65" s="139"/>
      <c r="M65" s="140"/>
      <c r="N65" s="134">
        <f t="shared" si="11"/>
        <v>0</v>
      </c>
      <c r="O65" s="715"/>
      <c r="P65" s="139"/>
      <c r="Q65" s="139"/>
      <c r="R65" s="139"/>
      <c r="S65" s="139"/>
      <c r="T65" s="140"/>
      <c r="U65" s="134">
        <f t="shared" si="2"/>
        <v>0</v>
      </c>
      <c r="V65" s="134"/>
    </row>
    <row r="66" spans="1:22" ht="18" customHeight="1">
      <c r="A66" s="12"/>
      <c r="B66" s="6"/>
      <c r="C66" s="7"/>
      <c r="D66" s="4"/>
      <c r="E66" s="13"/>
      <c r="F66" s="58"/>
      <c r="G66" s="14"/>
      <c r="H66" s="111">
        <f t="shared" ref="H66:H89" si="12">IFERROR(B66*C66*E66*F66*G66,0)</f>
        <v>0</v>
      </c>
      <c r="I66" s="161">
        <f t="shared" ref="I66:I89" si="13">IFERROR(H66/$H$100,0)</f>
        <v>0</v>
      </c>
      <c r="J66" s="139"/>
      <c r="K66" s="139"/>
      <c r="L66" s="139"/>
      <c r="M66" s="140"/>
      <c r="N66" s="134">
        <f t="shared" si="11"/>
        <v>0</v>
      </c>
      <c r="O66" s="715"/>
      <c r="P66" s="139"/>
      <c r="Q66" s="139"/>
      <c r="R66" s="139"/>
      <c r="S66" s="139"/>
      <c r="T66" s="140"/>
      <c r="U66" s="134">
        <f t="shared" si="2"/>
        <v>0</v>
      </c>
      <c r="V66" s="134"/>
    </row>
    <row r="67" spans="1:22" ht="18" customHeight="1">
      <c r="A67" s="12"/>
      <c r="B67" s="6"/>
      <c r="C67" s="7"/>
      <c r="D67" s="4"/>
      <c r="E67" s="13"/>
      <c r="F67" s="58"/>
      <c r="G67" s="14"/>
      <c r="H67" s="111">
        <f t="shared" si="12"/>
        <v>0</v>
      </c>
      <c r="I67" s="161">
        <f t="shared" si="13"/>
        <v>0</v>
      </c>
      <c r="J67" s="139"/>
      <c r="K67" s="139"/>
      <c r="L67" s="139"/>
      <c r="M67" s="140"/>
      <c r="N67" s="134">
        <f t="shared" si="11"/>
        <v>0</v>
      </c>
      <c r="O67" s="715"/>
      <c r="P67" s="139"/>
      <c r="Q67" s="139"/>
      <c r="R67" s="139"/>
      <c r="S67" s="139"/>
      <c r="T67" s="140"/>
      <c r="U67" s="134">
        <f t="shared" si="2"/>
        <v>0</v>
      </c>
      <c r="V67" s="134"/>
    </row>
    <row r="68" spans="1:22" ht="18" hidden="1" customHeight="1">
      <c r="A68" s="12"/>
      <c r="B68" s="6"/>
      <c r="C68" s="7"/>
      <c r="D68" s="4"/>
      <c r="E68" s="13"/>
      <c r="F68" s="58"/>
      <c r="G68" s="14"/>
      <c r="H68" s="111">
        <f t="shared" si="12"/>
        <v>0</v>
      </c>
      <c r="I68" s="161">
        <f t="shared" si="13"/>
        <v>0</v>
      </c>
      <c r="J68" s="139"/>
      <c r="K68" s="139"/>
      <c r="L68" s="139"/>
      <c r="M68" s="140"/>
      <c r="N68" s="134">
        <f t="shared" si="11"/>
        <v>0</v>
      </c>
      <c r="O68" s="715"/>
      <c r="P68" s="139"/>
      <c r="Q68" s="139"/>
      <c r="R68" s="139"/>
      <c r="S68" s="139"/>
      <c r="T68" s="140"/>
      <c r="U68" s="134">
        <f t="shared" si="2"/>
        <v>0</v>
      </c>
      <c r="V68" s="134"/>
    </row>
    <row r="69" spans="1:22" ht="18" hidden="1" customHeight="1">
      <c r="A69" s="12"/>
      <c r="B69" s="6"/>
      <c r="C69" s="7"/>
      <c r="D69" s="4"/>
      <c r="E69" s="13"/>
      <c r="F69" s="58"/>
      <c r="G69" s="14"/>
      <c r="H69" s="111">
        <f t="shared" si="12"/>
        <v>0</v>
      </c>
      <c r="I69" s="161">
        <f t="shared" si="13"/>
        <v>0</v>
      </c>
      <c r="J69" s="139"/>
      <c r="K69" s="139"/>
      <c r="L69" s="139"/>
      <c r="M69" s="140"/>
      <c r="N69" s="134">
        <f t="shared" si="11"/>
        <v>0</v>
      </c>
      <c r="O69" s="715"/>
      <c r="P69" s="139"/>
      <c r="Q69" s="139"/>
      <c r="R69" s="139"/>
      <c r="S69" s="139"/>
      <c r="T69" s="140"/>
      <c r="U69" s="134">
        <f t="shared" si="2"/>
        <v>0</v>
      </c>
      <c r="V69" s="134"/>
    </row>
    <row r="70" spans="1:22" ht="18" hidden="1" customHeight="1">
      <c r="A70" s="12"/>
      <c r="B70" s="6"/>
      <c r="C70" s="7"/>
      <c r="D70" s="4"/>
      <c r="E70" s="13"/>
      <c r="F70" s="58"/>
      <c r="G70" s="14"/>
      <c r="H70" s="111">
        <f t="shared" si="12"/>
        <v>0</v>
      </c>
      <c r="I70" s="161">
        <f t="shared" si="13"/>
        <v>0</v>
      </c>
      <c r="J70" s="139"/>
      <c r="K70" s="139"/>
      <c r="L70" s="139"/>
      <c r="M70" s="140"/>
      <c r="N70" s="134">
        <f t="shared" si="11"/>
        <v>0</v>
      </c>
      <c r="O70" s="715"/>
      <c r="P70" s="139"/>
      <c r="Q70" s="139"/>
      <c r="R70" s="139"/>
      <c r="S70" s="139"/>
      <c r="T70" s="140"/>
      <c r="U70" s="134">
        <f t="shared" si="2"/>
        <v>0</v>
      </c>
      <c r="V70" s="134"/>
    </row>
    <row r="71" spans="1:22" ht="18" hidden="1" customHeight="1">
      <c r="A71" s="12"/>
      <c r="B71" s="6"/>
      <c r="C71" s="7"/>
      <c r="D71" s="4"/>
      <c r="E71" s="13"/>
      <c r="F71" s="58"/>
      <c r="G71" s="14"/>
      <c r="H71" s="111">
        <f t="shared" si="12"/>
        <v>0</v>
      </c>
      <c r="I71" s="161">
        <f t="shared" si="13"/>
        <v>0</v>
      </c>
      <c r="J71" s="139"/>
      <c r="K71" s="139"/>
      <c r="L71" s="139"/>
      <c r="M71" s="140"/>
      <c r="N71" s="134">
        <f t="shared" si="11"/>
        <v>0</v>
      </c>
      <c r="O71" s="715"/>
      <c r="P71" s="139"/>
      <c r="Q71" s="139"/>
      <c r="R71" s="139"/>
      <c r="S71" s="139"/>
      <c r="T71" s="140"/>
      <c r="U71" s="134">
        <f t="shared" si="2"/>
        <v>0</v>
      </c>
      <c r="V71" s="134"/>
    </row>
    <row r="72" spans="1:22" ht="18" hidden="1" customHeight="1">
      <c r="A72" s="12"/>
      <c r="B72" s="6"/>
      <c r="C72" s="7"/>
      <c r="D72" s="4"/>
      <c r="E72" s="13"/>
      <c r="F72" s="58"/>
      <c r="G72" s="14"/>
      <c r="H72" s="111">
        <f t="shared" si="12"/>
        <v>0</v>
      </c>
      <c r="I72" s="161">
        <f t="shared" si="13"/>
        <v>0</v>
      </c>
      <c r="J72" s="139"/>
      <c r="K72" s="139"/>
      <c r="L72" s="139"/>
      <c r="M72" s="140"/>
      <c r="N72" s="134">
        <f t="shared" si="11"/>
        <v>0</v>
      </c>
      <c r="O72" s="715"/>
      <c r="P72" s="139"/>
      <c r="Q72" s="139"/>
      <c r="R72" s="139"/>
      <c r="S72" s="139"/>
      <c r="T72" s="140"/>
      <c r="U72" s="134">
        <f t="shared" si="2"/>
        <v>0</v>
      </c>
      <c r="V72" s="134"/>
    </row>
    <row r="73" spans="1:22" ht="18" hidden="1" customHeight="1">
      <c r="A73" s="12"/>
      <c r="B73" s="6"/>
      <c r="C73" s="7"/>
      <c r="D73" s="4"/>
      <c r="E73" s="13"/>
      <c r="F73" s="58"/>
      <c r="G73" s="14"/>
      <c r="H73" s="111">
        <f t="shared" si="12"/>
        <v>0</v>
      </c>
      <c r="I73" s="161">
        <f t="shared" si="13"/>
        <v>0</v>
      </c>
      <c r="J73" s="139"/>
      <c r="K73" s="139"/>
      <c r="L73" s="139"/>
      <c r="M73" s="140"/>
      <c r="N73" s="134">
        <f t="shared" si="11"/>
        <v>0</v>
      </c>
      <c r="O73" s="715"/>
      <c r="P73" s="139"/>
      <c r="Q73" s="139"/>
      <c r="R73" s="139"/>
      <c r="S73" s="139"/>
      <c r="T73" s="140"/>
      <c r="U73" s="134">
        <f t="shared" si="2"/>
        <v>0</v>
      </c>
      <c r="V73" s="134"/>
    </row>
    <row r="74" spans="1:22" ht="18" hidden="1" customHeight="1">
      <c r="A74" s="12"/>
      <c r="B74" s="6"/>
      <c r="C74" s="7"/>
      <c r="D74" s="4"/>
      <c r="E74" s="13"/>
      <c r="F74" s="58"/>
      <c r="G74" s="14"/>
      <c r="H74" s="111">
        <f t="shared" si="12"/>
        <v>0</v>
      </c>
      <c r="I74" s="161">
        <f t="shared" si="13"/>
        <v>0</v>
      </c>
      <c r="J74" s="139"/>
      <c r="K74" s="139"/>
      <c r="L74" s="139"/>
      <c r="M74" s="140"/>
      <c r="N74" s="134">
        <f t="shared" si="11"/>
        <v>0</v>
      </c>
      <c r="O74" s="715"/>
      <c r="P74" s="139"/>
      <c r="Q74" s="139"/>
      <c r="R74" s="139"/>
      <c r="S74" s="139"/>
      <c r="T74" s="140"/>
      <c r="U74" s="134">
        <f t="shared" si="2"/>
        <v>0</v>
      </c>
      <c r="V74" s="134"/>
    </row>
    <row r="75" spans="1:22" ht="18" hidden="1" customHeight="1">
      <c r="A75" s="12"/>
      <c r="B75" s="6"/>
      <c r="C75" s="7"/>
      <c r="D75" s="4"/>
      <c r="E75" s="13"/>
      <c r="F75" s="58"/>
      <c r="G75" s="14"/>
      <c r="H75" s="111">
        <f t="shared" si="12"/>
        <v>0</v>
      </c>
      <c r="I75" s="161">
        <f t="shared" si="13"/>
        <v>0</v>
      </c>
      <c r="J75" s="139"/>
      <c r="K75" s="139"/>
      <c r="L75" s="139"/>
      <c r="M75" s="140"/>
      <c r="N75" s="134">
        <f t="shared" si="11"/>
        <v>0</v>
      </c>
      <c r="O75" s="715"/>
      <c r="P75" s="139"/>
      <c r="Q75" s="139"/>
      <c r="R75" s="139"/>
      <c r="S75" s="139"/>
      <c r="T75" s="140"/>
      <c r="U75" s="134">
        <f t="shared" si="2"/>
        <v>0</v>
      </c>
      <c r="V75" s="134"/>
    </row>
    <row r="76" spans="1:22" ht="18" hidden="1" customHeight="1">
      <c r="A76" s="12"/>
      <c r="B76" s="6"/>
      <c r="C76" s="7"/>
      <c r="D76" s="4"/>
      <c r="E76" s="13"/>
      <c r="F76" s="58"/>
      <c r="G76" s="14"/>
      <c r="H76" s="111">
        <f t="shared" si="12"/>
        <v>0</v>
      </c>
      <c r="I76" s="161">
        <f t="shared" si="13"/>
        <v>0</v>
      </c>
      <c r="J76" s="139"/>
      <c r="K76" s="139"/>
      <c r="L76" s="139"/>
      <c r="M76" s="140"/>
      <c r="N76" s="134">
        <f t="shared" si="11"/>
        <v>0</v>
      </c>
      <c r="O76" s="715"/>
      <c r="P76" s="139"/>
      <c r="Q76" s="139"/>
      <c r="R76" s="139"/>
      <c r="S76" s="139"/>
      <c r="T76" s="140"/>
      <c r="U76" s="134">
        <f t="shared" si="2"/>
        <v>0</v>
      </c>
      <c r="V76" s="134"/>
    </row>
    <row r="77" spans="1:22" ht="18" hidden="1" customHeight="1">
      <c r="A77" s="12"/>
      <c r="B77" s="6"/>
      <c r="C77" s="7"/>
      <c r="D77" s="4"/>
      <c r="E77" s="13"/>
      <c r="F77" s="58"/>
      <c r="G77" s="14"/>
      <c r="H77" s="111">
        <f t="shared" si="12"/>
        <v>0</v>
      </c>
      <c r="I77" s="161">
        <f t="shared" si="13"/>
        <v>0</v>
      </c>
      <c r="J77" s="139"/>
      <c r="K77" s="139"/>
      <c r="L77" s="139"/>
      <c r="M77" s="140"/>
      <c r="N77" s="134">
        <f t="shared" si="11"/>
        <v>0</v>
      </c>
      <c r="O77" s="715"/>
      <c r="P77" s="139"/>
      <c r="Q77" s="139"/>
      <c r="R77" s="139"/>
      <c r="S77" s="139"/>
      <c r="T77" s="140"/>
      <c r="U77" s="134">
        <f t="shared" ref="U77:U140" si="14">J77-SUM(O77:T77)</f>
        <v>0</v>
      </c>
      <c r="V77" s="134"/>
    </row>
    <row r="78" spans="1:22" ht="18" hidden="1" customHeight="1">
      <c r="A78" s="12"/>
      <c r="B78" s="6"/>
      <c r="C78" s="7"/>
      <c r="D78" s="4"/>
      <c r="E78" s="13"/>
      <c r="F78" s="58"/>
      <c r="G78" s="14"/>
      <c r="H78" s="111">
        <f t="shared" si="12"/>
        <v>0</v>
      </c>
      <c r="I78" s="161">
        <f t="shared" si="13"/>
        <v>0</v>
      </c>
      <c r="J78" s="139"/>
      <c r="K78" s="139"/>
      <c r="L78" s="139"/>
      <c r="M78" s="140"/>
      <c r="N78" s="134">
        <f t="shared" si="11"/>
        <v>0</v>
      </c>
      <c r="O78" s="715"/>
      <c r="P78" s="139"/>
      <c r="Q78" s="139"/>
      <c r="R78" s="139"/>
      <c r="S78" s="139"/>
      <c r="T78" s="140"/>
      <c r="U78" s="134">
        <f t="shared" si="14"/>
        <v>0</v>
      </c>
      <c r="V78" s="134"/>
    </row>
    <row r="79" spans="1:22" ht="18" hidden="1" customHeight="1">
      <c r="A79" s="12"/>
      <c r="B79" s="6"/>
      <c r="C79" s="7"/>
      <c r="D79" s="4"/>
      <c r="E79" s="13"/>
      <c r="F79" s="58"/>
      <c r="G79" s="14"/>
      <c r="H79" s="111">
        <f t="shared" si="12"/>
        <v>0</v>
      </c>
      <c r="I79" s="161">
        <f t="shared" si="13"/>
        <v>0</v>
      </c>
      <c r="J79" s="139"/>
      <c r="K79" s="139"/>
      <c r="L79" s="139"/>
      <c r="M79" s="140"/>
      <c r="N79" s="134">
        <f t="shared" si="11"/>
        <v>0</v>
      </c>
      <c r="O79" s="715"/>
      <c r="P79" s="139"/>
      <c r="Q79" s="139"/>
      <c r="R79" s="139"/>
      <c r="S79" s="139"/>
      <c r="T79" s="140"/>
      <c r="U79" s="134">
        <f t="shared" si="14"/>
        <v>0</v>
      </c>
      <c r="V79" s="134"/>
    </row>
    <row r="80" spans="1:22" ht="18" hidden="1" customHeight="1">
      <c r="A80" s="12"/>
      <c r="B80" s="6"/>
      <c r="C80" s="7"/>
      <c r="D80" s="4"/>
      <c r="E80" s="13"/>
      <c r="F80" s="58"/>
      <c r="G80" s="14"/>
      <c r="H80" s="111">
        <f t="shared" si="12"/>
        <v>0</v>
      </c>
      <c r="I80" s="161">
        <f t="shared" si="13"/>
        <v>0</v>
      </c>
      <c r="J80" s="139"/>
      <c r="K80" s="139"/>
      <c r="L80" s="139"/>
      <c r="M80" s="140"/>
      <c r="N80" s="134">
        <f t="shared" si="11"/>
        <v>0</v>
      </c>
      <c r="O80" s="715"/>
      <c r="P80" s="139"/>
      <c r="Q80" s="139"/>
      <c r="R80" s="139"/>
      <c r="S80" s="139"/>
      <c r="T80" s="140"/>
      <c r="U80" s="134">
        <f t="shared" si="14"/>
        <v>0</v>
      </c>
      <c r="V80" s="134"/>
    </row>
    <row r="81" spans="1:22" ht="18" hidden="1" customHeight="1">
      <c r="A81" s="12"/>
      <c r="B81" s="6"/>
      <c r="C81" s="7"/>
      <c r="D81" s="4"/>
      <c r="E81" s="13"/>
      <c r="F81" s="58"/>
      <c r="G81" s="14"/>
      <c r="H81" s="111">
        <f t="shared" si="12"/>
        <v>0</v>
      </c>
      <c r="I81" s="161">
        <f t="shared" si="13"/>
        <v>0</v>
      </c>
      <c r="J81" s="139"/>
      <c r="K81" s="139"/>
      <c r="L81" s="139"/>
      <c r="M81" s="140"/>
      <c r="N81" s="134">
        <f t="shared" si="11"/>
        <v>0</v>
      </c>
      <c r="O81" s="715"/>
      <c r="P81" s="139"/>
      <c r="Q81" s="139"/>
      <c r="R81" s="139"/>
      <c r="S81" s="139"/>
      <c r="T81" s="140"/>
      <c r="U81" s="134">
        <f t="shared" si="14"/>
        <v>0</v>
      </c>
      <c r="V81" s="134"/>
    </row>
    <row r="82" spans="1:22" ht="18" hidden="1" customHeight="1">
      <c r="A82" s="12"/>
      <c r="B82" s="6"/>
      <c r="C82" s="7"/>
      <c r="D82" s="4"/>
      <c r="E82" s="13"/>
      <c r="F82" s="58"/>
      <c r="G82" s="14"/>
      <c r="H82" s="111">
        <f t="shared" si="12"/>
        <v>0</v>
      </c>
      <c r="I82" s="161">
        <f t="shared" si="13"/>
        <v>0</v>
      </c>
      <c r="J82" s="139"/>
      <c r="K82" s="139"/>
      <c r="L82" s="139"/>
      <c r="M82" s="140"/>
      <c r="N82" s="134">
        <f t="shared" si="11"/>
        <v>0</v>
      </c>
      <c r="O82" s="715"/>
      <c r="P82" s="139"/>
      <c r="Q82" s="139"/>
      <c r="R82" s="139"/>
      <c r="S82" s="139"/>
      <c r="T82" s="140"/>
      <c r="U82" s="134">
        <f t="shared" si="14"/>
        <v>0</v>
      </c>
      <c r="V82" s="134"/>
    </row>
    <row r="83" spans="1:22" ht="18" hidden="1" customHeight="1">
      <c r="A83" s="12"/>
      <c r="B83" s="6"/>
      <c r="C83" s="7"/>
      <c r="D83" s="4"/>
      <c r="E83" s="13"/>
      <c r="F83" s="58"/>
      <c r="G83" s="14"/>
      <c r="H83" s="111">
        <f t="shared" si="12"/>
        <v>0</v>
      </c>
      <c r="I83" s="161">
        <f t="shared" si="13"/>
        <v>0</v>
      </c>
      <c r="J83" s="139"/>
      <c r="K83" s="139"/>
      <c r="L83" s="139"/>
      <c r="M83" s="140"/>
      <c r="N83" s="134">
        <f t="shared" si="11"/>
        <v>0</v>
      </c>
      <c r="O83" s="715"/>
      <c r="P83" s="139"/>
      <c r="Q83" s="139"/>
      <c r="R83" s="139"/>
      <c r="S83" s="139"/>
      <c r="T83" s="140"/>
      <c r="U83" s="134">
        <f t="shared" si="14"/>
        <v>0</v>
      </c>
      <c r="V83" s="134"/>
    </row>
    <row r="84" spans="1:22" ht="18" hidden="1" customHeight="1">
      <c r="A84" s="12"/>
      <c r="B84" s="6"/>
      <c r="C84" s="7"/>
      <c r="D84" s="4"/>
      <c r="E84" s="13"/>
      <c r="F84" s="58"/>
      <c r="G84" s="14"/>
      <c r="H84" s="111">
        <f t="shared" si="12"/>
        <v>0</v>
      </c>
      <c r="I84" s="161">
        <f t="shared" si="13"/>
        <v>0</v>
      </c>
      <c r="J84" s="139"/>
      <c r="K84" s="139"/>
      <c r="L84" s="139"/>
      <c r="M84" s="140"/>
      <c r="N84" s="134">
        <f t="shared" si="11"/>
        <v>0</v>
      </c>
      <c r="O84" s="715"/>
      <c r="P84" s="139"/>
      <c r="Q84" s="139"/>
      <c r="R84" s="139"/>
      <c r="S84" s="139"/>
      <c r="T84" s="140"/>
      <c r="U84" s="134">
        <f t="shared" si="14"/>
        <v>0</v>
      </c>
      <c r="V84" s="134"/>
    </row>
    <row r="85" spans="1:22" ht="18" hidden="1" customHeight="1">
      <c r="A85" s="12"/>
      <c r="B85" s="6"/>
      <c r="C85" s="7"/>
      <c r="D85" s="4"/>
      <c r="E85" s="13"/>
      <c r="F85" s="58"/>
      <c r="G85" s="14"/>
      <c r="H85" s="111">
        <f t="shared" si="12"/>
        <v>0</v>
      </c>
      <c r="I85" s="161">
        <f t="shared" si="13"/>
        <v>0</v>
      </c>
      <c r="J85" s="139"/>
      <c r="K85" s="139"/>
      <c r="L85" s="139"/>
      <c r="M85" s="140"/>
      <c r="N85" s="134">
        <f t="shared" si="11"/>
        <v>0</v>
      </c>
      <c r="O85" s="715"/>
      <c r="P85" s="139"/>
      <c r="Q85" s="139"/>
      <c r="R85" s="139"/>
      <c r="S85" s="139"/>
      <c r="T85" s="140"/>
      <c r="U85" s="134">
        <f t="shared" si="14"/>
        <v>0</v>
      </c>
      <c r="V85" s="134"/>
    </row>
    <row r="86" spans="1:22" ht="18" hidden="1" customHeight="1">
      <c r="A86" s="12"/>
      <c r="B86" s="6"/>
      <c r="C86" s="7"/>
      <c r="D86" s="4"/>
      <c r="E86" s="13"/>
      <c r="F86" s="58"/>
      <c r="G86" s="14"/>
      <c r="H86" s="111">
        <f t="shared" si="12"/>
        <v>0</v>
      </c>
      <c r="I86" s="161">
        <f t="shared" si="13"/>
        <v>0</v>
      </c>
      <c r="J86" s="139"/>
      <c r="K86" s="139"/>
      <c r="L86" s="139"/>
      <c r="M86" s="140"/>
      <c r="N86" s="134">
        <f t="shared" si="11"/>
        <v>0</v>
      </c>
      <c r="O86" s="715"/>
      <c r="P86" s="139"/>
      <c r="Q86" s="139"/>
      <c r="R86" s="139"/>
      <c r="S86" s="139"/>
      <c r="T86" s="140"/>
      <c r="U86" s="134">
        <f t="shared" si="14"/>
        <v>0</v>
      </c>
      <c r="V86" s="134"/>
    </row>
    <row r="87" spans="1:22" ht="18" hidden="1" customHeight="1">
      <c r="A87" s="12"/>
      <c r="B87" s="6"/>
      <c r="C87" s="7"/>
      <c r="D87" s="4"/>
      <c r="E87" s="13"/>
      <c r="F87" s="58"/>
      <c r="G87" s="14"/>
      <c r="H87" s="111">
        <f t="shared" si="12"/>
        <v>0</v>
      </c>
      <c r="I87" s="161">
        <f t="shared" si="13"/>
        <v>0</v>
      </c>
      <c r="J87" s="139"/>
      <c r="K87" s="139"/>
      <c r="L87" s="139"/>
      <c r="M87" s="140"/>
      <c r="N87" s="134">
        <f t="shared" si="11"/>
        <v>0</v>
      </c>
      <c r="O87" s="715"/>
      <c r="P87" s="139"/>
      <c r="Q87" s="139"/>
      <c r="R87" s="139"/>
      <c r="S87" s="139"/>
      <c r="T87" s="140"/>
      <c r="U87" s="134">
        <f t="shared" si="14"/>
        <v>0</v>
      </c>
      <c r="V87" s="134"/>
    </row>
    <row r="88" spans="1:22" ht="18" hidden="1" customHeight="1">
      <c r="A88" s="12"/>
      <c r="B88" s="6"/>
      <c r="C88" s="7"/>
      <c r="D88" s="4"/>
      <c r="E88" s="13"/>
      <c r="F88" s="58"/>
      <c r="G88" s="14"/>
      <c r="H88" s="111">
        <f t="shared" si="12"/>
        <v>0</v>
      </c>
      <c r="I88" s="161">
        <f t="shared" si="13"/>
        <v>0</v>
      </c>
      <c r="J88" s="139"/>
      <c r="K88" s="139"/>
      <c r="L88" s="139"/>
      <c r="M88" s="140"/>
      <c r="N88" s="134">
        <f t="shared" si="11"/>
        <v>0</v>
      </c>
      <c r="O88" s="715"/>
      <c r="P88" s="139"/>
      <c r="Q88" s="139"/>
      <c r="R88" s="139"/>
      <c r="S88" s="139"/>
      <c r="T88" s="140"/>
      <c r="U88" s="134">
        <f t="shared" si="14"/>
        <v>0</v>
      </c>
      <c r="V88" s="134"/>
    </row>
    <row r="89" spans="1:22" ht="18" hidden="1" customHeight="1">
      <c r="A89" s="12"/>
      <c r="B89" s="6"/>
      <c r="C89" s="7"/>
      <c r="D89" s="4"/>
      <c r="E89" s="13"/>
      <c r="F89" s="58"/>
      <c r="G89" s="14"/>
      <c r="H89" s="111">
        <f t="shared" si="12"/>
        <v>0</v>
      </c>
      <c r="I89" s="161">
        <f t="shared" si="13"/>
        <v>0</v>
      </c>
      <c r="J89" s="139"/>
      <c r="K89" s="139"/>
      <c r="L89" s="139"/>
      <c r="M89" s="140"/>
      <c r="N89" s="134">
        <f t="shared" si="11"/>
        <v>0</v>
      </c>
      <c r="O89" s="715"/>
      <c r="P89" s="139"/>
      <c r="Q89" s="139"/>
      <c r="R89" s="139"/>
      <c r="S89" s="139"/>
      <c r="T89" s="140"/>
      <c r="U89" s="134">
        <f t="shared" si="14"/>
        <v>0</v>
      </c>
      <c r="V89" s="134"/>
    </row>
    <row r="90" spans="1:22" ht="18" hidden="1" customHeight="1">
      <c r="A90" s="12"/>
      <c r="B90" s="6"/>
      <c r="C90" s="7"/>
      <c r="D90" s="4"/>
      <c r="E90" s="13"/>
      <c r="F90" s="58"/>
      <c r="G90" s="14"/>
      <c r="H90" s="111">
        <f t="shared" si="10"/>
        <v>0</v>
      </c>
      <c r="I90" s="161">
        <f t="shared" ref="I90:I98" si="15">IFERROR(H90/$H$100,0)</f>
        <v>0</v>
      </c>
      <c r="J90" s="139"/>
      <c r="K90" s="139"/>
      <c r="L90" s="139"/>
      <c r="M90" s="140"/>
      <c r="N90" s="134">
        <f t="shared" si="11"/>
        <v>0</v>
      </c>
      <c r="O90" s="715"/>
      <c r="P90" s="139"/>
      <c r="Q90" s="139"/>
      <c r="R90" s="139"/>
      <c r="S90" s="139"/>
      <c r="T90" s="140"/>
      <c r="U90" s="134">
        <f t="shared" si="14"/>
        <v>0</v>
      </c>
      <c r="V90" s="134"/>
    </row>
    <row r="91" spans="1:22" ht="18" hidden="1" customHeight="1">
      <c r="A91" s="12"/>
      <c r="B91" s="6"/>
      <c r="C91" s="7"/>
      <c r="D91" s="4"/>
      <c r="E91" s="13"/>
      <c r="F91" s="58"/>
      <c r="G91" s="14"/>
      <c r="H91" s="111">
        <f t="shared" si="10"/>
        <v>0</v>
      </c>
      <c r="I91" s="161">
        <f t="shared" si="15"/>
        <v>0</v>
      </c>
      <c r="J91" s="139"/>
      <c r="K91" s="139"/>
      <c r="L91" s="139"/>
      <c r="M91" s="140"/>
      <c r="N91" s="134">
        <f t="shared" si="11"/>
        <v>0</v>
      </c>
      <c r="O91" s="715"/>
      <c r="P91" s="139"/>
      <c r="Q91" s="139"/>
      <c r="R91" s="139"/>
      <c r="S91" s="139"/>
      <c r="T91" s="140"/>
      <c r="U91" s="134">
        <f t="shared" si="14"/>
        <v>0</v>
      </c>
      <c r="V91" s="134"/>
    </row>
    <row r="92" spans="1:22" ht="18" hidden="1" customHeight="1">
      <c r="A92" s="12"/>
      <c r="B92" s="6"/>
      <c r="C92" s="7"/>
      <c r="D92" s="4"/>
      <c r="E92" s="13"/>
      <c r="F92" s="58"/>
      <c r="G92" s="14"/>
      <c r="H92" s="111">
        <f t="shared" si="10"/>
        <v>0</v>
      </c>
      <c r="I92" s="161">
        <f t="shared" si="15"/>
        <v>0</v>
      </c>
      <c r="J92" s="139"/>
      <c r="K92" s="139"/>
      <c r="L92" s="139"/>
      <c r="M92" s="140"/>
      <c r="N92" s="134">
        <f t="shared" si="11"/>
        <v>0</v>
      </c>
      <c r="O92" s="715"/>
      <c r="P92" s="139"/>
      <c r="Q92" s="139"/>
      <c r="R92" s="139"/>
      <c r="S92" s="139"/>
      <c r="T92" s="140"/>
      <c r="U92" s="134">
        <f t="shared" si="14"/>
        <v>0</v>
      </c>
      <c r="V92" s="134"/>
    </row>
    <row r="93" spans="1:22" ht="18" hidden="1" customHeight="1">
      <c r="A93" s="12"/>
      <c r="B93" s="6"/>
      <c r="C93" s="7"/>
      <c r="D93" s="4"/>
      <c r="E93" s="13"/>
      <c r="F93" s="58"/>
      <c r="G93" s="14"/>
      <c r="H93" s="111">
        <f t="shared" si="10"/>
        <v>0</v>
      </c>
      <c r="I93" s="161">
        <f t="shared" si="15"/>
        <v>0</v>
      </c>
      <c r="J93" s="139"/>
      <c r="K93" s="139"/>
      <c r="L93" s="139"/>
      <c r="M93" s="140"/>
      <c r="N93" s="134">
        <f t="shared" si="11"/>
        <v>0</v>
      </c>
      <c r="O93" s="715"/>
      <c r="P93" s="139"/>
      <c r="Q93" s="139"/>
      <c r="R93" s="139"/>
      <c r="S93" s="139"/>
      <c r="T93" s="140"/>
      <c r="U93" s="134">
        <f t="shared" si="14"/>
        <v>0</v>
      </c>
      <c r="V93" s="134"/>
    </row>
    <row r="94" spans="1:22" ht="18" hidden="1" customHeight="1">
      <c r="A94" s="12"/>
      <c r="B94" s="6"/>
      <c r="C94" s="7"/>
      <c r="D94" s="4"/>
      <c r="E94" s="13"/>
      <c r="F94" s="58"/>
      <c r="G94" s="14"/>
      <c r="H94" s="111">
        <f t="shared" si="10"/>
        <v>0</v>
      </c>
      <c r="I94" s="161">
        <f t="shared" si="15"/>
        <v>0</v>
      </c>
      <c r="J94" s="139"/>
      <c r="K94" s="139"/>
      <c r="L94" s="139"/>
      <c r="M94" s="140"/>
      <c r="N94" s="134">
        <f t="shared" si="11"/>
        <v>0</v>
      </c>
      <c r="O94" s="715"/>
      <c r="P94" s="139"/>
      <c r="Q94" s="139"/>
      <c r="R94" s="139"/>
      <c r="S94" s="139"/>
      <c r="T94" s="140"/>
      <c r="U94" s="134">
        <f t="shared" si="14"/>
        <v>0</v>
      </c>
      <c r="V94" s="134"/>
    </row>
    <row r="95" spans="1:22" ht="18" hidden="1" customHeight="1">
      <c r="A95" s="12"/>
      <c r="B95" s="6"/>
      <c r="C95" s="7"/>
      <c r="D95" s="4"/>
      <c r="E95" s="13"/>
      <c r="F95" s="58"/>
      <c r="G95" s="14"/>
      <c r="H95" s="111">
        <f t="shared" si="10"/>
        <v>0</v>
      </c>
      <c r="I95" s="161">
        <f t="shared" si="15"/>
        <v>0</v>
      </c>
      <c r="J95" s="139"/>
      <c r="K95" s="139"/>
      <c r="L95" s="139"/>
      <c r="M95" s="140"/>
      <c r="N95" s="134">
        <f t="shared" si="11"/>
        <v>0</v>
      </c>
      <c r="O95" s="715"/>
      <c r="P95" s="139"/>
      <c r="Q95" s="139"/>
      <c r="R95" s="139"/>
      <c r="S95" s="139"/>
      <c r="T95" s="140"/>
      <c r="U95" s="134">
        <f t="shared" si="14"/>
        <v>0</v>
      </c>
      <c r="V95" s="134"/>
    </row>
    <row r="96" spans="1:22" ht="18" hidden="1" customHeight="1">
      <c r="A96" s="12"/>
      <c r="B96" s="6"/>
      <c r="C96" s="7"/>
      <c r="D96" s="4"/>
      <c r="E96" s="13"/>
      <c r="F96" s="58"/>
      <c r="G96" s="14"/>
      <c r="H96" s="111">
        <f t="shared" si="10"/>
        <v>0</v>
      </c>
      <c r="I96" s="161">
        <f t="shared" si="15"/>
        <v>0</v>
      </c>
      <c r="J96" s="139"/>
      <c r="K96" s="139"/>
      <c r="L96" s="139"/>
      <c r="M96" s="140"/>
      <c r="N96" s="134">
        <f t="shared" si="11"/>
        <v>0</v>
      </c>
      <c r="O96" s="715"/>
      <c r="P96" s="139"/>
      <c r="Q96" s="139"/>
      <c r="R96" s="139"/>
      <c r="S96" s="139"/>
      <c r="T96" s="140"/>
      <c r="U96" s="134">
        <f t="shared" si="14"/>
        <v>0</v>
      </c>
      <c r="V96" s="134"/>
    </row>
    <row r="97" spans="1:22" ht="18" hidden="1" customHeight="1">
      <c r="A97" s="12"/>
      <c r="B97" s="6"/>
      <c r="C97" s="7"/>
      <c r="D97" s="4"/>
      <c r="E97" s="13"/>
      <c r="F97" s="4"/>
      <c r="G97" s="14"/>
      <c r="H97" s="111">
        <f t="shared" si="10"/>
        <v>0</v>
      </c>
      <c r="I97" s="161">
        <f t="shared" si="15"/>
        <v>0</v>
      </c>
      <c r="J97" s="135"/>
      <c r="K97" s="135"/>
      <c r="L97" s="135"/>
      <c r="M97" s="136"/>
      <c r="N97" s="134">
        <f t="shared" si="11"/>
        <v>0</v>
      </c>
      <c r="O97" s="715"/>
      <c r="P97" s="139"/>
      <c r="Q97" s="139"/>
      <c r="R97" s="139"/>
      <c r="S97" s="139"/>
      <c r="T97" s="140"/>
      <c r="U97" s="134">
        <f t="shared" si="14"/>
        <v>0</v>
      </c>
      <c r="V97" s="134"/>
    </row>
    <row r="98" spans="1:22" ht="18" hidden="1" customHeight="1">
      <c r="A98" s="12"/>
      <c r="B98" s="6"/>
      <c r="C98" s="7"/>
      <c r="D98" s="4"/>
      <c r="E98" s="13"/>
      <c r="F98" s="4"/>
      <c r="G98" s="14"/>
      <c r="H98" s="111">
        <f t="shared" si="10"/>
        <v>0</v>
      </c>
      <c r="I98" s="161">
        <f t="shared" si="15"/>
        <v>0</v>
      </c>
      <c r="J98" s="135"/>
      <c r="K98" s="135"/>
      <c r="L98" s="135"/>
      <c r="M98" s="136"/>
      <c r="N98" s="134">
        <f t="shared" si="11"/>
        <v>0</v>
      </c>
      <c r="O98" s="715"/>
      <c r="P98" s="139"/>
      <c r="Q98" s="139"/>
      <c r="R98" s="139"/>
      <c r="S98" s="139"/>
      <c r="T98" s="140"/>
      <c r="U98" s="134">
        <f t="shared" si="14"/>
        <v>0</v>
      </c>
      <c r="V98" s="134"/>
    </row>
    <row r="99" spans="1:22" ht="18" customHeight="1">
      <c r="A99" s="1115" t="s">
        <v>402</v>
      </c>
      <c r="B99" s="1116"/>
      <c r="C99" s="1116"/>
      <c r="D99" s="1116"/>
      <c r="E99" s="1116"/>
      <c r="F99" s="1116"/>
      <c r="G99" s="1116"/>
      <c r="H99" s="112">
        <f>SUM(H63:H98)</f>
        <v>0</v>
      </c>
      <c r="I99" s="160">
        <f>SUM(I63:I98)</f>
        <v>0</v>
      </c>
      <c r="J99" s="137">
        <f>SUM(J63:J98)</f>
        <v>0</v>
      </c>
      <c r="K99" s="137">
        <f t="shared" ref="K99:L99" si="16">SUM(K63:K98)</f>
        <v>0</v>
      </c>
      <c r="L99" s="137">
        <f t="shared" si="16"/>
        <v>0</v>
      </c>
      <c r="M99" s="138">
        <f>SUM(M63:M98)</f>
        <v>0</v>
      </c>
      <c r="N99" s="134">
        <f t="shared" si="11"/>
        <v>0</v>
      </c>
      <c r="O99" s="715"/>
      <c r="P99" s="139"/>
      <c r="Q99" s="139"/>
      <c r="R99" s="139"/>
      <c r="S99" s="139"/>
      <c r="T99" s="140"/>
      <c r="U99" s="134"/>
      <c r="V99" s="134"/>
    </row>
    <row r="100" spans="1:22" ht="18" customHeight="1" thickBot="1">
      <c r="A100" s="1098" t="s">
        <v>403</v>
      </c>
      <c r="B100" s="1099"/>
      <c r="C100" s="1099"/>
      <c r="D100" s="1099"/>
      <c r="E100" s="1099"/>
      <c r="F100" s="1099"/>
      <c r="G100" s="1099"/>
      <c r="H100" s="113">
        <f>H61+H99</f>
        <v>0</v>
      </c>
      <c r="I100" s="162">
        <f>I61+I99</f>
        <v>0</v>
      </c>
      <c r="J100" s="141">
        <f>J61+J99</f>
        <v>0</v>
      </c>
      <c r="K100" s="141">
        <f t="shared" ref="K100:M100" si="17">K61+K99</f>
        <v>0</v>
      </c>
      <c r="L100" s="141">
        <f t="shared" si="17"/>
        <v>0</v>
      </c>
      <c r="M100" s="142">
        <f t="shared" si="17"/>
        <v>0</v>
      </c>
      <c r="N100" s="134">
        <f t="shared" si="11"/>
        <v>0</v>
      </c>
      <c r="O100" s="715"/>
      <c r="P100" s="139"/>
      <c r="Q100" s="139"/>
      <c r="R100" s="139"/>
      <c r="S100" s="139"/>
      <c r="T100" s="140"/>
      <c r="U100" s="134"/>
      <c r="V100" s="134"/>
    </row>
    <row r="101" spans="1:22" ht="18" customHeight="1" thickBot="1">
      <c r="A101" s="114"/>
      <c r="B101" s="114"/>
      <c r="C101" s="114"/>
      <c r="D101" s="115"/>
      <c r="E101" s="115"/>
      <c r="F101" s="115"/>
      <c r="G101" s="115"/>
      <c r="H101" s="116"/>
      <c r="J101" s="143"/>
      <c r="K101" s="143"/>
      <c r="L101" s="143"/>
      <c r="M101" s="143"/>
      <c r="N101" s="134"/>
      <c r="O101" s="715"/>
      <c r="P101" s="139"/>
      <c r="Q101" s="139"/>
      <c r="R101" s="139"/>
      <c r="S101" s="139"/>
      <c r="T101" s="140"/>
      <c r="U101" s="134"/>
      <c r="V101" s="134"/>
    </row>
    <row r="102" spans="1:22" ht="18" customHeight="1">
      <c r="A102" s="1069" t="s">
        <v>404</v>
      </c>
      <c r="B102" s="1070"/>
      <c r="C102" s="1070"/>
      <c r="D102" s="1070"/>
      <c r="E102" s="1070"/>
      <c r="F102" s="1070"/>
      <c r="G102" s="1070"/>
      <c r="H102" s="1070"/>
      <c r="I102" s="1124"/>
      <c r="J102" s="1110" t="s">
        <v>433</v>
      </c>
      <c r="K102" s="1110"/>
      <c r="L102" s="1110"/>
      <c r="M102" s="1111"/>
      <c r="N102" s="134"/>
      <c r="O102" s="715"/>
      <c r="P102" s="139"/>
      <c r="Q102" s="139"/>
      <c r="R102" s="139"/>
      <c r="S102" s="139"/>
      <c r="T102" s="140"/>
      <c r="U102" s="134"/>
      <c r="V102" s="134"/>
    </row>
    <row r="103" spans="1:22" ht="18" customHeight="1">
      <c r="A103" s="1139" t="s">
        <v>391</v>
      </c>
      <c r="B103" s="1140"/>
      <c r="C103" s="1141"/>
      <c r="D103" s="1125" t="s">
        <v>122</v>
      </c>
      <c r="E103" s="1125" t="s">
        <v>394</v>
      </c>
      <c r="F103" s="1145" t="s">
        <v>405</v>
      </c>
      <c r="G103" s="1141"/>
      <c r="H103" s="1125" t="s">
        <v>397</v>
      </c>
      <c r="I103" s="1136" t="s">
        <v>398</v>
      </c>
      <c r="J103" s="1113" t="s">
        <v>435</v>
      </c>
      <c r="K103" s="1113"/>
      <c r="L103" s="1113" t="s">
        <v>439</v>
      </c>
      <c r="M103" s="1138"/>
      <c r="N103" s="134"/>
      <c r="O103" s="715"/>
      <c r="P103" s="139"/>
      <c r="Q103" s="139"/>
      <c r="R103" s="139"/>
      <c r="S103" s="139"/>
      <c r="T103" s="140"/>
      <c r="U103" s="134"/>
      <c r="V103" s="134"/>
    </row>
    <row r="104" spans="1:22" ht="18" customHeight="1">
      <c r="A104" s="1142"/>
      <c r="B104" s="1143"/>
      <c r="C104" s="1144"/>
      <c r="D104" s="1126"/>
      <c r="E104" s="1126"/>
      <c r="F104" s="1146"/>
      <c r="G104" s="1144"/>
      <c r="H104" s="1126"/>
      <c r="I104" s="1137"/>
      <c r="J104" s="144" t="s">
        <v>437</v>
      </c>
      <c r="K104" s="144" t="s">
        <v>438</v>
      </c>
      <c r="L104" s="144" t="s">
        <v>437</v>
      </c>
      <c r="M104" s="145" t="s">
        <v>438</v>
      </c>
      <c r="N104" s="134"/>
      <c r="O104" s="715"/>
      <c r="P104" s="139"/>
      <c r="Q104" s="139"/>
      <c r="R104" s="139"/>
      <c r="S104" s="139"/>
      <c r="T104" s="140"/>
      <c r="U104" s="134"/>
      <c r="V104" s="134"/>
    </row>
    <row r="105" spans="1:22" ht="18" customHeight="1">
      <c r="A105" s="1039"/>
      <c r="B105" s="1040"/>
      <c r="C105" s="1040"/>
      <c r="D105" s="118"/>
      <c r="E105" s="694"/>
      <c r="F105" s="1041"/>
      <c r="G105" s="1042"/>
      <c r="H105" s="695">
        <f>+F105*E105</f>
        <v>0</v>
      </c>
      <c r="I105" s="163">
        <f t="shared" ref="I105:I114" si="18">IFERROR(H105/$H$149,0)</f>
        <v>0</v>
      </c>
      <c r="J105" s="139"/>
      <c r="K105" s="139"/>
      <c r="L105" s="139"/>
      <c r="M105" s="140"/>
      <c r="N105" s="134">
        <f t="shared" si="11"/>
        <v>0</v>
      </c>
      <c r="O105" s="715"/>
      <c r="P105" s="139"/>
      <c r="Q105" s="139"/>
      <c r="R105" s="139"/>
      <c r="S105" s="139"/>
      <c r="T105" s="140"/>
      <c r="U105" s="134">
        <f t="shared" si="14"/>
        <v>0</v>
      </c>
      <c r="V105" s="134"/>
    </row>
    <row r="106" spans="1:22" ht="18" customHeight="1">
      <c r="A106" s="1039"/>
      <c r="B106" s="1040"/>
      <c r="C106" s="1040"/>
      <c r="D106" s="118"/>
      <c r="E106" s="696"/>
      <c r="F106" s="1041"/>
      <c r="G106" s="1042"/>
      <c r="H106" s="695">
        <f>+F106*E106</f>
        <v>0</v>
      </c>
      <c r="I106" s="163">
        <f t="shared" si="18"/>
        <v>0</v>
      </c>
      <c r="J106" s="139"/>
      <c r="K106" s="139"/>
      <c r="L106" s="139"/>
      <c r="M106" s="140"/>
      <c r="N106" s="134">
        <f t="shared" si="11"/>
        <v>0</v>
      </c>
      <c r="O106" s="715"/>
      <c r="P106" s="139"/>
      <c r="Q106" s="139"/>
      <c r="R106" s="139"/>
      <c r="S106" s="139"/>
      <c r="T106" s="140"/>
      <c r="U106" s="134">
        <f t="shared" si="14"/>
        <v>0</v>
      </c>
      <c r="V106" s="134"/>
    </row>
    <row r="107" spans="1:22" ht="18" customHeight="1">
      <c r="A107" s="1039"/>
      <c r="B107" s="1040"/>
      <c r="C107" s="1040"/>
      <c r="D107" s="118"/>
      <c r="E107" s="119"/>
      <c r="F107" s="1041"/>
      <c r="G107" s="1042"/>
      <c r="H107" s="695">
        <f>+F107*E107</f>
        <v>0</v>
      </c>
      <c r="I107" s="163">
        <f t="shared" si="18"/>
        <v>0</v>
      </c>
      <c r="J107" s="139"/>
      <c r="K107" s="139"/>
      <c r="L107" s="139"/>
      <c r="M107" s="140"/>
      <c r="N107" s="134">
        <f t="shared" si="11"/>
        <v>0</v>
      </c>
      <c r="O107" s="715"/>
      <c r="P107" s="139"/>
      <c r="Q107" s="139"/>
      <c r="R107" s="139"/>
      <c r="S107" s="139"/>
      <c r="T107" s="140"/>
      <c r="U107" s="134">
        <f t="shared" si="14"/>
        <v>0</v>
      </c>
      <c r="V107" s="134"/>
    </row>
    <row r="108" spans="1:22" ht="18" customHeight="1">
      <c r="A108" s="1039"/>
      <c r="B108" s="1040"/>
      <c r="C108" s="1040"/>
      <c r="D108" s="118"/>
      <c r="E108" s="119"/>
      <c r="F108" s="1041"/>
      <c r="G108" s="1042"/>
      <c r="H108" s="120">
        <f t="shared" ref="H108" si="19">+F108*E108</f>
        <v>0</v>
      </c>
      <c r="I108" s="163">
        <f t="shared" si="18"/>
        <v>0</v>
      </c>
      <c r="J108" s="135"/>
      <c r="K108" s="135"/>
      <c r="L108" s="135"/>
      <c r="M108" s="136"/>
      <c r="N108" s="134">
        <f t="shared" si="11"/>
        <v>0</v>
      </c>
      <c r="O108" s="715"/>
      <c r="P108" s="139"/>
      <c r="Q108" s="139"/>
      <c r="R108" s="139"/>
      <c r="S108" s="139"/>
      <c r="T108" s="140"/>
      <c r="U108" s="134">
        <f t="shared" si="14"/>
        <v>0</v>
      </c>
      <c r="V108" s="134"/>
    </row>
    <row r="109" spans="1:22" ht="18" customHeight="1">
      <c r="A109" s="1039"/>
      <c r="B109" s="1040"/>
      <c r="C109" s="1040"/>
      <c r="D109" s="118"/>
      <c r="E109" s="119"/>
      <c r="F109" s="1041"/>
      <c r="G109" s="1042"/>
      <c r="H109" s="120">
        <f t="shared" ref="H109:H145" si="20">+F109*E109</f>
        <v>0</v>
      </c>
      <c r="I109" s="163">
        <f t="shared" si="18"/>
        <v>0</v>
      </c>
      <c r="J109" s="135"/>
      <c r="K109" s="135"/>
      <c r="L109" s="135"/>
      <c r="M109" s="136"/>
      <c r="N109" s="134">
        <f t="shared" si="11"/>
        <v>0</v>
      </c>
      <c r="O109" s="715"/>
      <c r="P109" s="139"/>
      <c r="Q109" s="139"/>
      <c r="R109" s="139"/>
      <c r="S109" s="139"/>
      <c r="T109" s="140"/>
      <c r="U109" s="134">
        <f t="shared" si="14"/>
        <v>0</v>
      </c>
      <c r="V109" s="134"/>
    </row>
    <row r="110" spans="1:22" ht="18" hidden="1" customHeight="1">
      <c r="A110" s="1039"/>
      <c r="B110" s="1040"/>
      <c r="C110" s="1040"/>
      <c r="D110" s="118"/>
      <c r="E110" s="119"/>
      <c r="F110" s="1041"/>
      <c r="G110" s="1042"/>
      <c r="H110" s="120">
        <f t="shared" si="20"/>
        <v>0</v>
      </c>
      <c r="I110" s="163">
        <f t="shared" si="18"/>
        <v>0</v>
      </c>
      <c r="J110" s="135"/>
      <c r="K110" s="135"/>
      <c r="L110" s="135"/>
      <c r="M110" s="136"/>
      <c r="N110" s="134">
        <f t="shared" si="11"/>
        <v>0</v>
      </c>
      <c r="O110" s="715"/>
      <c r="P110" s="139"/>
      <c r="Q110" s="139"/>
      <c r="R110" s="139"/>
      <c r="S110" s="139"/>
      <c r="T110" s="140"/>
      <c r="U110" s="134">
        <f t="shared" si="14"/>
        <v>0</v>
      </c>
      <c r="V110" s="134"/>
    </row>
    <row r="111" spans="1:22" ht="18" hidden="1" customHeight="1">
      <c r="A111" s="1039"/>
      <c r="B111" s="1040"/>
      <c r="C111" s="1040"/>
      <c r="D111" s="118"/>
      <c r="E111" s="119"/>
      <c r="F111" s="1041"/>
      <c r="G111" s="1042"/>
      <c r="H111" s="120">
        <f t="shared" si="20"/>
        <v>0</v>
      </c>
      <c r="I111" s="163">
        <f t="shared" si="18"/>
        <v>0</v>
      </c>
      <c r="J111" s="135"/>
      <c r="K111" s="135"/>
      <c r="L111" s="135"/>
      <c r="M111" s="136"/>
      <c r="N111" s="134">
        <f t="shared" si="11"/>
        <v>0</v>
      </c>
      <c r="O111" s="715"/>
      <c r="P111" s="139"/>
      <c r="Q111" s="139"/>
      <c r="R111" s="139"/>
      <c r="S111" s="139"/>
      <c r="T111" s="140"/>
      <c r="U111" s="134">
        <f t="shared" si="14"/>
        <v>0</v>
      </c>
      <c r="V111" s="134"/>
    </row>
    <row r="112" spans="1:22" ht="18" hidden="1" customHeight="1">
      <c r="A112" s="1039"/>
      <c r="B112" s="1040"/>
      <c r="C112" s="1040"/>
      <c r="D112" s="118"/>
      <c r="E112" s="119"/>
      <c r="F112" s="1041"/>
      <c r="G112" s="1042"/>
      <c r="H112" s="120">
        <f t="shared" si="20"/>
        <v>0</v>
      </c>
      <c r="I112" s="163">
        <f t="shared" si="18"/>
        <v>0</v>
      </c>
      <c r="J112" s="135"/>
      <c r="K112" s="135"/>
      <c r="L112" s="135"/>
      <c r="M112" s="136"/>
      <c r="N112" s="134">
        <f t="shared" si="11"/>
        <v>0</v>
      </c>
      <c r="O112" s="715"/>
      <c r="P112" s="139"/>
      <c r="Q112" s="139"/>
      <c r="R112" s="139"/>
      <c r="S112" s="139"/>
      <c r="T112" s="140"/>
      <c r="U112" s="134">
        <f t="shared" si="14"/>
        <v>0</v>
      </c>
      <c r="V112" s="134"/>
    </row>
    <row r="113" spans="1:22" ht="18" hidden="1" customHeight="1">
      <c r="A113" s="1039"/>
      <c r="B113" s="1040"/>
      <c r="C113" s="1040"/>
      <c r="D113" s="118"/>
      <c r="E113" s="119"/>
      <c r="F113" s="1041"/>
      <c r="G113" s="1042"/>
      <c r="H113" s="120">
        <f t="shared" si="20"/>
        <v>0</v>
      </c>
      <c r="I113" s="163">
        <f t="shared" si="18"/>
        <v>0</v>
      </c>
      <c r="J113" s="135"/>
      <c r="K113" s="135"/>
      <c r="L113" s="135"/>
      <c r="M113" s="136"/>
      <c r="N113" s="134">
        <f t="shared" si="11"/>
        <v>0</v>
      </c>
      <c r="O113" s="715"/>
      <c r="P113" s="139"/>
      <c r="Q113" s="139"/>
      <c r="R113" s="139"/>
      <c r="S113" s="139"/>
      <c r="T113" s="140"/>
      <c r="U113" s="134">
        <f t="shared" si="14"/>
        <v>0</v>
      </c>
      <c r="V113" s="134"/>
    </row>
    <row r="114" spans="1:22" ht="18" hidden="1" customHeight="1">
      <c r="A114" s="1039"/>
      <c r="B114" s="1040"/>
      <c r="C114" s="1040"/>
      <c r="D114" s="118"/>
      <c r="E114" s="119"/>
      <c r="F114" s="1041"/>
      <c r="G114" s="1042"/>
      <c r="H114" s="120">
        <f t="shared" si="20"/>
        <v>0</v>
      </c>
      <c r="I114" s="163">
        <f t="shared" si="18"/>
        <v>0</v>
      </c>
      <c r="J114" s="135"/>
      <c r="K114" s="135"/>
      <c r="L114" s="135"/>
      <c r="M114" s="136"/>
      <c r="N114" s="134">
        <f t="shared" si="11"/>
        <v>0</v>
      </c>
      <c r="O114" s="715"/>
      <c r="P114" s="139"/>
      <c r="Q114" s="139"/>
      <c r="R114" s="139"/>
      <c r="S114" s="139"/>
      <c r="T114" s="140"/>
      <c r="U114" s="134">
        <f t="shared" si="14"/>
        <v>0</v>
      </c>
      <c r="V114" s="134"/>
    </row>
    <row r="115" spans="1:22" ht="18" hidden="1" customHeight="1">
      <c r="A115" s="1039"/>
      <c r="B115" s="1040"/>
      <c r="C115" s="1040"/>
      <c r="D115" s="118"/>
      <c r="E115" s="119"/>
      <c r="F115" s="1041"/>
      <c r="G115" s="1042"/>
      <c r="H115" s="120">
        <f t="shared" ref="H115:H138" si="21">+F115*E115</f>
        <v>0</v>
      </c>
      <c r="I115" s="163">
        <f t="shared" ref="I115:I138" si="22">IFERROR(H115/$H$149,0)</f>
        <v>0</v>
      </c>
      <c r="J115" s="135"/>
      <c r="K115" s="135"/>
      <c r="L115" s="135"/>
      <c r="M115" s="136"/>
      <c r="N115" s="134">
        <f t="shared" si="11"/>
        <v>0</v>
      </c>
      <c r="O115" s="715"/>
      <c r="P115" s="139"/>
      <c r="Q115" s="139"/>
      <c r="R115" s="139"/>
      <c r="S115" s="139"/>
      <c r="T115" s="140"/>
      <c r="U115" s="134">
        <f t="shared" si="14"/>
        <v>0</v>
      </c>
      <c r="V115" s="134"/>
    </row>
    <row r="116" spans="1:22" ht="18" hidden="1" customHeight="1">
      <c r="A116" s="1039"/>
      <c r="B116" s="1040"/>
      <c r="C116" s="1040"/>
      <c r="D116" s="118"/>
      <c r="E116" s="119"/>
      <c r="F116" s="1041"/>
      <c r="G116" s="1042"/>
      <c r="H116" s="120">
        <f t="shared" si="21"/>
        <v>0</v>
      </c>
      <c r="I116" s="163">
        <f t="shared" si="22"/>
        <v>0</v>
      </c>
      <c r="J116" s="135"/>
      <c r="K116" s="135"/>
      <c r="L116" s="135"/>
      <c r="M116" s="136"/>
      <c r="N116" s="134">
        <f t="shared" si="11"/>
        <v>0</v>
      </c>
      <c r="O116" s="715"/>
      <c r="P116" s="139"/>
      <c r="Q116" s="139"/>
      <c r="R116" s="139"/>
      <c r="S116" s="139"/>
      <c r="T116" s="140"/>
      <c r="U116" s="134">
        <f t="shared" si="14"/>
        <v>0</v>
      </c>
      <c r="V116" s="134"/>
    </row>
    <row r="117" spans="1:22" ht="18" hidden="1" customHeight="1">
      <c r="A117" s="1039"/>
      <c r="B117" s="1040"/>
      <c r="C117" s="1040"/>
      <c r="D117" s="118"/>
      <c r="E117" s="119"/>
      <c r="F117" s="1041"/>
      <c r="G117" s="1042"/>
      <c r="H117" s="120">
        <f t="shared" si="21"/>
        <v>0</v>
      </c>
      <c r="I117" s="163">
        <f t="shared" si="22"/>
        <v>0</v>
      </c>
      <c r="J117" s="135"/>
      <c r="K117" s="135"/>
      <c r="L117" s="135"/>
      <c r="M117" s="136"/>
      <c r="N117" s="134">
        <f t="shared" si="11"/>
        <v>0</v>
      </c>
      <c r="O117" s="715"/>
      <c r="P117" s="139"/>
      <c r="Q117" s="139"/>
      <c r="R117" s="139"/>
      <c r="S117" s="139"/>
      <c r="T117" s="140"/>
      <c r="U117" s="134">
        <f t="shared" si="14"/>
        <v>0</v>
      </c>
      <c r="V117" s="134"/>
    </row>
    <row r="118" spans="1:22" ht="18" hidden="1" customHeight="1">
      <c r="A118" s="1039"/>
      <c r="B118" s="1040"/>
      <c r="C118" s="1040"/>
      <c r="D118" s="118"/>
      <c r="E118" s="119"/>
      <c r="F118" s="1041"/>
      <c r="G118" s="1042"/>
      <c r="H118" s="120">
        <f t="shared" si="21"/>
        <v>0</v>
      </c>
      <c r="I118" s="163">
        <f t="shared" si="22"/>
        <v>0</v>
      </c>
      <c r="J118" s="135"/>
      <c r="K118" s="135"/>
      <c r="L118" s="135"/>
      <c r="M118" s="136"/>
      <c r="N118" s="134">
        <f t="shared" si="11"/>
        <v>0</v>
      </c>
      <c r="O118" s="715"/>
      <c r="P118" s="139"/>
      <c r="Q118" s="139"/>
      <c r="R118" s="139"/>
      <c r="S118" s="139"/>
      <c r="T118" s="140"/>
      <c r="U118" s="134">
        <f t="shared" si="14"/>
        <v>0</v>
      </c>
      <c r="V118" s="134"/>
    </row>
    <row r="119" spans="1:22" ht="18" hidden="1" customHeight="1">
      <c r="A119" s="1039"/>
      <c r="B119" s="1040"/>
      <c r="C119" s="1040"/>
      <c r="D119" s="118"/>
      <c r="E119" s="119"/>
      <c r="F119" s="1041"/>
      <c r="G119" s="1042"/>
      <c r="H119" s="120">
        <f t="shared" si="21"/>
        <v>0</v>
      </c>
      <c r="I119" s="163">
        <f t="shared" si="22"/>
        <v>0</v>
      </c>
      <c r="J119" s="135"/>
      <c r="K119" s="135"/>
      <c r="L119" s="135"/>
      <c r="M119" s="136"/>
      <c r="N119" s="134">
        <f t="shared" si="11"/>
        <v>0</v>
      </c>
      <c r="O119" s="715"/>
      <c r="P119" s="139"/>
      <c r="Q119" s="139"/>
      <c r="R119" s="139"/>
      <c r="S119" s="139"/>
      <c r="T119" s="140"/>
      <c r="U119" s="134">
        <f t="shared" si="14"/>
        <v>0</v>
      </c>
      <c r="V119" s="134"/>
    </row>
    <row r="120" spans="1:22" ht="18" hidden="1" customHeight="1">
      <c r="A120" s="1039"/>
      <c r="B120" s="1040"/>
      <c r="C120" s="1040"/>
      <c r="D120" s="118"/>
      <c r="E120" s="119"/>
      <c r="F120" s="1041"/>
      <c r="G120" s="1042"/>
      <c r="H120" s="120">
        <f t="shared" si="21"/>
        <v>0</v>
      </c>
      <c r="I120" s="163">
        <f t="shared" si="22"/>
        <v>0</v>
      </c>
      <c r="J120" s="135"/>
      <c r="K120" s="135"/>
      <c r="L120" s="135"/>
      <c r="M120" s="136"/>
      <c r="N120" s="134">
        <f t="shared" si="11"/>
        <v>0</v>
      </c>
      <c r="O120" s="715"/>
      <c r="P120" s="139"/>
      <c r="Q120" s="139"/>
      <c r="R120" s="139"/>
      <c r="S120" s="139"/>
      <c r="T120" s="140"/>
      <c r="U120" s="134">
        <f t="shared" si="14"/>
        <v>0</v>
      </c>
      <c r="V120" s="134"/>
    </row>
    <row r="121" spans="1:22" ht="18" hidden="1" customHeight="1">
      <c r="A121" s="1039"/>
      <c r="B121" s="1040"/>
      <c r="C121" s="1040"/>
      <c r="D121" s="118"/>
      <c r="E121" s="119"/>
      <c r="F121" s="1041"/>
      <c r="G121" s="1042"/>
      <c r="H121" s="120">
        <f t="shared" si="21"/>
        <v>0</v>
      </c>
      <c r="I121" s="163">
        <f t="shared" si="22"/>
        <v>0</v>
      </c>
      <c r="J121" s="135"/>
      <c r="K121" s="135"/>
      <c r="L121" s="135"/>
      <c r="M121" s="136"/>
      <c r="N121" s="134">
        <f t="shared" si="11"/>
        <v>0</v>
      </c>
      <c r="O121" s="715"/>
      <c r="P121" s="139"/>
      <c r="Q121" s="139"/>
      <c r="R121" s="139"/>
      <c r="S121" s="139"/>
      <c r="T121" s="140"/>
      <c r="U121" s="134">
        <f t="shared" si="14"/>
        <v>0</v>
      </c>
      <c r="V121" s="134"/>
    </row>
    <row r="122" spans="1:22" ht="18" hidden="1" customHeight="1">
      <c r="A122" s="1039"/>
      <c r="B122" s="1040"/>
      <c r="C122" s="1040"/>
      <c r="D122" s="118"/>
      <c r="E122" s="119"/>
      <c r="F122" s="1041"/>
      <c r="G122" s="1042"/>
      <c r="H122" s="120">
        <f t="shared" si="21"/>
        <v>0</v>
      </c>
      <c r="I122" s="163">
        <f t="shared" si="22"/>
        <v>0</v>
      </c>
      <c r="J122" s="135"/>
      <c r="K122" s="135"/>
      <c r="L122" s="135"/>
      <c r="M122" s="136"/>
      <c r="N122" s="134">
        <f t="shared" si="11"/>
        <v>0</v>
      </c>
      <c r="O122" s="715"/>
      <c r="P122" s="139"/>
      <c r="Q122" s="139"/>
      <c r="R122" s="139"/>
      <c r="S122" s="139"/>
      <c r="T122" s="140"/>
      <c r="U122" s="134">
        <f t="shared" si="14"/>
        <v>0</v>
      </c>
      <c r="V122" s="134"/>
    </row>
    <row r="123" spans="1:22" ht="18" hidden="1" customHeight="1">
      <c r="A123" s="1039"/>
      <c r="B123" s="1040"/>
      <c r="C123" s="1040"/>
      <c r="D123" s="118"/>
      <c r="E123" s="119"/>
      <c r="F123" s="1041"/>
      <c r="G123" s="1042"/>
      <c r="H123" s="120">
        <f t="shared" si="21"/>
        <v>0</v>
      </c>
      <c r="I123" s="163">
        <f t="shared" si="22"/>
        <v>0</v>
      </c>
      <c r="J123" s="135"/>
      <c r="K123" s="135"/>
      <c r="L123" s="135"/>
      <c r="M123" s="136"/>
      <c r="N123" s="134">
        <f t="shared" si="11"/>
        <v>0</v>
      </c>
      <c r="O123" s="715"/>
      <c r="P123" s="139"/>
      <c r="Q123" s="139"/>
      <c r="R123" s="139"/>
      <c r="S123" s="139"/>
      <c r="T123" s="140"/>
      <c r="U123" s="134">
        <f t="shared" si="14"/>
        <v>0</v>
      </c>
      <c r="V123" s="134"/>
    </row>
    <row r="124" spans="1:22" ht="18" hidden="1" customHeight="1">
      <c r="A124" s="1039"/>
      <c r="B124" s="1040"/>
      <c r="C124" s="1040"/>
      <c r="D124" s="118"/>
      <c r="E124" s="119"/>
      <c r="F124" s="1041"/>
      <c r="G124" s="1042"/>
      <c r="H124" s="120">
        <f t="shared" si="21"/>
        <v>0</v>
      </c>
      <c r="I124" s="163">
        <f t="shared" si="22"/>
        <v>0</v>
      </c>
      <c r="J124" s="135"/>
      <c r="K124" s="135"/>
      <c r="L124" s="135"/>
      <c r="M124" s="136"/>
      <c r="N124" s="134">
        <f t="shared" si="11"/>
        <v>0</v>
      </c>
      <c r="O124" s="715"/>
      <c r="P124" s="139"/>
      <c r="Q124" s="139"/>
      <c r="R124" s="139"/>
      <c r="S124" s="139"/>
      <c r="T124" s="140"/>
      <c r="U124" s="134">
        <f t="shared" si="14"/>
        <v>0</v>
      </c>
      <c r="V124" s="134"/>
    </row>
    <row r="125" spans="1:22" ht="18" hidden="1" customHeight="1">
      <c r="A125" s="1039"/>
      <c r="B125" s="1040"/>
      <c r="C125" s="1040"/>
      <c r="D125" s="118"/>
      <c r="E125" s="119"/>
      <c r="F125" s="1041"/>
      <c r="G125" s="1042"/>
      <c r="H125" s="120">
        <f t="shared" si="21"/>
        <v>0</v>
      </c>
      <c r="I125" s="163">
        <f t="shared" si="22"/>
        <v>0</v>
      </c>
      <c r="J125" s="135"/>
      <c r="K125" s="135"/>
      <c r="L125" s="135"/>
      <c r="M125" s="136"/>
      <c r="N125" s="134">
        <f t="shared" si="11"/>
        <v>0</v>
      </c>
      <c r="O125" s="715"/>
      <c r="P125" s="139"/>
      <c r="Q125" s="139"/>
      <c r="R125" s="139"/>
      <c r="S125" s="139"/>
      <c r="T125" s="140"/>
      <c r="U125" s="134">
        <f t="shared" si="14"/>
        <v>0</v>
      </c>
      <c r="V125" s="134"/>
    </row>
    <row r="126" spans="1:22" ht="18" hidden="1" customHeight="1">
      <c r="A126" s="1039"/>
      <c r="B126" s="1040"/>
      <c r="C126" s="1040"/>
      <c r="D126" s="118"/>
      <c r="E126" s="119"/>
      <c r="F126" s="1041"/>
      <c r="G126" s="1042"/>
      <c r="H126" s="120">
        <f t="shared" si="21"/>
        <v>0</v>
      </c>
      <c r="I126" s="163">
        <f t="shared" si="22"/>
        <v>0</v>
      </c>
      <c r="J126" s="135"/>
      <c r="K126" s="135"/>
      <c r="L126" s="135"/>
      <c r="M126" s="136"/>
      <c r="N126" s="134">
        <f t="shared" si="11"/>
        <v>0</v>
      </c>
      <c r="O126" s="715"/>
      <c r="P126" s="139"/>
      <c r="Q126" s="139"/>
      <c r="R126" s="139"/>
      <c r="S126" s="139"/>
      <c r="T126" s="140"/>
      <c r="U126" s="134">
        <f t="shared" si="14"/>
        <v>0</v>
      </c>
      <c r="V126" s="134"/>
    </row>
    <row r="127" spans="1:22" ht="18" hidden="1" customHeight="1">
      <c r="A127" s="1039"/>
      <c r="B127" s="1040"/>
      <c r="C127" s="1040"/>
      <c r="D127" s="118"/>
      <c r="E127" s="119"/>
      <c r="F127" s="1041"/>
      <c r="G127" s="1042"/>
      <c r="H127" s="120">
        <f t="shared" si="21"/>
        <v>0</v>
      </c>
      <c r="I127" s="163">
        <f t="shared" si="22"/>
        <v>0</v>
      </c>
      <c r="J127" s="135"/>
      <c r="K127" s="135"/>
      <c r="L127" s="135"/>
      <c r="M127" s="136"/>
      <c r="N127" s="134">
        <f t="shared" si="11"/>
        <v>0</v>
      </c>
      <c r="O127" s="715"/>
      <c r="P127" s="139"/>
      <c r="Q127" s="139"/>
      <c r="R127" s="139"/>
      <c r="S127" s="139"/>
      <c r="T127" s="140"/>
      <c r="U127" s="134">
        <f t="shared" si="14"/>
        <v>0</v>
      </c>
      <c r="V127" s="134"/>
    </row>
    <row r="128" spans="1:22" ht="18" hidden="1" customHeight="1">
      <c r="A128" s="1039"/>
      <c r="B128" s="1040"/>
      <c r="C128" s="1040"/>
      <c r="D128" s="118"/>
      <c r="E128" s="119"/>
      <c r="F128" s="1041"/>
      <c r="G128" s="1042"/>
      <c r="H128" s="120">
        <f t="shared" si="21"/>
        <v>0</v>
      </c>
      <c r="I128" s="163">
        <f t="shared" si="22"/>
        <v>0</v>
      </c>
      <c r="J128" s="135"/>
      <c r="K128" s="135"/>
      <c r="L128" s="135"/>
      <c r="M128" s="136"/>
      <c r="N128" s="134">
        <f t="shared" si="11"/>
        <v>0</v>
      </c>
      <c r="O128" s="715"/>
      <c r="P128" s="139"/>
      <c r="Q128" s="139"/>
      <c r="R128" s="139"/>
      <c r="S128" s="139"/>
      <c r="T128" s="140"/>
      <c r="U128" s="134">
        <f t="shared" si="14"/>
        <v>0</v>
      </c>
      <c r="V128" s="134"/>
    </row>
    <row r="129" spans="1:22" ht="18" hidden="1" customHeight="1">
      <c r="A129" s="1039"/>
      <c r="B129" s="1040"/>
      <c r="C129" s="1040"/>
      <c r="D129" s="118"/>
      <c r="E129" s="119"/>
      <c r="F129" s="1041"/>
      <c r="G129" s="1042"/>
      <c r="H129" s="120">
        <f t="shared" si="21"/>
        <v>0</v>
      </c>
      <c r="I129" s="163">
        <f t="shared" si="22"/>
        <v>0</v>
      </c>
      <c r="J129" s="135"/>
      <c r="K129" s="135"/>
      <c r="L129" s="135"/>
      <c r="M129" s="136"/>
      <c r="N129" s="134">
        <f t="shared" si="11"/>
        <v>0</v>
      </c>
      <c r="O129" s="715"/>
      <c r="P129" s="139"/>
      <c r="Q129" s="139"/>
      <c r="R129" s="139"/>
      <c r="S129" s="139"/>
      <c r="T129" s="140"/>
      <c r="U129" s="134">
        <f t="shared" si="14"/>
        <v>0</v>
      </c>
      <c r="V129" s="134"/>
    </row>
    <row r="130" spans="1:22" ht="18" hidden="1" customHeight="1">
      <c r="A130" s="1039"/>
      <c r="B130" s="1040"/>
      <c r="C130" s="1040"/>
      <c r="D130" s="118"/>
      <c r="E130" s="119"/>
      <c r="F130" s="1041"/>
      <c r="G130" s="1042"/>
      <c r="H130" s="120">
        <f t="shared" si="21"/>
        <v>0</v>
      </c>
      <c r="I130" s="163">
        <f t="shared" si="22"/>
        <v>0</v>
      </c>
      <c r="J130" s="135"/>
      <c r="K130" s="135"/>
      <c r="L130" s="135"/>
      <c r="M130" s="136"/>
      <c r="N130" s="134">
        <f t="shared" si="11"/>
        <v>0</v>
      </c>
      <c r="O130" s="715"/>
      <c r="P130" s="139"/>
      <c r="Q130" s="139"/>
      <c r="R130" s="139"/>
      <c r="S130" s="139"/>
      <c r="T130" s="140"/>
      <c r="U130" s="134">
        <f t="shared" si="14"/>
        <v>0</v>
      </c>
      <c r="V130" s="134"/>
    </row>
    <row r="131" spans="1:22" ht="18" hidden="1" customHeight="1">
      <c r="A131" s="1039"/>
      <c r="B131" s="1040"/>
      <c r="C131" s="1040"/>
      <c r="D131" s="118"/>
      <c r="E131" s="119"/>
      <c r="F131" s="1041"/>
      <c r="G131" s="1042"/>
      <c r="H131" s="120">
        <f t="shared" si="21"/>
        <v>0</v>
      </c>
      <c r="I131" s="163">
        <f t="shared" si="22"/>
        <v>0</v>
      </c>
      <c r="J131" s="135"/>
      <c r="K131" s="135"/>
      <c r="L131" s="135"/>
      <c r="M131" s="136"/>
      <c r="N131" s="134">
        <f t="shared" si="11"/>
        <v>0</v>
      </c>
      <c r="O131" s="715"/>
      <c r="P131" s="139"/>
      <c r="Q131" s="139"/>
      <c r="R131" s="139"/>
      <c r="S131" s="139"/>
      <c r="T131" s="140"/>
      <c r="U131" s="134">
        <f t="shared" si="14"/>
        <v>0</v>
      </c>
      <c r="V131" s="134"/>
    </row>
    <row r="132" spans="1:22" ht="18" hidden="1" customHeight="1">
      <c r="A132" s="1039"/>
      <c r="B132" s="1040"/>
      <c r="C132" s="1040"/>
      <c r="D132" s="118"/>
      <c r="E132" s="119"/>
      <c r="F132" s="1041"/>
      <c r="G132" s="1042"/>
      <c r="H132" s="120">
        <f t="shared" si="21"/>
        <v>0</v>
      </c>
      <c r="I132" s="163">
        <f t="shared" si="22"/>
        <v>0</v>
      </c>
      <c r="J132" s="135"/>
      <c r="K132" s="135"/>
      <c r="L132" s="135"/>
      <c r="M132" s="136"/>
      <c r="N132" s="134">
        <f t="shared" si="11"/>
        <v>0</v>
      </c>
      <c r="O132" s="715"/>
      <c r="P132" s="139"/>
      <c r="Q132" s="139"/>
      <c r="R132" s="139"/>
      <c r="S132" s="139"/>
      <c r="T132" s="140"/>
      <c r="U132" s="134">
        <f t="shared" si="14"/>
        <v>0</v>
      </c>
      <c r="V132" s="134"/>
    </row>
    <row r="133" spans="1:22" ht="18" hidden="1" customHeight="1">
      <c r="A133" s="1039"/>
      <c r="B133" s="1040"/>
      <c r="C133" s="1040"/>
      <c r="D133" s="118"/>
      <c r="E133" s="119"/>
      <c r="F133" s="1041"/>
      <c r="G133" s="1042"/>
      <c r="H133" s="120">
        <f t="shared" si="21"/>
        <v>0</v>
      </c>
      <c r="I133" s="163">
        <f t="shared" si="22"/>
        <v>0</v>
      </c>
      <c r="J133" s="135"/>
      <c r="K133" s="135"/>
      <c r="L133" s="135"/>
      <c r="M133" s="136"/>
      <c r="N133" s="134">
        <f t="shared" si="11"/>
        <v>0</v>
      </c>
      <c r="O133" s="715"/>
      <c r="P133" s="139"/>
      <c r="Q133" s="139"/>
      <c r="R133" s="139"/>
      <c r="S133" s="139"/>
      <c r="T133" s="140"/>
      <c r="U133" s="134">
        <f t="shared" si="14"/>
        <v>0</v>
      </c>
      <c r="V133" s="134"/>
    </row>
    <row r="134" spans="1:22" ht="18" hidden="1" customHeight="1">
      <c r="A134" s="1039"/>
      <c r="B134" s="1040"/>
      <c r="C134" s="1040"/>
      <c r="D134" s="118"/>
      <c r="E134" s="119"/>
      <c r="F134" s="1041"/>
      <c r="G134" s="1042"/>
      <c r="H134" s="120">
        <f t="shared" si="21"/>
        <v>0</v>
      </c>
      <c r="I134" s="163">
        <f t="shared" si="22"/>
        <v>0</v>
      </c>
      <c r="J134" s="135"/>
      <c r="K134" s="135"/>
      <c r="L134" s="135"/>
      <c r="M134" s="136"/>
      <c r="N134" s="134">
        <f t="shared" si="11"/>
        <v>0</v>
      </c>
      <c r="O134" s="715"/>
      <c r="P134" s="139"/>
      <c r="Q134" s="139"/>
      <c r="R134" s="139"/>
      <c r="S134" s="139"/>
      <c r="T134" s="140"/>
      <c r="U134" s="134">
        <f t="shared" si="14"/>
        <v>0</v>
      </c>
      <c r="V134" s="134"/>
    </row>
    <row r="135" spans="1:22" ht="18" hidden="1" customHeight="1">
      <c r="A135" s="1039"/>
      <c r="B135" s="1040"/>
      <c r="C135" s="1040"/>
      <c r="D135" s="118"/>
      <c r="E135" s="119"/>
      <c r="F135" s="1041"/>
      <c r="G135" s="1042"/>
      <c r="H135" s="120">
        <f t="shared" si="21"/>
        <v>0</v>
      </c>
      <c r="I135" s="163">
        <f t="shared" si="22"/>
        <v>0</v>
      </c>
      <c r="J135" s="135"/>
      <c r="K135" s="135"/>
      <c r="L135" s="135"/>
      <c r="M135" s="136"/>
      <c r="N135" s="134">
        <f t="shared" si="11"/>
        <v>0</v>
      </c>
      <c r="O135" s="715"/>
      <c r="P135" s="139"/>
      <c r="Q135" s="139"/>
      <c r="R135" s="139"/>
      <c r="S135" s="139"/>
      <c r="T135" s="140"/>
      <c r="U135" s="134">
        <f t="shared" si="14"/>
        <v>0</v>
      </c>
      <c r="V135" s="134"/>
    </row>
    <row r="136" spans="1:22" ht="18" hidden="1" customHeight="1">
      <c r="A136" s="1039"/>
      <c r="B136" s="1040"/>
      <c r="C136" s="1040"/>
      <c r="D136" s="118"/>
      <c r="E136" s="119"/>
      <c r="F136" s="1041"/>
      <c r="G136" s="1042"/>
      <c r="H136" s="120">
        <f t="shared" si="21"/>
        <v>0</v>
      </c>
      <c r="I136" s="163">
        <f t="shared" si="22"/>
        <v>0</v>
      </c>
      <c r="J136" s="135"/>
      <c r="K136" s="135"/>
      <c r="L136" s="135"/>
      <c r="M136" s="136"/>
      <c r="N136" s="134">
        <f t="shared" si="11"/>
        <v>0</v>
      </c>
      <c r="O136" s="715"/>
      <c r="P136" s="139"/>
      <c r="Q136" s="139"/>
      <c r="R136" s="139"/>
      <c r="S136" s="139"/>
      <c r="T136" s="140"/>
      <c r="U136" s="134">
        <f t="shared" si="14"/>
        <v>0</v>
      </c>
      <c r="V136" s="134"/>
    </row>
    <row r="137" spans="1:22" ht="18" hidden="1" customHeight="1">
      <c r="A137" s="1039"/>
      <c r="B137" s="1040"/>
      <c r="C137" s="1040"/>
      <c r="D137" s="118"/>
      <c r="E137" s="119"/>
      <c r="F137" s="1041"/>
      <c r="G137" s="1042"/>
      <c r="H137" s="120">
        <f t="shared" si="21"/>
        <v>0</v>
      </c>
      <c r="I137" s="163">
        <f t="shared" si="22"/>
        <v>0</v>
      </c>
      <c r="J137" s="135"/>
      <c r="K137" s="135"/>
      <c r="L137" s="135"/>
      <c r="M137" s="136"/>
      <c r="N137" s="134">
        <f t="shared" si="11"/>
        <v>0</v>
      </c>
      <c r="O137" s="715"/>
      <c r="P137" s="139"/>
      <c r="Q137" s="139"/>
      <c r="R137" s="139"/>
      <c r="S137" s="139"/>
      <c r="T137" s="140"/>
      <c r="U137" s="134">
        <f t="shared" si="14"/>
        <v>0</v>
      </c>
      <c r="V137" s="134"/>
    </row>
    <row r="138" spans="1:22" ht="18" hidden="1" customHeight="1">
      <c r="A138" s="1039"/>
      <c r="B138" s="1040"/>
      <c r="C138" s="1040"/>
      <c r="D138" s="118"/>
      <c r="E138" s="119"/>
      <c r="F138" s="1041"/>
      <c r="G138" s="1042"/>
      <c r="H138" s="120">
        <f t="shared" si="21"/>
        <v>0</v>
      </c>
      <c r="I138" s="163">
        <f t="shared" si="22"/>
        <v>0</v>
      </c>
      <c r="J138" s="135"/>
      <c r="K138" s="135"/>
      <c r="L138" s="135"/>
      <c r="M138" s="136"/>
      <c r="N138" s="134">
        <f t="shared" si="11"/>
        <v>0</v>
      </c>
      <c r="O138" s="715"/>
      <c r="P138" s="139"/>
      <c r="Q138" s="139"/>
      <c r="R138" s="139"/>
      <c r="S138" s="139"/>
      <c r="T138" s="140"/>
      <c r="U138" s="134">
        <f t="shared" si="14"/>
        <v>0</v>
      </c>
      <c r="V138" s="134"/>
    </row>
    <row r="139" spans="1:22" ht="18" hidden="1" customHeight="1">
      <c r="A139" s="1039"/>
      <c r="B139" s="1040"/>
      <c r="C139" s="1040"/>
      <c r="D139" s="118"/>
      <c r="E139" s="119"/>
      <c r="F139" s="1041"/>
      <c r="G139" s="1042"/>
      <c r="H139" s="120">
        <f t="shared" si="20"/>
        <v>0</v>
      </c>
      <c r="I139" s="163">
        <f t="shared" ref="I139:I148" si="23">IFERROR(H139/$H$149,0)</f>
        <v>0</v>
      </c>
      <c r="J139" s="135"/>
      <c r="K139" s="135"/>
      <c r="L139" s="135"/>
      <c r="M139" s="136"/>
      <c r="N139" s="134">
        <f t="shared" si="11"/>
        <v>0</v>
      </c>
      <c r="O139" s="715"/>
      <c r="P139" s="139"/>
      <c r="Q139" s="139"/>
      <c r="R139" s="139"/>
      <c r="S139" s="139"/>
      <c r="T139" s="140"/>
      <c r="U139" s="134">
        <f t="shared" si="14"/>
        <v>0</v>
      </c>
      <c r="V139" s="134"/>
    </row>
    <row r="140" spans="1:22" ht="18" hidden="1" customHeight="1">
      <c r="A140" s="1039"/>
      <c r="B140" s="1040"/>
      <c r="C140" s="1040"/>
      <c r="D140" s="118"/>
      <c r="E140" s="119"/>
      <c r="F140" s="1041"/>
      <c r="G140" s="1042"/>
      <c r="H140" s="120">
        <f t="shared" si="20"/>
        <v>0</v>
      </c>
      <c r="I140" s="163">
        <f t="shared" si="23"/>
        <v>0</v>
      </c>
      <c r="J140" s="135"/>
      <c r="K140" s="135"/>
      <c r="L140" s="135"/>
      <c r="M140" s="136"/>
      <c r="N140" s="134">
        <f t="shared" si="11"/>
        <v>0</v>
      </c>
      <c r="O140" s="715"/>
      <c r="P140" s="139"/>
      <c r="Q140" s="139"/>
      <c r="R140" s="139"/>
      <c r="S140" s="139"/>
      <c r="T140" s="140"/>
      <c r="U140" s="134">
        <f t="shared" si="14"/>
        <v>0</v>
      </c>
      <c r="V140" s="134"/>
    </row>
    <row r="141" spans="1:22" ht="18" hidden="1" customHeight="1">
      <c r="A141" s="1039"/>
      <c r="B141" s="1040"/>
      <c r="C141" s="1040"/>
      <c r="D141" s="118"/>
      <c r="E141" s="119"/>
      <c r="F141" s="1041"/>
      <c r="G141" s="1042"/>
      <c r="H141" s="120">
        <f t="shared" si="20"/>
        <v>0</v>
      </c>
      <c r="I141" s="163">
        <f t="shared" si="23"/>
        <v>0</v>
      </c>
      <c r="J141" s="135"/>
      <c r="K141" s="135"/>
      <c r="L141" s="135"/>
      <c r="M141" s="136"/>
      <c r="N141" s="134">
        <f t="shared" si="11"/>
        <v>0</v>
      </c>
      <c r="O141" s="715"/>
      <c r="P141" s="139"/>
      <c r="Q141" s="139"/>
      <c r="R141" s="139"/>
      <c r="S141" s="139"/>
      <c r="T141" s="140"/>
      <c r="U141" s="134">
        <f t="shared" ref="U141:U148" si="24">J141-SUM(O141:T141)</f>
        <v>0</v>
      </c>
      <c r="V141" s="134"/>
    </row>
    <row r="142" spans="1:22" ht="18" hidden="1" customHeight="1">
      <c r="A142" s="1039"/>
      <c r="B142" s="1040"/>
      <c r="C142" s="1040"/>
      <c r="D142" s="118"/>
      <c r="E142" s="119"/>
      <c r="F142" s="1041"/>
      <c r="G142" s="1042"/>
      <c r="H142" s="120">
        <f t="shared" si="20"/>
        <v>0</v>
      </c>
      <c r="I142" s="163">
        <f t="shared" si="23"/>
        <v>0</v>
      </c>
      <c r="J142" s="135"/>
      <c r="K142" s="135"/>
      <c r="L142" s="135"/>
      <c r="M142" s="136"/>
      <c r="N142" s="134">
        <f t="shared" si="11"/>
        <v>0</v>
      </c>
      <c r="O142" s="715"/>
      <c r="P142" s="139"/>
      <c r="Q142" s="139"/>
      <c r="R142" s="139"/>
      <c r="S142" s="139"/>
      <c r="T142" s="140"/>
      <c r="U142" s="134">
        <f t="shared" si="24"/>
        <v>0</v>
      </c>
      <c r="V142" s="134"/>
    </row>
    <row r="143" spans="1:22" ht="18" hidden="1" customHeight="1">
      <c r="A143" s="1039"/>
      <c r="B143" s="1040"/>
      <c r="C143" s="1040"/>
      <c r="D143" s="118"/>
      <c r="E143" s="119"/>
      <c r="F143" s="1041"/>
      <c r="G143" s="1042"/>
      <c r="H143" s="120">
        <f t="shared" si="20"/>
        <v>0</v>
      </c>
      <c r="I143" s="163">
        <f t="shared" si="23"/>
        <v>0</v>
      </c>
      <c r="J143" s="135"/>
      <c r="K143" s="135"/>
      <c r="L143" s="135"/>
      <c r="M143" s="136"/>
      <c r="N143" s="134">
        <f t="shared" si="11"/>
        <v>0</v>
      </c>
      <c r="O143" s="715"/>
      <c r="P143" s="139"/>
      <c r="Q143" s="139"/>
      <c r="R143" s="139"/>
      <c r="S143" s="139"/>
      <c r="T143" s="140"/>
      <c r="U143" s="134">
        <f t="shared" si="24"/>
        <v>0</v>
      </c>
      <c r="V143" s="134"/>
    </row>
    <row r="144" spans="1:22" ht="18" hidden="1" customHeight="1">
      <c r="A144" s="1039"/>
      <c r="B144" s="1040"/>
      <c r="C144" s="1040"/>
      <c r="D144" s="118"/>
      <c r="E144" s="119"/>
      <c r="F144" s="1041"/>
      <c r="G144" s="1042"/>
      <c r="H144" s="120">
        <f t="shared" si="20"/>
        <v>0</v>
      </c>
      <c r="I144" s="163">
        <f t="shared" si="23"/>
        <v>0</v>
      </c>
      <c r="J144" s="135"/>
      <c r="K144" s="135"/>
      <c r="L144" s="135"/>
      <c r="M144" s="136"/>
      <c r="N144" s="134">
        <f t="shared" si="11"/>
        <v>0</v>
      </c>
      <c r="O144" s="715"/>
      <c r="P144" s="139"/>
      <c r="Q144" s="139"/>
      <c r="R144" s="139"/>
      <c r="S144" s="139"/>
      <c r="T144" s="140"/>
      <c r="U144" s="134">
        <f t="shared" si="24"/>
        <v>0</v>
      </c>
      <c r="V144" s="134"/>
    </row>
    <row r="145" spans="1:22" ht="18" hidden="1" customHeight="1">
      <c r="A145" s="1039"/>
      <c r="B145" s="1040"/>
      <c r="C145" s="1040"/>
      <c r="D145" s="118"/>
      <c r="E145" s="119"/>
      <c r="F145" s="1041"/>
      <c r="G145" s="1042"/>
      <c r="H145" s="120">
        <f t="shared" si="20"/>
        <v>0</v>
      </c>
      <c r="I145" s="163">
        <f t="shared" si="23"/>
        <v>0</v>
      </c>
      <c r="J145" s="135"/>
      <c r="K145" s="135"/>
      <c r="L145" s="135"/>
      <c r="M145" s="136"/>
      <c r="N145" s="134">
        <f t="shared" si="11"/>
        <v>0</v>
      </c>
      <c r="O145" s="715"/>
      <c r="P145" s="139"/>
      <c r="Q145" s="139"/>
      <c r="R145" s="139"/>
      <c r="S145" s="139"/>
      <c r="T145" s="140"/>
      <c r="U145" s="134">
        <f t="shared" si="24"/>
        <v>0</v>
      </c>
      <c r="V145" s="134"/>
    </row>
    <row r="146" spans="1:22" ht="18" hidden="1" customHeight="1">
      <c r="A146" s="1039"/>
      <c r="B146" s="1040"/>
      <c r="C146" s="1040"/>
      <c r="D146" s="118"/>
      <c r="E146" s="119"/>
      <c r="F146" s="1041"/>
      <c r="G146" s="1042"/>
      <c r="H146" s="120">
        <f>+F146*E146</f>
        <v>0</v>
      </c>
      <c r="I146" s="163">
        <f t="shared" si="23"/>
        <v>0</v>
      </c>
      <c r="J146" s="135"/>
      <c r="K146" s="135"/>
      <c r="L146" s="135"/>
      <c r="M146" s="136"/>
      <c r="N146" s="134">
        <f t="shared" si="11"/>
        <v>0</v>
      </c>
      <c r="O146" s="715"/>
      <c r="P146" s="139"/>
      <c r="Q146" s="139"/>
      <c r="R146" s="139"/>
      <c r="S146" s="139"/>
      <c r="T146" s="140"/>
      <c r="U146" s="134">
        <f t="shared" si="24"/>
        <v>0</v>
      </c>
      <c r="V146" s="134"/>
    </row>
    <row r="147" spans="1:22" ht="18" hidden="1" customHeight="1">
      <c r="A147" s="1039"/>
      <c r="B147" s="1040"/>
      <c r="C147" s="1040"/>
      <c r="D147" s="118"/>
      <c r="E147" s="119"/>
      <c r="F147" s="1041"/>
      <c r="G147" s="1042"/>
      <c r="H147" s="120">
        <f>+F147*E147</f>
        <v>0</v>
      </c>
      <c r="I147" s="163">
        <f t="shared" si="23"/>
        <v>0</v>
      </c>
      <c r="J147" s="135"/>
      <c r="K147" s="135"/>
      <c r="L147" s="135"/>
      <c r="M147" s="136"/>
      <c r="N147" s="134">
        <f t="shared" si="11"/>
        <v>0</v>
      </c>
      <c r="O147" s="715"/>
      <c r="P147" s="139"/>
      <c r="Q147" s="139"/>
      <c r="R147" s="139"/>
      <c r="S147" s="139"/>
      <c r="T147" s="140"/>
      <c r="U147" s="134">
        <f t="shared" si="24"/>
        <v>0</v>
      </c>
      <c r="V147" s="134"/>
    </row>
    <row r="148" spans="1:22" ht="18" hidden="1" customHeight="1">
      <c r="A148" s="1039"/>
      <c r="B148" s="1040"/>
      <c r="C148" s="1040"/>
      <c r="D148" s="118"/>
      <c r="E148" s="119"/>
      <c r="F148" s="1041"/>
      <c r="G148" s="1042"/>
      <c r="H148" s="120">
        <f>+F148*E148</f>
        <v>0</v>
      </c>
      <c r="I148" s="163">
        <f t="shared" si="23"/>
        <v>0</v>
      </c>
      <c r="J148" s="135"/>
      <c r="K148" s="135"/>
      <c r="L148" s="135"/>
      <c r="M148" s="136"/>
      <c r="N148" s="134">
        <f t="shared" si="11"/>
        <v>0</v>
      </c>
      <c r="O148" s="715"/>
      <c r="P148" s="139"/>
      <c r="Q148" s="139"/>
      <c r="R148" s="139"/>
      <c r="S148" s="139"/>
      <c r="T148" s="140"/>
      <c r="U148" s="134">
        <f t="shared" si="24"/>
        <v>0</v>
      </c>
      <c r="V148" s="134"/>
    </row>
    <row r="149" spans="1:22" ht="18" customHeight="1" thickBot="1">
      <c r="A149" s="1045" t="s">
        <v>407</v>
      </c>
      <c r="B149" s="1046"/>
      <c r="C149" s="1046"/>
      <c r="D149" s="1046"/>
      <c r="E149" s="1046"/>
      <c r="F149" s="1046"/>
      <c r="G149" s="1047"/>
      <c r="H149" s="121">
        <f>SUM(H105:H148)</f>
        <v>0</v>
      </c>
      <c r="I149" s="164">
        <f>SUM(I105:I148)</f>
        <v>0</v>
      </c>
      <c r="J149" s="141">
        <f>SUM(J105:J148)</f>
        <v>0</v>
      </c>
      <c r="K149" s="141">
        <f t="shared" ref="K149:M149" si="25">SUM(K105:K148)</f>
        <v>0</v>
      </c>
      <c r="L149" s="141">
        <f>SUM(L105:L148)</f>
        <v>0</v>
      </c>
      <c r="M149" s="142">
        <f t="shared" si="25"/>
        <v>0</v>
      </c>
      <c r="N149" s="134">
        <f t="shared" si="11"/>
        <v>0</v>
      </c>
      <c r="O149" s="716"/>
      <c r="P149" s="717"/>
      <c r="Q149" s="717"/>
      <c r="R149" s="717"/>
      <c r="S149" s="717"/>
      <c r="T149" s="718"/>
      <c r="U149" s="134"/>
      <c r="V149" s="134"/>
    </row>
    <row r="150" spans="1:22" ht="18" customHeight="1">
      <c r="A150" s="114"/>
      <c r="B150" s="114"/>
      <c r="C150" s="114"/>
      <c r="D150" s="114"/>
      <c r="E150" s="114"/>
      <c r="F150" s="114"/>
      <c r="G150" s="114"/>
      <c r="H150" s="146"/>
      <c r="I150" s="836"/>
      <c r="J150" s="147"/>
      <c r="K150" s="147"/>
      <c r="L150" s="147"/>
      <c r="M150" s="147"/>
      <c r="N150" s="134"/>
      <c r="O150" s="147">
        <f>SUM(O11:O149)</f>
        <v>0</v>
      </c>
      <c r="P150" s="147">
        <f t="shared" ref="P150:T150" si="26">SUM(P11:P149)</f>
        <v>0</v>
      </c>
      <c r="Q150" s="147">
        <f t="shared" si="26"/>
        <v>0</v>
      </c>
      <c r="R150" s="147">
        <f t="shared" si="26"/>
        <v>0</v>
      </c>
      <c r="S150" s="147">
        <f t="shared" si="26"/>
        <v>0</v>
      </c>
      <c r="T150" s="147">
        <f t="shared" si="26"/>
        <v>0</v>
      </c>
      <c r="U150" s="134"/>
      <c r="V150" s="134"/>
    </row>
    <row r="151" spans="1:22" ht="18" customHeight="1" thickBot="1">
      <c r="A151" s="114"/>
      <c r="B151" s="114"/>
      <c r="C151" s="114"/>
      <c r="D151" s="114"/>
      <c r="E151" s="114"/>
      <c r="F151" s="114"/>
      <c r="G151" s="114"/>
      <c r="H151" s="146"/>
      <c r="I151" s="123"/>
      <c r="J151" s="147"/>
      <c r="K151" s="147"/>
      <c r="L151" s="147"/>
      <c r="M151" s="147"/>
      <c r="N151" s="134"/>
      <c r="O151" s="134"/>
      <c r="P151" s="134"/>
      <c r="Q151" s="134"/>
      <c r="R151" s="134"/>
      <c r="S151" s="134"/>
      <c r="T151" s="134"/>
      <c r="U151" s="134"/>
      <c r="V151" s="134"/>
    </row>
    <row r="152" spans="1:22" ht="18" customHeight="1">
      <c r="A152" s="114"/>
      <c r="B152" s="114"/>
      <c r="C152" s="114"/>
      <c r="D152" s="114"/>
      <c r="E152" s="114"/>
      <c r="F152" s="114"/>
      <c r="G152" s="114"/>
      <c r="H152" s="146"/>
      <c r="I152" s="123"/>
      <c r="J152" s="1109" t="s">
        <v>433</v>
      </c>
      <c r="K152" s="1110"/>
      <c r="L152" s="1110"/>
      <c r="M152" s="1111"/>
      <c r="N152" s="148"/>
      <c r="O152" s="148"/>
      <c r="P152" s="148"/>
      <c r="Q152" s="148"/>
      <c r="R152" s="148"/>
      <c r="S152" s="148"/>
      <c r="T152" s="148"/>
      <c r="U152" s="148"/>
      <c r="V152" s="148"/>
    </row>
    <row r="153" spans="1:22" ht="18" customHeight="1">
      <c r="B153" s="114"/>
      <c r="C153" s="114"/>
      <c r="D153" s="114"/>
      <c r="E153" s="114"/>
      <c r="F153" s="114"/>
      <c r="H153" s="146"/>
      <c r="I153" s="123"/>
      <c r="J153" s="1112" t="s">
        <v>435</v>
      </c>
      <c r="K153" s="1113"/>
      <c r="L153" s="1113" t="s">
        <v>439</v>
      </c>
      <c r="M153" s="1138"/>
      <c r="N153" s="148"/>
      <c r="O153" s="148"/>
      <c r="P153" s="148"/>
      <c r="Q153" s="148"/>
      <c r="R153" s="148"/>
      <c r="S153" s="148"/>
      <c r="T153" s="148"/>
      <c r="U153" s="148"/>
      <c r="V153" s="148"/>
    </row>
    <row r="154" spans="1:22" ht="18" customHeight="1" thickBot="1">
      <c r="A154" s="1160"/>
      <c r="B154" s="1160"/>
      <c r="C154" s="1160"/>
      <c r="D154" s="1160"/>
      <c r="E154" s="1160"/>
      <c r="F154" s="1160"/>
      <c r="G154" s="1160"/>
      <c r="H154" s="368"/>
      <c r="I154" s="123"/>
      <c r="J154" s="149" t="s">
        <v>437</v>
      </c>
      <c r="K154" s="144" t="s">
        <v>438</v>
      </c>
      <c r="L154" s="144" t="s">
        <v>437</v>
      </c>
      <c r="M154" s="145" t="s">
        <v>438</v>
      </c>
      <c r="N154" s="134"/>
      <c r="O154" s="134"/>
      <c r="P154" s="134"/>
      <c r="Q154" s="134"/>
      <c r="R154" s="134"/>
      <c r="S154" s="134"/>
      <c r="T154" s="134"/>
      <c r="U154" s="134"/>
      <c r="V154" s="134"/>
    </row>
    <row r="155" spans="1:22" ht="18" customHeight="1">
      <c r="A155" s="1158" t="s">
        <v>440</v>
      </c>
      <c r="B155" s="1159"/>
      <c r="C155" s="1159"/>
      <c r="D155" s="1159"/>
      <c r="E155" s="1159"/>
      <c r="F155" s="1159"/>
      <c r="G155" s="1159"/>
      <c r="H155" s="699">
        <f>H100+H149</f>
        <v>0</v>
      </c>
      <c r="J155" s="150">
        <f>J100+J149</f>
        <v>0</v>
      </c>
      <c r="K155" s="151">
        <f>K100+K149</f>
        <v>0</v>
      </c>
      <c r="L155" s="151">
        <f>L100+L149</f>
        <v>0</v>
      </c>
      <c r="M155" s="152">
        <f>M100+M149</f>
        <v>0</v>
      </c>
      <c r="N155" s="134">
        <f>H155-SUM(J155:M155)</f>
        <v>0</v>
      </c>
      <c r="O155" s="134"/>
      <c r="P155" s="134"/>
      <c r="Q155" s="134"/>
      <c r="R155" s="134"/>
      <c r="S155" s="134"/>
      <c r="T155" s="134"/>
      <c r="U155" s="134"/>
      <c r="V155" s="134"/>
    </row>
    <row r="156" spans="1:22" ht="18" customHeight="1">
      <c r="A156" s="1161" t="s">
        <v>441</v>
      </c>
      <c r="B156" s="1162"/>
      <c r="C156" s="1162"/>
      <c r="D156" s="1162"/>
      <c r="E156" s="1162"/>
      <c r="F156" s="1162"/>
      <c r="G156" s="1162"/>
      <c r="H156" s="721">
        <f>J156</f>
        <v>0</v>
      </c>
      <c r="J156" s="693">
        <f>J155</f>
        <v>0</v>
      </c>
      <c r="K156" s="153"/>
      <c r="L156" s="153">
        <f>IF(H154="Si",L155,0)</f>
        <v>0</v>
      </c>
      <c r="M156" s="154"/>
      <c r="N156" s="134">
        <f>H156-SUM(J156:M156)</f>
        <v>0</v>
      </c>
      <c r="O156" s="134"/>
      <c r="P156" s="134"/>
      <c r="Q156" s="134"/>
      <c r="R156" s="134"/>
      <c r="S156" s="134"/>
      <c r="T156" s="134"/>
      <c r="U156" s="134"/>
      <c r="V156" s="134"/>
    </row>
    <row r="157" spans="1:22" ht="18" customHeight="1">
      <c r="A157" s="1161" t="s">
        <v>442</v>
      </c>
      <c r="B157" s="1162"/>
      <c r="C157" s="1162"/>
      <c r="D157" s="1162"/>
      <c r="E157" s="1162"/>
      <c r="F157" s="1162"/>
      <c r="G157" s="155"/>
      <c r="H157" s="722">
        <f>G157*H156</f>
        <v>0</v>
      </c>
      <c r="I157" s="156"/>
      <c r="J157" s="693">
        <f>J156*G157</f>
        <v>0</v>
      </c>
      <c r="K157" s="153"/>
      <c r="L157" s="153">
        <f>IF($H$154="Si",L156*G157,0)</f>
        <v>0</v>
      </c>
      <c r="M157" s="154"/>
      <c r="N157" s="134">
        <f t="shared" ref="N157" si="27">H157-SUM(J157:M157)</f>
        <v>0</v>
      </c>
      <c r="O157" s="134"/>
      <c r="P157" s="134"/>
      <c r="Q157" s="134"/>
      <c r="R157" s="134"/>
      <c r="S157" s="134"/>
      <c r="T157" s="134"/>
      <c r="U157" s="134"/>
      <c r="V157" s="134"/>
    </row>
    <row r="158" spans="1:22" ht="18" customHeight="1" thickBot="1">
      <c r="A158" s="1163" t="s">
        <v>443</v>
      </c>
      <c r="B158" s="1164"/>
      <c r="C158" s="1164"/>
      <c r="D158" s="1164"/>
      <c r="E158" s="1164"/>
      <c r="F158" s="1164"/>
      <c r="G158" s="1164"/>
      <c r="H158" s="701">
        <f>H155+H157</f>
        <v>0</v>
      </c>
      <c r="J158" s="150">
        <f>SUM(J156:J157)</f>
        <v>0</v>
      </c>
      <c r="K158" s="151">
        <f>K155</f>
        <v>0</v>
      </c>
      <c r="L158" s="151">
        <f>IF(H154="Si",SUM(L156:L157),L155)</f>
        <v>0</v>
      </c>
      <c r="M158" s="152">
        <f>M155</f>
        <v>0</v>
      </c>
      <c r="N158" s="134">
        <f>H158-SUM(J158:M158)</f>
        <v>0</v>
      </c>
      <c r="O158" s="134"/>
      <c r="P158" s="134"/>
      <c r="Q158" s="134"/>
      <c r="R158" s="134"/>
      <c r="S158" s="134"/>
      <c r="T158" s="134"/>
      <c r="U158" s="134"/>
      <c r="V158" s="134"/>
    </row>
    <row r="159" spans="1:22" ht="18" customHeight="1">
      <c r="A159" s="114"/>
      <c r="B159" s="114"/>
      <c r="C159" s="114"/>
      <c r="D159" s="114"/>
      <c r="E159" s="114"/>
      <c r="F159" s="114"/>
      <c r="H159" s="122"/>
      <c r="J159" s="1127">
        <f>J158+K158</f>
        <v>0</v>
      </c>
      <c r="K159" s="1128"/>
      <c r="L159" s="1128">
        <f>L158+M158</f>
        <v>0</v>
      </c>
      <c r="M159" s="1165"/>
      <c r="N159" s="157" t="s">
        <v>444</v>
      </c>
      <c r="O159" s="407">
        <f>H158-J159-L159</f>
        <v>0</v>
      </c>
      <c r="P159" s="365"/>
      <c r="Q159" s="365"/>
      <c r="R159" s="365"/>
      <c r="S159" s="365"/>
      <c r="T159" s="365"/>
      <c r="U159" s="365"/>
    </row>
    <row r="160" spans="1:22" ht="18" customHeight="1" thickBot="1">
      <c r="A160" s="114"/>
      <c r="B160" s="114"/>
      <c r="C160" s="114"/>
      <c r="D160" s="114"/>
      <c r="E160" s="114"/>
      <c r="F160" s="114"/>
      <c r="G160" s="114"/>
      <c r="H160" s="122"/>
      <c r="J160" s="1131">
        <f>IFERROR(J159/H158,0)</f>
        <v>0</v>
      </c>
      <c r="K160" s="1132"/>
      <c r="L160" s="1166">
        <f>IFERROR(L159/H158,0)</f>
        <v>0</v>
      </c>
      <c r="M160" s="1167"/>
      <c r="N160" s="158" t="s">
        <v>445</v>
      </c>
      <c r="O160" s="365"/>
      <c r="P160" s="365"/>
      <c r="Q160" s="365"/>
      <c r="R160" s="365"/>
      <c r="S160" s="365"/>
      <c r="T160" s="365"/>
      <c r="U160" s="365"/>
      <c r="V160" s="365"/>
    </row>
    <row r="161" spans="1:23" ht="18" customHeight="1" thickBot="1">
      <c r="A161" s="1055" t="s">
        <v>415</v>
      </c>
      <c r="B161" s="1056"/>
      <c r="C161" s="1056"/>
      <c r="D161" s="1056"/>
      <c r="E161" s="1056"/>
      <c r="F161" s="1057"/>
      <c r="G161" s="126"/>
      <c r="H161" s="122"/>
    </row>
    <row r="162" spans="1:23" ht="27" customHeight="1">
      <c r="A162" s="1129" t="s">
        <v>391</v>
      </c>
      <c r="B162" s="1130"/>
      <c r="C162" s="1130"/>
      <c r="D162" s="639" t="s">
        <v>397</v>
      </c>
      <c r="E162" s="165" t="s">
        <v>416</v>
      </c>
      <c r="F162" s="166" t="s">
        <v>417</v>
      </c>
      <c r="G162" s="126"/>
    </row>
    <row r="163" spans="1:23" ht="30.75" customHeight="1">
      <c r="A163" s="1062" t="str">
        <f>A100</f>
        <v>SUBTOTAL PERSONAL (Mano de Obra Calificada + Mano de Obra no Calificada)</v>
      </c>
      <c r="B163" s="1063"/>
      <c r="C163" s="1063"/>
      <c r="D163" s="111">
        <f>H100</f>
        <v>0</v>
      </c>
      <c r="E163" s="704">
        <f>IFERROR(D163/$H$155,0)</f>
        <v>0</v>
      </c>
      <c r="F163" s="705">
        <f>IFERROR(D163/$H$158,0)</f>
        <v>0</v>
      </c>
      <c r="G163" s="126"/>
      <c r="H163" s="159"/>
    </row>
    <row r="164" spans="1:23" ht="18" customHeight="1">
      <c r="A164" s="1051" t="str">
        <f>A102</f>
        <v>COSTOS (Diferentes a los costos del personal)</v>
      </c>
      <c r="B164" s="1052"/>
      <c r="C164" s="1052"/>
      <c r="D164" s="111">
        <f>H149</f>
        <v>0</v>
      </c>
      <c r="E164" s="704">
        <f>IFERROR(D164/$H$155,0)</f>
        <v>0</v>
      </c>
      <c r="F164" s="705">
        <f t="shared" ref="F164:F165" si="28">IFERROR(D164/$H$158,0)</f>
        <v>0</v>
      </c>
      <c r="G164" s="126"/>
      <c r="H164" s="122"/>
    </row>
    <row r="165" spans="1:23" ht="18" customHeight="1" thickBot="1">
      <c r="A165" s="1053" t="str">
        <f>A157</f>
        <v>Gastos de administración u operativos</v>
      </c>
      <c r="B165" s="1054"/>
      <c r="C165" s="1054"/>
      <c r="D165" s="723">
        <f>H157</f>
        <v>0</v>
      </c>
      <c r="E165" s="724" t="s">
        <v>418</v>
      </c>
      <c r="F165" s="710">
        <f t="shared" si="28"/>
        <v>0</v>
      </c>
      <c r="G165" s="126"/>
      <c r="H165" s="122"/>
      <c r="I165" s="159"/>
      <c r="J165" s="159"/>
      <c r="K165" s="159"/>
      <c r="L165" s="159"/>
      <c r="M165" s="159"/>
      <c r="N165" s="159"/>
      <c r="O165" s="159"/>
      <c r="P165" s="159"/>
      <c r="Q165" s="159"/>
      <c r="R165" s="159"/>
      <c r="S165" s="159"/>
      <c r="T165" s="159"/>
      <c r="U165" s="159"/>
      <c r="V165" s="159"/>
      <c r="W165" s="159"/>
    </row>
    <row r="166" spans="1:23" ht="18" customHeight="1">
      <c r="E166" s="127">
        <f>SUM(E163:E164)</f>
        <v>0</v>
      </c>
      <c r="F166" s="127">
        <f>SUM(F163:F165)</f>
        <v>0</v>
      </c>
    </row>
    <row r="167" spans="1:23" ht="18" customHeight="1" thickBot="1"/>
    <row r="168" spans="1:23" ht="100.5" customHeight="1" thickBot="1">
      <c r="A168" s="1153" t="s">
        <v>446</v>
      </c>
      <c r="B168" s="1154"/>
      <c r="C168" s="1154"/>
      <c r="D168" s="1154"/>
      <c r="E168" s="1154"/>
      <c r="F168" s="1154"/>
      <c r="G168" s="1154"/>
      <c r="H168" s="1154"/>
      <c r="I168" s="1154"/>
      <c r="J168" s="1154"/>
      <c r="K168" s="1154"/>
      <c r="L168" s="1154"/>
      <c r="M168" s="1154"/>
      <c r="N168" s="1155"/>
      <c r="O168" s="73"/>
      <c r="P168" s="73"/>
      <c r="Q168" s="73"/>
      <c r="R168" s="73"/>
      <c r="S168" s="73"/>
      <c r="T168" s="73"/>
      <c r="U168" s="73"/>
    </row>
    <row r="169" spans="1:23" ht="21" customHeight="1" thickBot="1">
      <c r="A169" s="1156" t="s">
        <v>447</v>
      </c>
      <c r="B169" s="1157"/>
      <c r="C169" s="410" t="s">
        <v>413</v>
      </c>
    </row>
    <row r="170" spans="1:23" ht="18" customHeight="1" thickBot="1"/>
    <row r="171" spans="1:23" ht="18" customHeight="1" thickBot="1">
      <c r="A171" s="1048" t="s">
        <v>448</v>
      </c>
      <c r="B171" s="1049"/>
      <c r="C171" s="1049"/>
      <c r="D171" s="1049"/>
      <c r="E171" s="1049"/>
      <c r="F171" s="1050"/>
    </row>
    <row r="172" spans="1:23" ht="66" customHeight="1">
      <c r="A172" s="404" t="s">
        <v>420</v>
      </c>
      <c r="B172" s="405" t="s">
        <v>449</v>
      </c>
      <c r="C172" s="405" t="s">
        <v>450</v>
      </c>
      <c r="D172" s="405" t="s">
        <v>424</v>
      </c>
      <c r="E172" s="405" t="s">
        <v>425</v>
      </c>
      <c r="F172" s="406" t="s">
        <v>417</v>
      </c>
    </row>
    <row r="173" spans="1:23" ht="18" customHeight="1">
      <c r="A173" s="394"/>
      <c r="B173" s="153"/>
      <c r="C173" s="153"/>
      <c r="D173" s="153">
        <f>SUM(B173:C173)</f>
        <v>0</v>
      </c>
      <c r="E173" s="392"/>
      <c r="F173" s="398">
        <f>IFERROR(D173/$J$158,0)</f>
        <v>0</v>
      </c>
    </row>
    <row r="174" spans="1:23" ht="18" customHeight="1">
      <c r="A174" s="394"/>
      <c r="B174" s="153"/>
      <c r="C174" s="153"/>
      <c r="D174" s="153">
        <f t="shared" ref="D174:D192" si="29">SUM(B174:C174)</f>
        <v>0</v>
      </c>
      <c r="E174" s="392"/>
      <c r="F174" s="398">
        <f t="shared" ref="F174:F192" si="30">IFERROR(D174/$J$158,0)</f>
        <v>0</v>
      </c>
    </row>
    <row r="175" spans="1:23" ht="18" customHeight="1">
      <c r="A175" s="394"/>
      <c r="B175" s="153"/>
      <c r="C175" s="153"/>
      <c r="D175" s="153">
        <f t="shared" si="29"/>
        <v>0</v>
      </c>
      <c r="E175" s="392"/>
      <c r="F175" s="398">
        <f t="shared" si="30"/>
        <v>0</v>
      </c>
    </row>
    <row r="176" spans="1:23" ht="18" customHeight="1">
      <c r="A176" s="394"/>
      <c r="B176" s="153"/>
      <c r="C176" s="153"/>
      <c r="D176" s="153">
        <f t="shared" ref="D176:D185" si="31">SUM(B176:C176)</f>
        <v>0</v>
      </c>
      <c r="E176" s="392"/>
      <c r="F176" s="398">
        <f t="shared" ref="F176:F185" si="32">IFERROR(D176/$J$158,0)</f>
        <v>0</v>
      </c>
    </row>
    <row r="177" spans="1:6" ht="18" customHeight="1">
      <c r="A177" s="394"/>
      <c r="B177" s="153"/>
      <c r="C177" s="153"/>
      <c r="D177" s="153">
        <f t="shared" si="31"/>
        <v>0</v>
      </c>
      <c r="E177" s="392"/>
      <c r="F177" s="398">
        <f t="shared" si="32"/>
        <v>0</v>
      </c>
    </row>
    <row r="178" spans="1:6" ht="18" customHeight="1">
      <c r="A178" s="394"/>
      <c r="B178" s="153"/>
      <c r="C178" s="153"/>
      <c r="D178" s="153">
        <f t="shared" si="31"/>
        <v>0</v>
      </c>
      <c r="E178" s="392"/>
      <c r="F178" s="398">
        <f t="shared" si="32"/>
        <v>0</v>
      </c>
    </row>
    <row r="179" spans="1:6" ht="18" customHeight="1">
      <c r="A179" s="394"/>
      <c r="B179" s="153"/>
      <c r="C179" s="153"/>
      <c r="D179" s="153">
        <f t="shared" si="31"/>
        <v>0</v>
      </c>
      <c r="E179" s="392"/>
      <c r="F179" s="398">
        <f t="shared" si="32"/>
        <v>0</v>
      </c>
    </row>
    <row r="180" spans="1:6" ht="18" customHeight="1">
      <c r="A180" s="394"/>
      <c r="B180" s="153"/>
      <c r="C180" s="153"/>
      <c r="D180" s="153">
        <f t="shared" si="31"/>
        <v>0</v>
      </c>
      <c r="E180" s="392"/>
      <c r="F180" s="398">
        <f t="shared" si="32"/>
        <v>0</v>
      </c>
    </row>
    <row r="181" spans="1:6" ht="18" customHeight="1">
      <c r="A181" s="394"/>
      <c r="B181" s="153"/>
      <c r="C181" s="153"/>
      <c r="D181" s="153">
        <f t="shared" si="31"/>
        <v>0</v>
      </c>
      <c r="E181" s="392"/>
      <c r="F181" s="398">
        <f>IFERROR(D181/$J$158,0)</f>
        <v>0</v>
      </c>
    </row>
    <row r="182" spans="1:6" ht="18" hidden="1" customHeight="1">
      <c r="A182" s="394"/>
      <c r="B182" s="153"/>
      <c r="C182" s="153"/>
      <c r="D182" s="153">
        <f t="shared" si="31"/>
        <v>0</v>
      </c>
      <c r="E182" s="392"/>
      <c r="F182" s="398">
        <f t="shared" si="32"/>
        <v>0</v>
      </c>
    </row>
    <row r="183" spans="1:6" ht="18" hidden="1" customHeight="1">
      <c r="A183" s="394"/>
      <c r="B183" s="153"/>
      <c r="C183" s="153"/>
      <c r="D183" s="153">
        <f t="shared" si="31"/>
        <v>0</v>
      </c>
      <c r="E183" s="392"/>
      <c r="F183" s="398">
        <f t="shared" si="32"/>
        <v>0</v>
      </c>
    </row>
    <row r="184" spans="1:6" ht="18" hidden="1" customHeight="1">
      <c r="A184" s="394"/>
      <c r="B184" s="153"/>
      <c r="C184" s="153"/>
      <c r="D184" s="153">
        <f t="shared" si="31"/>
        <v>0</v>
      </c>
      <c r="E184" s="392"/>
      <c r="F184" s="398">
        <f t="shared" si="32"/>
        <v>0</v>
      </c>
    </row>
    <row r="185" spans="1:6" ht="18" hidden="1" customHeight="1">
      <c r="A185" s="394"/>
      <c r="B185" s="153"/>
      <c r="C185" s="153"/>
      <c r="D185" s="153">
        <f t="shared" si="31"/>
        <v>0</v>
      </c>
      <c r="E185" s="392"/>
      <c r="F185" s="398">
        <f t="shared" si="32"/>
        <v>0</v>
      </c>
    </row>
    <row r="186" spans="1:6" ht="18" hidden="1" customHeight="1">
      <c r="A186" s="394"/>
      <c r="B186" s="153"/>
      <c r="C186" s="153"/>
      <c r="D186" s="153">
        <f t="shared" si="29"/>
        <v>0</v>
      </c>
      <c r="E186" s="392"/>
      <c r="F186" s="398">
        <f>IFERROR(D186/$J$158,0)</f>
        <v>0</v>
      </c>
    </row>
    <row r="187" spans="1:6" ht="18" hidden="1" customHeight="1">
      <c r="A187" s="394"/>
      <c r="B187" s="153"/>
      <c r="C187" s="153"/>
      <c r="D187" s="153">
        <f t="shared" si="29"/>
        <v>0</v>
      </c>
      <c r="E187" s="392"/>
      <c r="F187" s="398">
        <f t="shared" si="30"/>
        <v>0</v>
      </c>
    </row>
    <row r="188" spans="1:6" ht="18" hidden="1" customHeight="1">
      <c r="A188" s="394"/>
      <c r="B188" s="153"/>
      <c r="C188" s="153"/>
      <c r="D188" s="153">
        <f t="shared" si="29"/>
        <v>0</v>
      </c>
      <c r="E188" s="392"/>
      <c r="F188" s="398">
        <f t="shared" si="30"/>
        <v>0</v>
      </c>
    </row>
    <row r="189" spans="1:6" ht="18" hidden="1" customHeight="1">
      <c r="A189" s="394"/>
      <c r="B189" s="153"/>
      <c r="C189" s="153"/>
      <c r="D189" s="153">
        <f t="shared" si="29"/>
        <v>0</v>
      </c>
      <c r="E189" s="392"/>
      <c r="F189" s="398">
        <f t="shared" si="30"/>
        <v>0</v>
      </c>
    </row>
    <row r="190" spans="1:6" ht="18" hidden="1" customHeight="1">
      <c r="A190" s="394"/>
      <c r="B190" s="153"/>
      <c r="C190" s="153"/>
      <c r="D190" s="153">
        <f t="shared" si="29"/>
        <v>0</v>
      </c>
      <c r="E190" s="392"/>
      <c r="F190" s="398">
        <f t="shared" si="30"/>
        <v>0</v>
      </c>
    </row>
    <row r="191" spans="1:6" ht="18" hidden="1" customHeight="1">
      <c r="A191" s="394"/>
      <c r="B191" s="153"/>
      <c r="C191" s="153"/>
      <c r="D191" s="153">
        <f t="shared" si="29"/>
        <v>0</v>
      </c>
      <c r="E191" s="392"/>
      <c r="F191" s="398">
        <f t="shared" si="30"/>
        <v>0</v>
      </c>
    </row>
    <row r="192" spans="1:6" ht="18" customHeight="1" thickBot="1">
      <c r="A192" s="395"/>
      <c r="B192" s="397"/>
      <c r="C192" s="397"/>
      <c r="D192" s="397">
        <f t="shared" si="29"/>
        <v>0</v>
      </c>
      <c r="E192" s="396"/>
      <c r="F192" s="399">
        <f t="shared" si="30"/>
        <v>0</v>
      </c>
    </row>
    <row r="193" spans="2:6" ht="18" customHeight="1">
      <c r="B193" s="834">
        <f>SUM(B173:B192)</f>
        <v>0</v>
      </c>
      <c r="C193" s="834">
        <f>SUM(C173:C192)</f>
        <v>0</v>
      </c>
      <c r="D193" s="834">
        <f>SUM(D173:D192)</f>
        <v>0</v>
      </c>
      <c r="E193" s="832"/>
      <c r="F193" s="838">
        <f>SUM(F173:F192)</f>
        <v>0</v>
      </c>
    </row>
    <row r="194" spans="2:6" ht="18" customHeight="1">
      <c r="B194" s="835">
        <f>B193-J156</f>
        <v>0</v>
      </c>
      <c r="C194" s="134">
        <f>C193-J157</f>
        <v>0</v>
      </c>
      <c r="D194" s="835">
        <f>D193-J158</f>
        <v>0</v>
      </c>
      <c r="E194" s="839"/>
      <c r="F194" s="839"/>
    </row>
  </sheetData>
  <sheetProtection algorithmName="SHA-512" hashValue="zB+kQ3OR0ydXQ1yBHxSh2bzlwqsNYkHbze9tcSqMMvOTiNDwq/Gs4k21GdOuh7Is6VUsRl3qXr9ayOtd+xcUUw==" saltValue="OOAwPcjr6BseYixwT70AnQ==" spinCount="100000" sheet="1" objects="1" scenarios="1" formatCells="0" formatColumns="0" formatRows="0" insertColumns="0" insertRows="0" insertHyperlinks="0" deleteColumns="0" deleteRows="0" sort="0" autoFilter="0" pivotTables="0"/>
  <mergeCells count="147">
    <mergeCell ref="A143:C143"/>
    <mergeCell ref="A144:C144"/>
    <mergeCell ref="A145:C145"/>
    <mergeCell ref="A146:C146"/>
    <mergeCell ref="F143:G143"/>
    <mergeCell ref="F144:G144"/>
    <mergeCell ref="A168:N168"/>
    <mergeCell ref="A169:B169"/>
    <mergeCell ref="F145:G145"/>
    <mergeCell ref="F146:G146"/>
    <mergeCell ref="A149:G149"/>
    <mergeCell ref="A155:G155"/>
    <mergeCell ref="A154:G154"/>
    <mergeCell ref="A157:F157"/>
    <mergeCell ref="A158:G158"/>
    <mergeCell ref="A161:F161"/>
    <mergeCell ref="A163:C163"/>
    <mergeCell ref="L153:M153"/>
    <mergeCell ref="A156:G156"/>
    <mergeCell ref="A147:C147"/>
    <mergeCell ref="F147:G147"/>
    <mergeCell ref="A148:C148"/>
    <mergeCell ref="L159:M159"/>
    <mergeCell ref="L160:M160"/>
    <mergeCell ref="A140:C140"/>
    <mergeCell ref="A141:C141"/>
    <mergeCell ref="A142:C142"/>
    <mergeCell ref="F141:G141"/>
    <mergeCell ref="F142:G142"/>
    <mergeCell ref="F139:G139"/>
    <mergeCell ref="F140:G140"/>
    <mergeCell ref="F110:G110"/>
    <mergeCell ref="F111:G111"/>
    <mergeCell ref="F112:G112"/>
    <mergeCell ref="F113:G113"/>
    <mergeCell ref="F114:G114"/>
    <mergeCell ref="F115:G115"/>
    <mergeCell ref="F116:G116"/>
    <mergeCell ref="F117:G117"/>
    <mergeCell ref="F118:G118"/>
    <mergeCell ref="F119:G119"/>
    <mergeCell ref="F120:G120"/>
    <mergeCell ref="F121:G121"/>
    <mergeCell ref="F122:G122"/>
    <mergeCell ref="F123:G123"/>
    <mergeCell ref="A117:C117"/>
    <mergeCell ref="A118:C118"/>
    <mergeCell ref="A119:C119"/>
    <mergeCell ref="A120:C120"/>
    <mergeCell ref="A121:C121"/>
    <mergeCell ref="A122:C122"/>
    <mergeCell ref="A123:C123"/>
    <mergeCell ref="A124:C124"/>
    <mergeCell ref="A127:C127"/>
    <mergeCell ref="A171:F171"/>
    <mergeCell ref="O8:T9"/>
    <mergeCell ref="I103:I104"/>
    <mergeCell ref="J102:M102"/>
    <mergeCell ref="J103:K103"/>
    <mergeCell ref="L103:M103"/>
    <mergeCell ref="A103:C104"/>
    <mergeCell ref="D103:D104"/>
    <mergeCell ref="E103:E104"/>
    <mergeCell ref="F103:G104"/>
    <mergeCell ref="J8:M8"/>
    <mergeCell ref="J9:K9"/>
    <mergeCell ref="L9:M9"/>
    <mergeCell ref="A9:A10"/>
    <mergeCell ref="I9:I10"/>
    <mergeCell ref="B9:B10"/>
    <mergeCell ref="A8:I8"/>
    <mergeCell ref="A100:G100"/>
    <mergeCell ref="A102:I102"/>
    <mergeCell ref="A105:C105"/>
    <mergeCell ref="F105:G105"/>
    <mergeCell ref="A106:C106"/>
    <mergeCell ref="H103:H104"/>
    <mergeCell ref="A108:C108"/>
    <mergeCell ref="J159:K159"/>
    <mergeCell ref="A164:C164"/>
    <mergeCell ref="A165:C165"/>
    <mergeCell ref="A162:C162"/>
    <mergeCell ref="J160:K160"/>
    <mergeCell ref="F108:G108"/>
    <mergeCell ref="A109:C109"/>
    <mergeCell ref="F109:G109"/>
    <mergeCell ref="A110:C110"/>
    <mergeCell ref="A111:C111"/>
    <mergeCell ref="A112:C112"/>
    <mergeCell ref="A113:C113"/>
    <mergeCell ref="A114:C114"/>
    <mergeCell ref="F124:G124"/>
    <mergeCell ref="A125:C125"/>
    <mergeCell ref="F125:G125"/>
    <mergeCell ref="A126:C126"/>
    <mergeCell ref="F126:G126"/>
    <mergeCell ref="A1:D3"/>
    <mergeCell ref="E1:T1"/>
    <mergeCell ref="E2:T2"/>
    <mergeCell ref="E3:L3"/>
    <mergeCell ref="M3:T3"/>
    <mergeCell ref="A5:B5"/>
    <mergeCell ref="A6:B6"/>
    <mergeCell ref="C5:T5"/>
    <mergeCell ref="C6:T6"/>
    <mergeCell ref="F148:G148"/>
    <mergeCell ref="J152:M152"/>
    <mergeCell ref="J153:K153"/>
    <mergeCell ref="H9:H10"/>
    <mergeCell ref="C9:C10"/>
    <mergeCell ref="D9:D10"/>
    <mergeCell ref="E9:E10"/>
    <mergeCell ref="F9:F10"/>
    <mergeCell ref="G9:G10"/>
    <mergeCell ref="A107:C107"/>
    <mergeCell ref="F107:G107"/>
    <mergeCell ref="A61:G61"/>
    <mergeCell ref="F106:G106"/>
    <mergeCell ref="A11:M11"/>
    <mergeCell ref="A62:M62"/>
    <mergeCell ref="A99:G99"/>
    <mergeCell ref="A139:C139"/>
    <mergeCell ref="A115:C115"/>
    <mergeCell ref="A116:C116"/>
    <mergeCell ref="A130:C130"/>
    <mergeCell ref="F130:G130"/>
    <mergeCell ref="A131:C131"/>
    <mergeCell ref="F131:G131"/>
    <mergeCell ref="A132:C132"/>
    <mergeCell ref="F127:G127"/>
    <mergeCell ref="A128:C128"/>
    <mergeCell ref="F128:G128"/>
    <mergeCell ref="A129:C129"/>
    <mergeCell ref="F129:G129"/>
    <mergeCell ref="A136:C136"/>
    <mergeCell ref="F136:G136"/>
    <mergeCell ref="A137:C137"/>
    <mergeCell ref="F137:G137"/>
    <mergeCell ref="A138:C138"/>
    <mergeCell ref="F138:G138"/>
    <mergeCell ref="A133:C133"/>
    <mergeCell ref="F133:G133"/>
    <mergeCell ref="A134:C134"/>
    <mergeCell ref="F134:G134"/>
    <mergeCell ref="A135:C135"/>
    <mergeCell ref="F135:G135"/>
    <mergeCell ref="F132:G132"/>
  </mergeCells>
  <dataValidations xWindow="266" yWindow="562" count="8">
    <dataValidation allowBlank="1" showInputMessage="1" showErrorMessage="1" prompt="diligencie la cantidad del personal requerido" sqref="WVJ983176:WVJ983184 IX12:IX60 ST12:ST60 ACP12:ACP60 AML12:AML60 AWH12:AWH60 BGD12:BGD60 BPZ12:BPZ60 BZV12:BZV60 CJR12:CJR60 CTN12:CTN60 DDJ12:DDJ60 DNF12:DNF60 DXB12:DXB60 EGX12:EGX60 EQT12:EQT60 FAP12:FAP60 FKL12:FKL60 FUH12:FUH60 GED12:GED60 GNZ12:GNZ60 GXV12:GXV60 HHR12:HHR60 HRN12:HRN60 IBJ12:IBJ60 ILF12:ILF60 IVB12:IVB60 JEX12:JEX60 JOT12:JOT60 JYP12:JYP60 KIL12:KIL60 KSH12:KSH60 LCD12:LCD60 LLZ12:LLZ60 LVV12:LVV60 MFR12:MFR60 MPN12:MPN60 MZJ12:MZJ60 NJF12:NJF60 NTB12:NTB60 OCX12:OCX60 OMT12:OMT60 OWP12:OWP60 PGL12:PGL60 PQH12:PQH60 QAD12:QAD60 QJZ12:QJZ60 QTV12:QTV60 RDR12:RDR60 RNN12:RNN60 RXJ12:RXJ60 SHF12:SHF60 SRB12:SRB60 TAX12:TAX60 TKT12:TKT60 TUP12:TUP60 UEL12:UEL60 UOH12:UOH60 UYD12:UYD60 VHZ12:VHZ60 VRV12:VRV60 WBR12:WBR60 WLN12:WLN60 WVJ12:WVJ60 B65662:B65670 IX65661:IX65669 ST65661:ST65669 ACP65661:ACP65669 AML65661:AML65669 AWH65661:AWH65669 BGD65661:BGD65669 BPZ65661:BPZ65669 BZV65661:BZV65669 CJR65661:CJR65669 CTN65661:CTN65669 DDJ65661:DDJ65669 DNF65661:DNF65669 DXB65661:DXB65669 EGX65661:EGX65669 EQT65661:EQT65669 FAP65661:FAP65669 FKL65661:FKL65669 FUH65661:FUH65669 GED65661:GED65669 GNZ65661:GNZ65669 GXV65661:GXV65669 HHR65661:HHR65669 HRN65661:HRN65669 IBJ65661:IBJ65669 ILF65661:ILF65669 IVB65661:IVB65669 JEX65661:JEX65669 JOT65661:JOT65669 JYP65661:JYP65669 KIL65661:KIL65669 KSH65661:KSH65669 LCD65661:LCD65669 LLZ65661:LLZ65669 LVV65661:LVV65669 MFR65661:MFR65669 MPN65661:MPN65669 MZJ65661:MZJ65669 NJF65661:NJF65669 NTB65661:NTB65669 OCX65661:OCX65669 OMT65661:OMT65669 OWP65661:OWP65669 PGL65661:PGL65669 PQH65661:PQH65669 QAD65661:QAD65669 QJZ65661:QJZ65669 QTV65661:QTV65669 RDR65661:RDR65669 RNN65661:RNN65669 RXJ65661:RXJ65669 SHF65661:SHF65669 SRB65661:SRB65669 TAX65661:TAX65669 TKT65661:TKT65669 TUP65661:TUP65669 UEL65661:UEL65669 UOH65661:UOH65669 UYD65661:UYD65669 VHZ65661:VHZ65669 VRV65661:VRV65669 WBR65661:WBR65669 WLN65661:WLN65669 WVJ65661:WVJ65669 B131198:B131206 IX131197:IX131205 ST131197:ST131205 ACP131197:ACP131205 AML131197:AML131205 AWH131197:AWH131205 BGD131197:BGD131205 BPZ131197:BPZ131205 BZV131197:BZV131205 CJR131197:CJR131205 CTN131197:CTN131205 DDJ131197:DDJ131205 DNF131197:DNF131205 DXB131197:DXB131205 EGX131197:EGX131205 EQT131197:EQT131205 FAP131197:FAP131205 FKL131197:FKL131205 FUH131197:FUH131205 GED131197:GED131205 GNZ131197:GNZ131205 GXV131197:GXV131205 HHR131197:HHR131205 HRN131197:HRN131205 IBJ131197:IBJ131205 ILF131197:ILF131205 IVB131197:IVB131205 JEX131197:JEX131205 JOT131197:JOT131205 JYP131197:JYP131205 KIL131197:KIL131205 KSH131197:KSH131205 LCD131197:LCD131205 LLZ131197:LLZ131205 LVV131197:LVV131205 MFR131197:MFR131205 MPN131197:MPN131205 MZJ131197:MZJ131205 NJF131197:NJF131205 NTB131197:NTB131205 OCX131197:OCX131205 OMT131197:OMT131205 OWP131197:OWP131205 PGL131197:PGL131205 PQH131197:PQH131205 QAD131197:QAD131205 QJZ131197:QJZ131205 QTV131197:QTV131205 RDR131197:RDR131205 RNN131197:RNN131205 RXJ131197:RXJ131205 SHF131197:SHF131205 SRB131197:SRB131205 TAX131197:TAX131205 TKT131197:TKT131205 TUP131197:TUP131205 UEL131197:UEL131205 UOH131197:UOH131205 UYD131197:UYD131205 VHZ131197:VHZ131205 VRV131197:VRV131205 WBR131197:WBR131205 WLN131197:WLN131205 WVJ131197:WVJ131205 B196734:B196742 IX196733:IX196741 ST196733:ST196741 ACP196733:ACP196741 AML196733:AML196741 AWH196733:AWH196741 BGD196733:BGD196741 BPZ196733:BPZ196741 BZV196733:BZV196741 CJR196733:CJR196741 CTN196733:CTN196741 DDJ196733:DDJ196741 DNF196733:DNF196741 DXB196733:DXB196741 EGX196733:EGX196741 EQT196733:EQT196741 FAP196733:FAP196741 FKL196733:FKL196741 FUH196733:FUH196741 GED196733:GED196741 GNZ196733:GNZ196741 GXV196733:GXV196741 HHR196733:HHR196741 HRN196733:HRN196741 IBJ196733:IBJ196741 ILF196733:ILF196741 IVB196733:IVB196741 JEX196733:JEX196741 JOT196733:JOT196741 JYP196733:JYP196741 KIL196733:KIL196741 KSH196733:KSH196741 LCD196733:LCD196741 LLZ196733:LLZ196741 LVV196733:LVV196741 MFR196733:MFR196741 MPN196733:MPN196741 MZJ196733:MZJ196741 NJF196733:NJF196741 NTB196733:NTB196741 OCX196733:OCX196741 OMT196733:OMT196741 OWP196733:OWP196741 PGL196733:PGL196741 PQH196733:PQH196741 QAD196733:QAD196741 QJZ196733:QJZ196741 QTV196733:QTV196741 RDR196733:RDR196741 RNN196733:RNN196741 RXJ196733:RXJ196741 SHF196733:SHF196741 SRB196733:SRB196741 TAX196733:TAX196741 TKT196733:TKT196741 TUP196733:TUP196741 UEL196733:UEL196741 UOH196733:UOH196741 UYD196733:UYD196741 VHZ196733:VHZ196741 VRV196733:VRV196741 WBR196733:WBR196741 WLN196733:WLN196741 WVJ196733:WVJ196741 B262270:B262278 IX262269:IX262277 ST262269:ST262277 ACP262269:ACP262277 AML262269:AML262277 AWH262269:AWH262277 BGD262269:BGD262277 BPZ262269:BPZ262277 BZV262269:BZV262277 CJR262269:CJR262277 CTN262269:CTN262277 DDJ262269:DDJ262277 DNF262269:DNF262277 DXB262269:DXB262277 EGX262269:EGX262277 EQT262269:EQT262277 FAP262269:FAP262277 FKL262269:FKL262277 FUH262269:FUH262277 GED262269:GED262277 GNZ262269:GNZ262277 GXV262269:GXV262277 HHR262269:HHR262277 HRN262269:HRN262277 IBJ262269:IBJ262277 ILF262269:ILF262277 IVB262269:IVB262277 JEX262269:JEX262277 JOT262269:JOT262277 JYP262269:JYP262277 KIL262269:KIL262277 KSH262269:KSH262277 LCD262269:LCD262277 LLZ262269:LLZ262277 LVV262269:LVV262277 MFR262269:MFR262277 MPN262269:MPN262277 MZJ262269:MZJ262277 NJF262269:NJF262277 NTB262269:NTB262277 OCX262269:OCX262277 OMT262269:OMT262277 OWP262269:OWP262277 PGL262269:PGL262277 PQH262269:PQH262277 QAD262269:QAD262277 QJZ262269:QJZ262277 QTV262269:QTV262277 RDR262269:RDR262277 RNN262269:RNN262277 RXJ262269:RXJ262277 SHF262269:SHF262277 SRB262269:SRB262277 TAX262269:TAX262277 TKT262269:TKT262277 TUP262269:TUP262277 UEL262269:UEL262277 UOH262269:UOH262277 UYD262269:UYD262277 VHZ262269:VHZ262277 VRV262269:VRV262277 WBR262269:WBR262277 WLN262269:WLN262277 WVJ262269:WVJ262277 B327806:B327814 IX327805:IX327813 ST327805:ST327813 ACP327805:ACP327813 AML327805:AML327813 AWH327805:AWH327813 BGD327805:BGD327813 BPZ327805:BPZ327813 BZV327805:BZV327813 CJR327805:CJR327813 CTN327805:CTN327813 DDJ327805:DDJ327813 DNF327805:DNF327813 DXB327805:DXB327813 EGX327805:EGX327813 EQT327805:EQT327813 FAP327805:FAP327813 FKL327805:FKL327813 FUH327805:FUH327813 GED327805:GED327813 GNZ327805:GNZ327813 GXV327805:GXV327813 HHR327805:HHR327813 HRN327805:HRN327813 IBJ327805:IBJ327813 ILF327805:ILF327813 IVB327805:IVB327813 JEX327805:JEX327813 JOT327805:JOT327813 JYP327805:JYP327813 KIL327805:KIL327813 KSH327805:KSH327813 LCD327805:LCD327813 LLZ327805:LLZ327813 LVV327805:LVV327813 MFR327805:MFR327813 MPN327805:MPN327813 MZJ327805:MZJ327813 NJF327805:NJF327813 NTB327805:NTB327813 OCX327805:OCX327813 OMT327805:OMT327813 OWP327805:OWP327813 PGL327805:PGL327813 PQH327805:PQH327813 QAD327805:QAD327813 QJZ327805:QJZ327813 QTV327805:QTV327813 RDR327805:RDR327813 RNN327805:RNN327813 RXJ327805:RXJ327813 SHF327805:SHF327813 SRB327805:SRB327813 TAX327805:TAX327813 TKT327805:TKT327813 TUP327805:TUP327813 UEL327805:UEL327813 UOH327805:UOH327813 UYD327805:UYD327813 VHZ327805:VHZ327813 VRV327805:VRV327813 WBR327805:WBR327813 WLN327805:WLN327813 WVJ327805:WVJ327813 B393342:B393350 IX393341:IX393349 ST393341:ST393349 ACP393341:ACP393349 AML393341:AML393349 AWH393341:AWH393349 BGD393341:BGD393349 BPZ393341:BPZ393349 BZV393341:BZV393349 CJR393341:CJR393349 CTN393341:CTN393349 DDJ393341:DDJ393349 DNF393341:DNF393349 DXB393341:DXB393349 EGX393341:EGX393349 EQT393341:EQT393349 FAP393341:FAP393349 FKL393341:FKL393349 FUH393341:FUH393349 GED393341:GED393349 GNZ393341:GNZ393349 GXV393341:GXV393349 HHR393341:HHR393349 HRN393341:HRN393349 IBJ393341:IBJ393349 ILF393341:ILF393349 IVB393341:IVB393349 JEX393341:JEX393349 JOT393341:JOT393349 JYP393341:JYP393349 KIL393341:KIL393349 KSH393341:KSH393349 LCD393341:LCD393349 LLZ393341:LLZ393349 LVV393341:LVV393349 MFR393341:MFR393349 MPN393341:MPN393349 MZJ393341:MZJ393349 NJF393341:NJF393349 NTB393341:NTB393349 OCX393341:OCX393349 OMT393341:OMT393349 OWP393341:OWP393349 PGL393341:PGL393349 PQH393341:PQH393349 QAD393341:QAD393349 QJZ393341:QJZ393349 QTV393341:QTV393349 RDR393341:RDR393349 RNN393341:RNN393349 RXJ393341:RXJ393349 SHF393341:SHF393349 SRB393341:SRB393349 TAX393341:TAX393349 TKT393341:TKT393349 TUP393341:TUP393349 UEL393341:UEL393349 UOH393341:UOH393349 UYD393341:UYD393349 VHZ393341:VHZ393349 VRV393341:VRV393349 WBR393341:WBR393349 WLN393341:WLN393349 WVJ393341:WVJ393349 B458878:B458886 IX458877:IX458885 ST458877:ST458885 ACP458877:ACP458885 AML458877:AML458885 AWH458877:AWH458885 BGD458877:BGD458885 BPZ458877:BPZ458885 BZV458877:BZV458885 CJR458877:CJR458885 CTN458877:CTN458885 DDJ458877:DDJ458885 DNF458877:DNF458885 DXB458877:DXB458885 EGX458877:EGX458885 EQT458877:EQT458885 FAP458877:FAP458885 FKL458877:FKL458885 FUH458877:FUH458885 GED458877:GED458885 GNZ458877:GNZ458885 GXV458877:GXV458885 HHR458877:HHR458885 HRN458877:HRN458885 IBJ458877:IBJ458885 ILF458877:ILF458885 IVB458877:IVB458885 JEX458877:JEX458885 JOT458877:JOT458885 JYP458877:JYP458885 KIL458877:KIL458885 KSH458877:KSH458885 LCD458877:LCD458885 LLZ458877:LLZ458885 LVV458877:LVV458885 MFR458877:MFR458885 MPN458877:MPN458885 MZJ458877:MZJ458885 NJF458877:NJF458885 NTB458877:NTB458885 OCX458877:OCX458885 OMT458877:OMT458885 OWP458877:OWP458885 PGL458877:PGL458885 PQH458877:PQH458885 QAD458877:QAD458885 QJZ458877:QJZ458885 QTV458877:QTV458885 RDR458877:RDR458885 RNN458877:RNN458885 RXJ458877:RXJ458885 SHF458877:SHF458885 SRB458877:SRB458885 TAX458877:TAX458885 TKT458877:TKT458885 TUP458877:TUP458885 UEL458877:UEL458885 UOH458877:UOH458885 UYD458877:UYD458885 VHZ458877:VHZ458885 VRV458877:VRV458885 WBR458877:WBR458885 WLN458877:WLN458885 WVJ458877:WVJ458885 B524414:B524422 IX524413:IX524421 ST524413:ST524421 ACP524413:ACP524421 AML524413:AML524421 AWH524413:AWH524421 BGD524413:BGD524421 BPZ524413:BPZ524421 BZV524413:BZV524421 CJR524413:CJR524421 CTN524413:CTN524421 DDJ524413:DDJ524421 DNF524413:DNF524421 DXB524413:DXB524421 EGX524413:EGX524421 EQT524413:EQT524421 FAP524413:FAP524421 FKL524413:FKL524421 FUH524413:FUH524421 GED524413:GED524421 GNZ524413:GNZ524421 GXV524413:GXV524421 HHR524413:HHR524421 HRN524413:HRN524421 IBJ524413:IBJ524421 ILF524413:ILF524421 IVB524413:IVB524421 JEX524413:JEX524421 JOT524413:JOT524421 JYP524413:JYP524421 KIL524413:KIL524421 KSH524413:KSH524421 LCD524413:LCD524421 LLZ524413:LLZ524421 LVV524413:LVV524421 MFR524413:MFR524421 MPN524413:MPN524421 MZJ524413:MZJ524421 NJF524413:NJF524421 NTB524413:NTB524421 OCX524413:OCX524421 OMT524413:OMT524421 OWP524413:OWP524421 PGL524413:PGL524421 PQH524413:PQH524421 QAD524413:QAD524421 QJZ524413:QJZ524421 QTV524413:QTV524421 RDR524413:RDR524421 RNN524413:RNN524421 RXJ524413:RXJ524421 SHF524413:SHF524421 SRB524413:SRB524421 TAX524413:TAX524421 TKT524413:TKT524421 TUP524413:TUP524421 UEL524413:UEL524421 UOH524413:UOH524421 UYD524413:UYD524421 VHZ524413:VHZ524421 VRV524413:VRV524421 WBR524413:WBR524421 WLN524413:WLN524421 WVJ524413:WVJ524421 B589950:B589958 IX589949:IX589957 ST589949:ST589957 ACP589949:ACP589957 AML589949:AML589957 AWH589949:AWH589957 BGD589949:BGD589957 BPZ589949:BPZ589957 BZV589949:BZV589957 CJR589949:CJR589957 CTN589949:CTN589957 DDJ589949:DDJ589957 DNF589949:DNF589957 DXB589949:DXB589957 EGX589949:EGX589957 EQT589949:EQT589957 FAP589949:FAP589957 FKL589949:FKL589957 FUH589949:FUH589957 GED589949:GED589957 GNZ589949:GNZ589957 GXV589949:GXV589957 HHR589949:HHR589957 HRN589949:HRN589957 IBJ589949:IBJ589957 ILF589949:ILF589957 IVB589949:IVB589957 JEX589949:JEX589957 JOT589949:JOT589957 JYP589949:JYP589957 KIL589949:KIL589957 KSH589949:KSH589957 LCD589949:LCD589957 LLZ589949:LLZ589957 LVV589949:LVV589957 MFR589949:MFR589957 MPN589949:MPN589957 MZJ589949:MZJ589957 NJF589949:NJF589957 NTB589949:NTB589957 OCX589949:OCX589957 OMT589949:OMT589957 OWP589949:OWP589957 PGL589949:PGL589957 PQH589949:PQH589957 QAD589949:QAD589957 QJZ589949:QJZ589957 QTV589949:QTV589957 RDR589949:RDR589957 RNN589949:RNN589957 RXJ589949:RXJ589957 SHF589949:SHF589957 SRB589949:SRB589957 TAX589949:TAX589957 TKT589949:TKT589957 TUP589949:TUP589957 UEL589949:UEL589957 UOH589949:UOH589957 UYD589949:UYD589957 VHZ589949:VHZ589957 VRV589949:VRV589957 WBR589949:WBR589957 WLN589949:WLN589957 WVJ589949:WVJ589957 B655486:B655494 IX655485:IX655493 ST655485:ST655493 ACP655485:ACP655493 AML655485:AML655493 AWH655485:AWH655493 BGD655485:BGD655493 BPZ655485:BPZ655493 BZV655485:BZV655493 CJR655485:CJR655493 CTN655485:CTN655493 DDJ655485:DDJ655493 DNF655485:DNF655493 DXB655485:DXB655493 EGX655485:EGX655493 EQT655485:EQT655493 FAP655485:FAP655493 FKL655485:FKL655493 FUH655485:FUH655493 GED655485:GED655493 GNZ655485:GNZ655493 GXV655485:GXV655493 HHR655485:HHR655493 HRN655485:HRN655493 IBJ655485:IBJ655493 ILF655485:ILF655493 IVB655485:IVB655493 JEX655485:JEX655493 JOT655485:JOT655493 JYP655485:JYP655493 KIL655485:KIL655493 KSH655485:KSH655493 LCD655485:LCD655493 LLZ655485:LLZ655493 LVV655485:LVV655493 MFR655485:MFR655493 MPN655485:MPN655493 MZJ655485:MZJ655493 NJF655485:NJF655493 NTB655485:NTB655493 OCX655485:OCX655493 OMT655485:OMT655493 OWP655485:OWP655493 PGL655485:PGL655493 PQH655485:PQH655493 QAD655485:QAD655493 QJZ655485:QJZ655493 QTV655485:QTV655493 RDR655485:RDR655493 RNN655485:RNN655493 RXJ655485:RXJ655493 SHF655485:SHF655493 SRB655485:SRB655493 TAX655485:TAX655493 TKT655485:TKT655493 TUP655485:TUP655493 UEL655485:UEL655493 UOH655485:UOH655493 UYD655485:UYD655493 VHZ655485:VHZ655493 VRV655485:VRV655493 WBR655485:WBR655493 WLN655485:WLN655493 WVJ655485:WVJ655493 B721022:B721030 IX721021:IX721029 ST721021:ST721029 ACP721021:ACP721029 AML721021:AML721029 AWH721021:AWH721029 BGD721021:BGD721029 BPZ721021:BPZ721029 BZV721021:BZV721029 CJR721021:CJR721029 CTN721021:CTN721029 DDJ721021:DDJ721029 DNF721021:DNF721029 DXB721021:DXB721029 EGX721021:EGX721029 EQT721021:EQT721029 FAP721021:FAP721029 FKL721021:FKL721029 FUH721021:FUH721029 GED721021:GED721029 GNZ721021:GNZ721029 GXV721021:GXV721029 HHR721021:HHR721029 HRN721021:HRN721029 IBJ721021:IBJ721029 ILF721021:ILF721029 IVB721021:IVB721029 JEX721021:JEX721029 JOT721021:JOT721029 JYP721021:JYP721029 KIL721021:KIL721029 KSH721021:KSH721029 LCD721021:LCD721029 LLZ721021:LLZ721029 LVV721021:LVV721029 MFR721021:MFR721029 MPN721021:MPN721029 MZJ721021:MZJ721029 NJF721021:NJF721029 NTB721021:NTB721029 OCX721021:OCX721029 OMT721021:OMT721029 OWP721021:OWP721029 PGL721021:PGL721029 PQH721021:PQH721029 QAD721021:QAD721029 QJZ721021:QJZ721029 QTV721021:QTV721029 RDR721021:RDR721029 RNN721021:RNN721029 RXJ721021:RXJ721029 SHF721021:SHF721029 SRB721021:SRB721029 TAX721021:TAX721029 TKT721021:TKT721029 TUP721021:TUP721029 UEL721021:UEL721029 UOH721021:UOH721029 UYD721021:UYD721029 VHZ721021:VHZ721029 VRV721021:VRV721029 WBR721021:WBR721029 WLN721021:WLN721029 WVJ721021:WVJ721029 B786558:B786566 IX786557:IX786565 ST786557:ST786565 ACP786557:ACP786565 AML786557:AML786565 AWH786557:AWH786565 BGD786557:BGD786565 BPZ786557:BPZ786565 BZV786557:BZV786565 CJR786557:CJR786565 CTN786557:CTN786565 DDJ786557:DDJ786565 DNF786557:DNF786565 DXB786557:DXB786565 EGX786557:EGX786565 EQT786557:EQT786565 FAP786557:FAP786565 FKL786557:FKL786565 FUH786557:FUH786565 GED786557:GED786565 GNZ786557:GNZ786565 GXV786557:GXV786565 HHR786557:HHR786565 HRN786557:HRN786565 IBJ786557:IBJ786565 ILF786557:ILF786565 IVB786557:IVB786565 JEX786557:JEX786565 JOT786557:JOT786565 JYP786557:JYP786565 KIL786557:KIL786565 KSH786557:KSH786565 LCD786557:LCD786565 LLZ786557:LLZ786565 LVV786557:LVV786565 MFR786557:MFR786565 MPN786557:MPN786565 MZJ786557:MZJ786565 NJF786557:NJF786565 NTB786557:NTB786565 OCX786557:OCX786565 OMT786557:OMT786565 OWP786557:OWP786565 PGL786557:PGL786565 PQH786557:PQH786565 QAD786557:QAD786565 QJZ786557:QJZ786565 QTV786557:QTV786565 RDR786557:RDR786565 RNN786557:RNN786565 RXJ786557:RXJ786565 SHF786557:SHF786565 SRB786557:SRB786565 TAX786557:TAX786565 TKT786557:TKT786565 TUP786557:TUP786565 UEL786557:UEL786565 UOH786557:UOH786565 UYD786557:UYD786565 VHZ786557:VHZ786565 VRV786557:VRV786565 WBR786557:WBR786565 WLN786557:WLN786565 WVJ786557:WVJ786565 B852094:B852102 IX852093:IX852101 ST852093:ST852101 ACP852093:ACP852101 AML852093:AML852101 AWH852093:AWH852101 BGD852093:BGD852101 BPZ852093:BPZ852101 BZV852093:BZV852101 CJR852093:CJR852101 CTN852093:CTN852101 DDJ852093:DDJ852101 DNF852093:DNF852101 DXB852093:DXB852101 EGX852093:EGX852101 EQT852093:EQT852101 FAP852093:FAP852101 FKL852093:FKL852101 FUH852093:FUH852101 GED852093:GED852101 GNZ852093:GNZ852101 GXV852093:GXV852101 HHR852093:HHR852101 HRN852093:HRN852101 IBJ852093:IBJ852101 ILF852093:ILF852101 IVB852093:IVB852101 JEX852093:JEX852101 JOT852093:JOT852101 JYP852093:JYP852101 KIL852093:KIL852101 KSH852093:KSH852101 LCD852093:LCD852101 LLZ852093:LLZ852101 LVV852093:LVV852101 MFR852093:MFR852101 MPN852093:MPN852101 MZJ852093:MZJ852101 NJF852093:NJF852101 NTB852093:NTB852101 OCX852093:OCX852101 OMT852093:OMT852101 OWP852093:OWP852101 PGL852093:PGL852101 PQH852093:PQH852101 QAD852093:QAD852101 QJZ852093:QJZ852101 QTV852093:QTV852101 RDR852093:RDR852101 RNN852093:RNN852101 RXJ852093:RXJ852101 SHF852093:SHF852101 SRB852093:SRB852101 TAX852093:TAX852101 TKT852093:TKT852101 TUP852093:TUP852101 UEL852093:UEL852101 UOH852093:UOH852101 UYD852093:UYD852101 VHZ852093:VHZ852101 VRV852093:VRV852101 WBR852093:WBR852101 WLN852093:WLN852101 WVJ852093:WVJ852101 B917630:B917638 IX917629:IX917637 ST917629:ST917637 ACP917629:ACP917637 AML917629:AML917637 AWH917629:AWH917637 BGD917629:BGD917637 BPZ917629:BPZ917637 BZV917629:BZV917637 CJR917629:CJR917637 CTN917629:CTN917637 DDJ917629:DDJ917637 DNF917629:DNF917637 DXB917629:DXB917637 EGX917629:EGX917637 EQT917629:EQT917637 FAP917629:FAP917637 FKL917629:FKL917637 FUH917629:FUH917637 GED917629:GED917637 GNZ917629:GNZ917637 GXV917629:GXV917637 HHR917629:HHR917637 HRN917629:HRN917637 IBJ917629:IBJ917637 ILF917629:ILF917637 IVB917629:IVB917637 JEX917629:JEX917637 JOT917629:JOT917637 JYP917629:JYP917637 KIL917629:KIL917637 KSH917629:KSH917637 LCD917629:LCD917637 LLZ917629:LLZ917637 LVV917629:LVV917637 MFR917629:MFR917637 MPN917629:MPN917637 MZJ917629:MZJ917637 NJF917629:NJF917637 NTB917629:NTB917637 OCX917629:OCX917637 OMT917629:OMT917637 OWP917629:OWP917637 PGL917629:PGL917637 PQH917629:PQH917637 QAD917629:QAD917637 QJZ917629:QJZ917637 QTV917629:QTV917637 RDR917629:RDR917637 RNN917629:RNN917637 RXJ917629:RXJ917637 SHF917629:SHF917637 SRB917629:SRB917637 TAX917629:TAX917637 TKT917629:TKT917637 TUP917629:TUP917637 UEL917629:UEL917637 UOH917629:UOH917637 UYD917629:UYD917637 VHZ917629:VHZ917637 VRV917629:VRV917637 WBR917629:WBR917637 WLN917629:WLN917637 WVJ917629:WVJ917637 B983166:B983174 IX983165:IX983173 ST983165:ST983173 ACP983165:ACP983173 AML983165:AML983173 AWH983165:AWH983173 BGD983165:BGD983173 BPZ983165:BPZ983173 BZV983165:BZV983173 CJR983165:CJR983173 CTN983165:CTN983173 DDJ983165:DDJ983173 DNF983165:DNF983173 DXB983165:DXB983173 EGX983165:EGX983173 EQT983165:EQT983173 FAP983165:FAP983173 FKL983165:FKL983173 FUH983165:FUH983173 GED983165:GED983173 GNZ983165:GNZ983173 GXV983165:GXV983173 HHR983165:HHR983173 HRN983165:HRN983173 IBJ983165:IBJ983173 ILF983165:ILF983173 IVB983165:IVB983173 JEX983165:JEX983173 JOT983165:JOT983173 JYP983165:JYP983173 KIL983165:KIL983173 KSH983165:KSH983173 LCD983165:LCD983173 LLZ983165:LLZ983173 LVV983165:LVV983173 MFR983165:MFR983173 MPN983165:MPN983173 MZJ983165:MZJ983173 NJF983165:NJF983173 NTB983165:NTB983173 OCX983165:OCX983173 OMT983165:OMT983173 OWP983165:OWP983173 PGL983165:PGL983173 PQH983165:PQH983173 QAD983165:QAD983173 QJZ983165:QJZ983173 QTV983165:QTV983173 RDR983165:RDR983173 RNN983165:RNN983173 RXJ983165:RXJ983173 SHF983165:SHF983173 SRB983165:SRB983173 TAX983165:TAX983173 TKT983165:TKT983173 TUP983165:TUP983173 UEL983165:UEL983173 UOH983165:UOH983173 UYD983165:UYD983173 VHZ983165:VHZ983173 VRV983165:VRV983173 WBR983165:WBR983173 WLN983165:WLN983173 WVJ983165:WVJ983173 B12:B60 IX63:IX98 ST63:ST98 ACP63:ACP98 AML63:AML98 AWH63:AWH98 BGD63:BGD98 BPZ63:BPZ98 BZV63:BZV98 CJR63:CJR98 CTN63:CTN98 DDJ63:DDJ98 DNF63:DNF98 DXB63:DXB98 EGX63:EGX98 EQT63:EQT98 FAP63:FAP98 FKL63:FKL98 FUH63:FUH98 GED63:GED98 GNZ63:GNZ98 GXV63:GXV98 HHR63:HHR98 HRN63:HRN98 IBJ63:IBJ98 ILF63:ILF98 IVB63:IVB98 JEX63:JEX98 JOT63:JOT98 JYP63:JYP98 KIL63:KIL98 KSH63:KSH98 LCD63:LCD98 LLZ63:LLZ98 LVV63:LVV98 MFR63:MFR98 MPN63:MPN98 MZJ63:MZJ98 NJF63:NJF98 NTB63:NTB98 OCX63:OCX98 OMT63:OMT98 OWP63:OWP98 PGL63:PGL98 PQH63:PQH98 QAD63:QAD98 QJZ63:QJZ98 QTV63:QTV98 RDR63:RDR98 RNN63:RNN98 RXJ63:RXJ98 SHF63:SHF98 SRB63:SRB98 TAX63:TAX98 TKT63:TKT98 TUP63:TUP98 UEL63:UEL98 UOH63:UOH98 UYD63:UYD98 VHZ63:VHZ98 VRV63:VRV98 WBR63:WBR98 WLN63:WLN98 WVJ63:WVJ98 B65673:B65681 IX65672:IX65680 ST65672:ST65680 ACP65672:ACP65680 AML65672:AML65680 AWH65672:AWH65680 BGD65672:BGD65680 BPZ65672:BPZ65680 BZV65672:BZV65680 CJR65672:CJR65680 CTN65672:CTN65680 DDJ65672:DDJ65680 DNF65672:DNF65680 DXB65672:DXB65680 EGX65672:EGX65680 EQT65672:EQT65680 FAP65672:FAP65680 FKL65672:FKL65680 FUH65672:FUH65680 GED65672:GED65680 GNZ65672:GNZ65680 GXV65672:GXV65680 HHR65672:HHR65680 HRN65672:HRN65680 IBJ65672:IBJ65680 ILF65672:ILF65680 IVB65672:IVB65680 JEX65672:JEX65680 JOT65672:JOT65680 JYP65672:JYP65680 KIL65672:KIL65680 KSH65672:KSH65680 LCD65672:LCD65680 LLZ65672:LLZ65680 LVV65672:LVV65680 MFR65672:MFR65680 MPN65672:MPN65680 MZJ65672:MZJ65680 NJF65672:NJF65680 NTB65672:NTB65680 OCX65672:OCX65680 OMT65672:OMT65680 OWP65672:OWP65680 PGL65672:PGL65680 PQH65672:PQH65680 QAD65672:QAD65680 QJZ65672:QJZ65680 QTV65672:QTV65680 RDR65672:RDR65680 RNN65672:RNN65680 RXJ65672:RXJ65680 SHF65672:SHF65680 SRB65672:SRB65680 TAX65672:TAX65680 TKT65672:TKT65680 TUP65672:TUP65680 UEL65672:UEL65680 UOH65672:UOH65680 UYD65672:UYD65680 VHZ65672:VHZ65680 VRV65672:VRV65680 WBR65672:WBR65680 WLN65672:WLN65680 WVJ65672:WVJ65680 B131209:B131217 IX131208:IX131216 ST131208:ST131216 ACP131208:ACP131216 AML131208:AML131216 AWH131208:AWH131216 BGD131208:BGD131216 BPZ131208:BPZ131216 BZV131208:BZV131216 CJR131208:CJR131216 CTN131208:CTN131216 DDJ131208:DDJ131216 DNF131208:DNF131216 DXB131208:DXB131216 EGX131208:EGX131216 EQT131208:EQT131216 FAP131208:FAP131216 FKL131208:FKL131216 FUH131208:FUH131216 GED131208:GED131216 GNZ131208:GNZ131216 GXV131208:GXV131216 HHR131208:HHR131216 HRN131208:HRN131216 IBJ131208:IBJ131216 ILF131208:ILF131216 IVB131208:IVB131216 JEX131208:JEX131216 JOT131208:JOT131216 JYP131208:JYP131216 KIL131208:KIL131216 KSH131208:KSH131216 LCD131208:LCD131216 LLZ131208:LLZ131216 LVV131208:LVV131216 MFR131208:MFR131216 MPN131208:MPN131216 MZJ131208:MZJ131216 NJF131208:NJF131216 NTB131208:NTB131216 OCX131208:OCX131216 OMT131208:OMT131216 OWP131208:OWP131216 PGL131208:PGL131216 PQH131208:PQH131216 QAD131208:QAD131216 QJZ131208:QJZ131216 QTV131208:QTV131216 RDR131208:RDR131216 RNN131208:RNN131216 RXJ131208:RXJ131216 SHF131208:SHF131216 SRB131208:SRB131216 TAX131208:TAX131216 TKT131208:TKT131216 TUP131208:TUP131216 UEL131208:UEL131216 UOH131208:UOH131216 UYD131208:UYD131216 VHZ131208:VHZ131216 VRV131208:VRV131216 WBR131208:WBR131216 WLN131208:WLN131216 WVJ131208:WVJ131216 B196745:B196753 IX196744:IX196752 ST196744:ST196752 ACP196744:ACP196752 AML196744:AML196752 AWH196744:AWH196752 BGD196744:BGD196752 BPZ196744:BPZ196752 BZV196744:BZV196752 CJR196744:CJR196752 CTN196744:CTN196752 DDJ196744:DDJ196752 DNF196744:DNF196752 DXB196744:DXB196752 EGX196744:EGX196752 EQT196744:EQT196752 FAP196744:FAP196752 FKL196744:FKL196752 FUH196744:FUH196752 GED196744:GED196752 GNZ196744:GNZ196752 GXV196744:GXV196752 HHR196744:HHR196752 HRN196744:HRN196752 IBJ196744:IBJ196752 ILF196744:ILF196752 IVB196744:IVB196752 JEX196744:JEX196752 JOT196744:JOT196752 JYP196744:JYP196752 KIL196744:KIL196752 KSH196744:KSH196752 LCD196744:LCD196752 LLZ196744:LLZ196752 LVV196744:LVV196752 MFR196744:MFR196752 MPN196744:MPN196752 MZJ196744:MZJ196752 NJF196744:NJF196752 NTB196744:NTB196752 OCX196744:OCX196752 OMT196744:OMT196752 OWP196744:OWP196752 PGL196744:PGL196752 PQH196744:PQH196752 QAD196744:QAD196752 QJZ196744:QJZ196752 QTV196744:QTV196752 RDR196744:RDR196752 RNN196744:RNN196752 RXJ196744:RXJ196752 SHF196744:SHF196752 SRB196744:SRB196752 TAX196744:TAX196752 TKT196744:TKT196752 TUP196744:TUP196752 UEL196744:UEL196752 UOH196744:UOH196752 UYD196744:UYD196752 VHZ196744:VHZ196752 VRV196744:VRV196752 WBR196744:WBR196752 WLN196744:WLN196752 WVJ196744:WVJ196752 B262281:B262289 IX262280:IX262288 ST262280:ST262288 ACP262280:ACP262288 AML262280:AML262288 AWH262280:AWH262288 BGD262280:BGD262288 BPZ262280:BPZ262288 BZV262280:BZV262288 CJR262280:CJR262288 CTN262280:CTN262288 DDJ262280:DDJ262288 DNF262280:DNF262288 DXB262280:DXB262288 EGX262280:EGX262288 EQT262280:EQT262288 FAP262280:FAP262288 FKL262280:FKL262288 FUH262280:FUH262288 GED262280:GED262288 GNZ262280:GNZ262288 GXV262280:GXV262288 HHR262280:HHR262288 HRN262280:HRN262288 IBJ262280:IBJ262288 ILF262280:ILF262288 IVB262280:IVB262288 JEX262280:JEX262288 JOT262280:JOT262288 JYP262280:JYP262288 KIL262280:KIL262288 KSH262280:KSH262288 LCD262280:LCD262288 LLZ262280:LLZ262288 LVV262280:LVV262288 MFR262280:MFR262288 MPN262280:MPN262288 MZJ262280:MZJ262288 NJF262280:NJF262288 NTB262280:NTB262288 OCX262280:OCX262288 OMT262280:OMT262288 OWP262280:OWP262288 PGL262280:PGL262288 PQH262280:PQH262288 QAD262280:QAD262288 QJZ262280:QJZ262288 QTV262280:QTV262288 RDR262280:RDR262288 RNN262280:RNN262288 RXJ262280:RXJ262288 SHF262280:SHF262288 SRB262280:SRB262288 TAX262280:TAX262288 TKT262280:TKT262288 TUP262280:TUP262288 UEL262280:UEL262288 UOH262280:UOH262288 UYD262280:UYD262288 VHZ262280:VHZ262288 VRV262280:VRV262288 WBR262280:WBR262288 WLN262280:WLN262288 WVJ262280:WVJ262288 B327817:B327825 IX327816:IX327824 ST327816:ST327824 ACP327816:ACP327824 AML327816:AML327824 AWH327816:AWH327824 BGD327816:BGD327824 BPZ327816:BPZ327824 BZV327816:BZV327824 CJR327816:CJR327824 CTN327816:CTN327824 DDJ327816:DDJ327824 DNF327816:DNF327824 DXB327816:DXB327824 EGX327816:EGX327824 EQT327816:EQT327824 FAP327816:FAP327824 FKL327816:FKL327824 FUH327816:FUH327824 GED327816:GED327824 GNZ327816:GNZ327824 GXV327816:GXV327824 HHR327816:HHR327824 HRN327816:HRN327824 IBJ327816:IBJ327824 ILF327816:ILF327824 IVB327816:IVB327824 JEX327816:JEX327824 JOT327816:JOT327824 JYP327816:JYP327824 KIL327816:KIL327824 KSH327816:KSH327824 LCD327816:LCD327824 LLZ327816:LLZ327824 LVV327816:LVV327824 MFR327816:MFR327824 MPN327816:MPN327824 MZJ327816:MZJ327824 NJF327816:NJF327824 NTB327816:NTB327824 OCX327816:OCX327824 OMT327816:OMT327824 OWP327816:OWP327824 PGL327816:PGL327824 PQH327816:PQH327824 QAD327816:QAD327824 QJZ327816:QJZ327824 QTV327816:QTV327824 RDR327816:RDR327824 RNN327816:RNN327824 RXJ327816:RXJ327824 SHF327816:SHF327824 SRB327816:SRB327824 TAX327816:TAX327824 TKT327816:TKT327824 TUP327816:TUP327824 UEL327816:UEL327824 UOH327816:UOH327824 UYD327816:UYD327824 VHZ327816:VHZ327824 VRV327816:VRV327824 WBR327816:WBR327824 WLN327816:WLN327824 WVJ327816:WVJ327824 B393353:B393361 IX393352:IX393360 ST393352:ST393360 ACP393352:ACP393360 AML393352:AML393360 AWH393352:AWH393360 BGD393352:BGD393360 BPZ393352:BPZ393360 BZV393352:BZV393360 CJR393352:CJR393360 CTN393352:CTN393360 DDJ393352:DDJ393360 DNF393352:DNF393360 DXB393352:DXB393360 EGX393352:EGX393360 EQT393352:EQT393360 FAP393352:FAP393360 FKL393352:FKL393360 FUH393352:FUH393360 GED393352:GED393360 GNZ393352:GNZ393360 GXV393352:GXV393360 HHR393352:HHR393360 HRN393352:HRN393360 IBJ393352:IBJ393360 ILF393352:ILF393360 IVB393352:IVB393360 JEX393352:JEX393360 JOT393352:JOT393360 JYP393352:JYP393360 KIL393352:KIL393360 KSH393352:KSH393360 LCD393352:LCD393360 LLZ393352:LLZ393360 LVV393352:LVV393360 MFR393352:MFR393360 MPN393352:MPN393360 MZJ393352:MZJ393360 NJF393352:NJF393360 NTB393352:NTB393360 OCX393352:OCX393360 OMT393352:OMT393360 OWP393352:OWP393360 PGL393352:PGL393360 PQH393352:PQH393360 QAD393352:QAD393360 QJZ393352:QJZ393360 QTV393352:QTV393360 RDR393352:RDR393360 RNN393352:RNN393360 RXJ393352:RXJ393360 SHF393352:SHF393360 SRB393352:SRB393360 TAX393352:TAX393360 TKT393352:TKT393360 TUP393352:TUP393360 UEL393352:UEL393360 UOH393352:UOH393360 UYD393352:UYD393360 VHZ393352:VHZ393360 VRV393352:VRV393360 WBR393352:WBR393360 WLN393352:WLN393360 WVJ393352:WVJ393360 B458889:B458897 IX458888:IX458896 ST458888:ST458896 ACP458888:ACP458896 AML458888:AML458896 AWH458888:AWH458896 BGD458888:BGD458896 BPZ458888:BPZ458896 BZV458888:BZV458896 CJR458888:CJR458896 CTN458888:CTN458896 DDJ458888:DDJ458896 DNF458888:DNF458896 DXB458888:DXB458896 EGX458888:EGX458896 EQT458888:EQT458896 FAP458888:FAP458896 FKL458888:FKL458896 FUH458888:FUH458896 GED458888:GED458896 GNZ458888:GNZ458896 GXV458888:GXV458896 HHR458888:HHR458896 HRN458888:HRN458896 IBJ458888:IBJ458896 ILF458888:ILF458896 IVB458888:IVB458896 JEX458888:JEX458896 JOT458888:JOT458896 JYP458888:JYP458896 KIL458888:KIL458896 KSH458888:KSH458896 LCD458888:LCD458896 LLZ458888:LLZ458896 LVV458888:LVV458896 MFR458888:MFR458896 MPN458888:MPN458896 MZJ458888:MZJ458896 NJF458888:NJF458896 NTB458888:NTB458896 OCX458888:OCX458896 OMT458888:OMT458896 OWP458888:OWP458896 PGL458888:PGL458896 PQH458888:PQH458896 QAD458888:QAD458896 QJZ458888:QJZ458896 QTV458888:QTV458896 RDR458888:RDR458896 RNN458888:RNN458896 RXJ458888:RXJ458896 SHF458888:SHF458896 SRB458888:SRB458896 TAX458888:TAX458896 TKT458888:TKT458896 TUP458888:TUP458896 UEL458888:UEL458896 UOH458888:UOH458896 UYD458888:UYD458896 VHZ458888:VHZ458896 VRV458888:VRV458896 WBR458888:WBR458896 WLN458888:WLN458896 WVJ458888:WVJ458896 B524425:B524433 IX524424:IX524432 ST524424:ST524432 ACP524424:ACP524432 AML524424:AML524432 AWH524424:AWH524432 BGD524424:BGD524432 BPZ524424:BPZ524432 BZV524424:BZV524432 CJR524424:CJR524432 CTN524424:CTN524432 DDJ524424:DDJ524432 DNF524424:DNF524432 DXB524424:DXB524432 EGX524424:EGX524432 EQT524424:EQT524432 FAP524424:FAP524432 FKL524424:FKL524432 FUH524424:FUH524432 GED524424:GED524432 GNZ524424:GNZ524432 GXV524424:GXV524432 HHR524424:HHR524432 HRN524424:HRN524432 IBJ524424:IBJ524432 ILF524424:ILF524432 IVB524424:IVB524432 JEX524424:JEX524432 JOT524424:JOT524432 JYP524424:JYP524432 KIL524424:KIL524432 KSH524424:KSH524432 LCD524424:LCD524432 LLZ524424:LLZ524432 LVV524424:LVV524432 MFR524424:MFR524432 MPN524424:MPN524432 MZJ524424:MZJ524432 NJF524424:NJF524432 NTB524424:NTB524432 OCX524424:OCX524432 OMT524424:OMT524432 OWP524424:OWP524432 PGL524424:PGL524432 PQH524424:PQH524432 QAD524424:QAD524432 QJZ524424:QJZ524432 QTV524424:QTV524432 RDR524424:RDR524432 RNN524424:RNN524432 RXJ524424:RXJ524432 SHF524424:SHF524432 SRB524424:SRB524432 TAX524424:TAX524432 TKT524424:TKT524432 TUP524424:TUP524432 UEL524424:UEL524432 UOH524424:UOH524432 UYD524424:UYD524432 VHZ524424:VHZ524432 VRV524424:VRV524432 WBR524424:WBR524432 WLN524424:WLN524432 WVJ524424:WVJ524432 B589961:B589969 IX589960:IX589968 ST589960:ST589968 ACP589960:ACP589968 AML589960:AML589968 AWH589960:AWH589968 BGD589960:BGD589968 BPZ589960:BPZ589968 BZV589960:BZV589968 CJR589960:CJR589968 CTN589960:CTN589968 DDJ589960:DDJ589968 DNF589960:DNF589968 DXB589960:DXB589968 EGX589960:EGX589968 EQT589960:EQT589968 FAP589960:FAP589968 FKL589960:FKL589968 FUH589960:FUH589968 GED589960:GED589968 GNZ589960:GNZ589968 GXV589960:GXV589968 HHR589960:HHR589968 HRN589960:HRN589968 IBJ589960:IBJ589968 ILF589960:ILF589968 IVB589960:IVB589968 JEX589960:JEX589968 JOT589960:JOT589968 JYP589960:JYP589968 KIL589960:KIL589968 KSH589960:KSH589968 LCD589960:LCD589968 LLZ589960:LLZ589968 LVV589960:LVV589968 MFR589960:MFR589968 MPN589960:MPN589968 MZJ589960:MZJ589968 NJF589960:NJF589968 NTB589960:NTB589968 OCX589960:OCX589968 OMT589960:OMT589968 OWP589960:OWP589968 PGL589960:PGL589968 PQH589960:PQH589968 QAD589960:QAD589968 QJZ589960:QJZ589968 QTV589960:QTV589968 RDR589960:RDR589968 RNN589960:RNN589968 RXJ589960:RXJ589968 SHF589960:SHF589968 SRB589960:SRB589968 TAX589960:TAX589968 TKT589960:TKT589968 TUP589960:TUP589968 UEL589960:UEL589968 UOH589960:UOH589968 UYD589960:UYD589968 VHZ589960:VHZ589968 VRV589960:VRV589968 WBR589960:WBR589968 WLN589960:WLN589968 WVJ589960:WVJ589968 B655497:B655505 IX655496:IX655504 ST655496:ST655504 ACP655496:ACP655504 AML655496:AML655504 AWH655496:AWH655504 BGD655496:BGD655504 BPZ655496:BPZ655504 BZV655496:BZV655504 CJR655496:CJR655504 CTN655496:CTN655504 DDJ655496:DDJ655504 DNF655496:DNF655504 DXB655496:DXB655504 EGX655496:EGX655504 EQT655496:EQT655504 FAP655496:FAP655504 FKL655496:FKL655504 FUH655496:FUH655504 GED655496:GED655504 GNZ655496:GNZ655504 GXV655496:GXV655504 HHR655496:HHR655504 HRN655496:HRN655504 IBJ655496:IBJ655504 ILF655496:ILF655504 IVB655496:IVB655504 JEX655496:JEX655504 JOT655496:JOT655504 JYP655496:JYP655504 KIL655496:KIL655504 KSH655496:KSH655504 LCD655496:LCD655504 LLZ655496:LLZ655504 LVV655496:LVV655504 MFR655496:MFR655504 MPN655496:MPN655504 MZJ655496:MZJ655504 NJF655496:NJF655504 NTB655496:NTB655504 OCX655496:OCX655504 OMT655496:OMT655504 OWP655496:OWP655504 PGL655496:PGL655504 PQH655496:PQH655504 QAD655496:QAD655504 QJZ655496:QJZ655504 QTV655496:QTV655504 RDR655496:RDR655504 RNN655496:RNN655504 RXJ655496:RXJ655504 SHF655496:SHF655504 SRB655496:SRB655504 TAX655496:TAX655504 TKT655496:TKT655504 TUP655496:TUP655504 UEL655496:UEL655504 UOH655496:UOH655504 UYD655496:UYD655504 VHZ655496:VHZ655504 VRV655496:VRV655504 WBR655496:WBR655504 WLN655496:WLN655504 WVJ655496:WVJ655504 B721033:B721041 IX721032:IX721040 ST721032:ST721040 ACP721032:ACP721040 AML721032:AML721040 AWH721032:AWH721040 BGD721032:BGD721040 BPZ721032:BPZ721040 BZV721032:BZV721040 CJR721032:CJR721040 CTN721032:CTN721040 DDJ721032:DDJ721040 DNF721032:DNF721040 DXB721032:DXB721040 EGX721032:EGX721040 EQT721032:EQT721040 FAP721032:FAP721040 FKL721032:FKL721040 FUH721032:FUH721040 GED721032:GED721040 GNZ721032:GNZ721040 GXV721032:GXV721040 HHR721032:HHR721040 HRN721032:HRN721040 IBJ721032:IBJ721040 ILF721032:ILF721040 IVB721032:IVB721040 JEX721032:JEX721040 JOT721032:JOT721040 JYP721032:JYP721040 KIL721032:KIL721040 KSH721032:KSH721040 LCD721032:LCD721040 LLZ721032:LLZ721040 LVV721032:LVV721040 MFR721032:MFR721040 MPN721032:MPN721040 MZJ721032:MZJ721040 NJF721032:NJF721040 NTB721032:NTB721040 OCX721032:OCX721040 OMT721032:OMT721040 OWP721032:OWP721040 PGL721032:PGL721040 PQH721032:PQH721040 QAD721032:QAD721040 QJZ721032:QJZ721040 QTV721032:QTV721040 RDR721032:RDR721040 RNN721032:RNN721040 RXJ721032:RXJ721040 SHF721032:SHF721040 SRB721032:SRB721040 TAX721032:TAX721040 TKT721032:TKT721040 TUP721032:TUP721040 UEL721032:UEL721040 UOH721032:UOH721040 UYD721032:UYD721040 VHZ721032:VHZ721040 VRV721032:VRV721040 WBR721032:WBR721040 WLN721032:WLN721040 WVJ721032:WVJ721040 B786569:B786577 IX786568:IX786576 ST786568:ST786576 ACP786568:ACP786576 AML786568:AML786576 AWH786568:AWH786576 BGD786568:BGD786576 BPZ786568:BPZ786576 BZV786568:BZV786576 CJR786568:CJR786576 CTN786568:CTN786576 DDJ786568:DDJ786576 DNF786568:DNF786576 DXB786568:DXB786576 EGX786568:EGX786576 EQT786568:EQT786576 FAP786568:FAP786576 FKL786568:FKL786576 FUH786568:FUH786576 GED786568:GED786576 GNZ786568:GNZ786576 GXV786568:GXV786576 HHR786568:HHR786576 HRN786568:HRN786576 IBJ786568:IBJ786576 ILF786568:ILF786576 IVB786568:IVB786576 JEX786568:JEX786576 JOT786568:JOT786576 JYP786568:JYP786576 KIL786568:KIL786576 KSH786568:KSH786576 LCD786568:LCD786576 LLZ786568:LLZ786576 LVV786568:LVV786576 MFR786568:MFR786576 MPN786568:MPN786576 MZJ786568:MZJ786576 NJF786568:NJF786576 NTB786568:NTB786576 OCX786568:OCX786576 OMT786568:OMT786576 OWP786568:OWP786576 PGL786568:PGL786576 PQH786568:PQH786576 QAD786568:QAD786576 QJZ786568:QJZ786576 QTV786568:QTV786576 RDR786568:RDR786576 RNN786568:RNN786576 RXJ786568:RXJ786576 SHF786568:SHF786576 SRB786568:SRB786576 TAX786568:TAX786576 TKT786568:TKT786576 TUP786568:TUP786576 UEL786568:UEL786576 UOH786568:UOH786576 UYD786568:UYD786576 VHZ786568:VHZ786576 VRV786568:VRV786576 WBR786568:WBR786576 WLN786568:WLN786576 WVJ786568:WVJ786576 B852105:B852113 IX852104:IX852112 ST852104:ST852112 ACP852104:ACP852112 AML852104:AML852112 AWH852104:AWH852112 BGD852104:BGD852112 BPZ852104:BPZ852112 BZV852104:BZV852112 CJR852104:CJR852112 CTN852104:CTN852112 DDJ852104:DDJ852112 DNF852104:DNF852112 DXB852104:DXB852112 EGX852104:EGX852112 EQT852104:EQT852112 FAP852104:FAP852112 FKL852104:FKL852112 FUH852104:FUH852112 GED852104:GED852112 GNZ852104:GNZ852112 GXV852104:GXV852112 HHR852104:HHR852112 HRN852104:HRN852112 IBJ852104:IBJ852112 ILF852104:ILF852112 IVB852104:IVB852112 JEX852104:JEX852112 JOT852104:JOT852112 JYP852104:JYP852112 KIL852104:KIL852112 KSH852104:KSH852112 LCD852104:LCD852112 LLZ852104:LLZ852112 LVV852104:LVV852112 MFR852104:MFR852112 MPN852104:MPN852112 MZJ852104:MZJ852112 NJF852104:NJF852112 NTB852104:NTB852112 OCX852104:OCX852112 OMT852104:OMT852112 OWP852104:OWP852112 PGL852104:PGL852112 PQH852104:PQH852112 QAD852104:QAD852112 QJZ852104:QJZ852112 QTV852104:QTV852112 RDR852104:RDR852112 RNN852104:RNN852112 RXJ852104:RXJ852112 SHF852104:SHF852112 SRB852104:SRB852112 TAX852104:TAX852112 TKT852104:TKT852112 TUP852104:TUP852112 UEL852104:UEL852112 UOH852104:UOH852112 UYD852104:UYD852112 VHZ852104:VHZ852112 VRV852104:VRV852112 WBR852104:WBR852112 WLN852104:WLN852112 WVJ852104:WVJ852112 B917641:B917649 IX917640:IX917648 ST917640:ST917648 ACP917640:ACP917648 AML917640:AML917648 AWH917640:AWH917648 BGD917640:BGD917648 BPZ917640:BPZ917648 BZV917640:BZV917648 CJR917640:CJR917648 CTN917640:CTN917648 DDJ917640:DDJ917648 DNF917640:DNF917648 DXB917640:DXB917648 EGX917640:EGX917648 EQT917640:EQT917648 FAP917640:FAP917648 FKL917640:FKL917648 FUH917640:FUH917648 GED917640:GED917648 GNZ917640:GNZ917648 GXV917640:GXV917648 HHR917640:HHR917648 HRN917640:HRN917648 IBJ917640:IBJ917648 ILF917640:ILF917648 IVB917640:IVB917648 JEX917640:JEX917648 JOT917640:JOT917648 JYP917640:JYP917648 KIL917640:KIL917648 KSH917640:KSH917648 LCD917640:LCD917648 LLZ917640:LLZ917648 LVV917640:LVV917648 MFR917640:MFR917648 MPN917640:MPN917648 MZJ917640:MZJ917648 NJF917640:NJF917648 NTB917640:NTB917648 OCX917640:OCX917648 OMT917640:OMT917648 OWP917640:OWP917648 PGL917640:PGL917648 PQH917640:PQH917648 QAD917640:QAD917648 QJZ917640:QJZ917648 QTV917640:QTV917648 RDR917640:RDR917648 RNN917640:RNN917648 RXJ917640:RXJ917648 SHF917640:SHF917648 SRB917640:SRB917648 TAX917640:TAX917648 TKT917640:TKT917648 TUP917640:TUP917648 UEL917640:UEL917648 UOH917640:UOH917648 UYD917640:UYD917648 VHZ917640:VHZ917648 VRV917640:VRV917648 WBR917640:WBR917648 WLN917640:WLN917648 WVJ917640:WVJ917648 B983177:B983185 IX983176:IX983184 ST983176:ST983184 ACP983176:ACP983184 AML983176:AML983184 AWH983176:AWH983184 BGD983176:BGD983184 BPZ983176:BPZ983184 BZV983176:BZV983184 CJR983176:CJR983184 CTN983176:CTN983184 DDJ983176:DDJ983184 DNF983176:DNF983184 DXB983176:DXB983184 EGX983176:EGX983184 EQT983176:EQT983184 FAP983176:FAP983184 FKL983176:FKL983184 FUH983176:FUH983184 GED983176:GED983184 GNZ983176:GNZ983184 GXV983176:GXV983184 HHR983176:HHR983184 HRN983176:HRN983184 IBJ983176:IBJ983184 ILF983176:ILF983184 IVB983176:IVB983184 JEX983176:JEX983184 JOT983176:JOT983184 JYP983176:JYP983184 KIL983176:KIL983184 KSH983176:KSH983184 LCD983176:LCD983184 LLZ983176:LLZ983184 LVV983176:LVV983184 MFR983176:MFR983184 MPN983176:MPN983184 MZJ983176:MZJ983184 NJF983176:NJF983184 NTB983176:NTB983184 OCX983176:OCX983184 OMT983176:OMT983184 OWP983176:OWP983184 PGL983176:PGL983184 PQH983176:PQH983184 QAD983176:QAD983184 QJZ983176:QJZ983184 QTV983176:QTV983184 RDR983176:RDR983184 RNN983176:RNN983184 RXJ983176:RXJ983184 SHF983176:SHF983184 SRB983176:SRB983184 TAX983176:TAX983184 TKT983176:TKT983184 TUP983176:TUP983184 UEL983176:UEL983184 UOH983176:UOH983184 UYD983176:UYD983184 VHZ983176:VHZ983184 VRV983176:VRV983184 WBR983176:WBR983184 WLN983176:WLN983184 B63:B98" xr:uid="{00000000-0002-0000-0500-000000000000}"/>
    <dataValidation allowBlank="1" showInputMessage="1" showErrorMessage="1" prompt="definir la unidad de medida con la cual se asigna el valor unitario." sqref="WVL983176:WVL983184 IZ12:IZ60 SV12:SV60 ACR12:ACR60 AMN12:AMN60 AWJ12:AWJ60 BGF12:BGF60 BQB12:BQB60 BZX12:BZX60 CJT12:CJT60 CTP12:CTP60 DDL12:DDL60 DNH12:DNH60 DXD12:DXD60 EGZ12:EGZ60 EQV12:EQV60 FAR12:FAR60 FKN12:FKN60 FUJ12:FUJ60 GEF12:GEF60 GOB12:GOB60 GXX12:GXX60 HHT12:HHT60 HRP12:HRP60 IBL12:IBL60 ILH12:ILH60 IVD12:IVD60 JEZ12:JEZ60 JOV12:JOV60 JYR12:JYR60 KIN12:KIN60 KSJ12:KSJ60 LCF12:LCF60 LMB12:LMB60 LVX12:LVX60 MFT12:MFT60 MPP12:MPP60 MZL12:MZL60 NJH12:NJH60 NTD12:NTD60 OCZ12:OCZ60 OMV12:OMV60 OWR12:OWR60 PGN12:PGN60 PQJ12:PQJ60 QAF12:QAF60 QKB12:QKB60 QTX12:QTX60 RDT12:RDT60 RNP12:RNP60 RXL12:RXL60 SHH12:SHH60 SRD12:SRD60 TAZ12:TAZ60 TKV12:TKV60 TUR12:TUR60 UEN12:UEN60 UOJ12:UOJ60 UYF12:UYF60 VIB12:VIB60 VRX12:VRX60 WBT12:WBT60 WLP12:WLP60 WVL12:WVL60 D65662:D65670 IZ65661:IZ65669 SV65661:SV65669 ACR65661:ACR65669 AMN65661:AMN65669 AWJ65661:AWJ65669 BGF65661:BGF65669 BQB65661:BQB65669 BZX65661:BZX65669 CJT65661:CJT65669 CTP65661:CTP65669 DDL65661:DDL65669 DNH65661:DNH65669 DXD65661:DXD65669 EGZ65661:EGZ65669 EQV65661:EQV65669 FAR65661:FAR65669 FKN65661:FKN65669 FUJ65661:FUJ65669 GEF65661:GEF65669 GOB65661:GOB65669 GXX65661:GXX65669 HHT65661:HHT65669 HRP65661:HRP65669 IBL65661:IBL65669 ILH65661:ILH65669 IVD65661:IVD65669 JEZ65661:JEZ65669 JOV65661:JOV65669 JYR65661:JYR65669 KIN65661:KIN65669 KSJ65661:KSJ65669 LCF65661:LCF65669 LMB65661:LMB65669 LVX65661:LVX65669 MFT65661:MFT65669 MPP65661:MPP65669 MZL65661:MZL65669 NJH65661:NJH65669 NTD65661:NTD65669 OCZ65661:OCZ65669 OMV65661:OMV65669 OWR65661:OWR65669 PGN65661:PGN65669 PQJ65661:PQJ65669 QAF65661:QAF65669 QKB65661:QKB65669 QTX65661:QTX65669 RDT65661:RDT65669 RNP65661:RNP65669 RXL65661:RXL65669 SHH65661:SHH65669 SRD65661:SRD65669 TAZ65661:TAZ65669 TKV65661:TKV65669 TUR65661:TUR65669 UEN65661:UEN65669 UOJ65661:UOJ65669 UYF65661:UYF65669 VIB65661:VIB65669 VRX65661:VRX65669 WBT65661:WBT65669 WLP65661:WLP65669 WVL65661:WVL65669 D131198:D131206 IZ131197:IZ131205 SV131197:SV131205 ACR131197:ACR131205 AMN131197:AMN131205 AWJ131197:AWJ131205 BGF131197:BGF131205 BQB131197:BQB131205 BZX131197:BZX131205 CJT131197:CJT131205 CTP131197:CTP131205 DDL131197:DDL131205 DNH131197:DNH131205 DXD131197:DXD131205 EGZ131197:EGZ131205 EQV131197:EQV131205 FAR131197:FAR131205 FKN131197:FKN131205 FUJ131197:FUJ131205 GEF131197:GEF131205 GOB131197:GOB131205 GXX131197:GXX131205 HHT131197:HHT131205 HRP131197:HRP131205 IBL131197:IBL131205 ILH131197:ILH131205 IVD131197:IVD131205 JEZ131197:JEZ131205 JOV131197:JOV131205 JYR131197:JYR131205 KIN131197:KIN131205 KSJ131197:KSJ131205 LCF131197:LCF131205 LMB131197:LMB131205 LVX131197:LVX131205 MFT131197:MFT131205 MPP131197:MPP131205 MZL131197:MZL131205 NJH131197:NJH131205 NTD131197:NTD131205 OCZ131197:OCZ131205 OMV131197:OMV131205 OWR131197:OWR131205 PGN131197:PGN131205 PQJ131197:PQJ131205 QAF131197:QAF131205 QKB131197:QKB131205 QTX131197:QTX131205 RDT131197:RDT131205 RNP131197:RNP131205 RXL131197:RXL131205 SHH131197:SHH131205 SRD131197:SRD131205 TAZ131197:TAZ131205 TKV131197:TKV131205 TUR131197:TUR131205 UEN131197:UEN131205 UOJ131197:UOJ131205 UYF131197:UYF131205 VIB131197:VIB131205 VRX131197:VRX131205 WBT131197:WBT131205 WLP131197:WLP131205 WVL131197:WVL131205 D196734:D196742 IZ196733:IZ196741 SV196733:SV196741 ACR196733:ACR196741 AMN196733:AMN196741 AWJ196733:AWJ196741 BGF196733:BGF196741 BQB196733:BQB196741 BZX196733:BZX196741 CJT196733:CJT196741 CTP196733:CTP196741 DDL196733:DDL196741 DNH196733:DNH196741 DXD196733:DXD196741 EGZ196733:EGZ196741 EQV196733:EQV196741 FAR196733:FAR196741 FKN196733:FKN196741 FUJ196733:FUJ196741 GEF196733:GEF196741 GOB196733:GOB196741 GXX196733:GXX196741 HHT196733:HHT196741 HRP196733:HRP196741 IBL196733:IBL196741 ILH196733:ILH196741 IVD196733:IVD196741 JEZ196733:JEZ196741 JOV196733:JOV196741 JYR196733:JYR196741 KIN196733:KIN196741 KSJ196733:KSJ196741 LCF196733:LCF196741 LMB196733:LMB196741 LVX196733:LVX196741 MFT196733:MFT196741 MPP196733:MPP196741 MZL196733:MZL196741 NJH196733:NJH196741 NTD196733:NTD196741 OCZ196733:OCZ196741 OMV196733:OMV196741 OWR196733:OWR196741 PGN196733:PGN196741 PQJ196733:PQJ196741 QAF196733:QAF196741 QKB196733:QKB196741 QTX196733:QTX196741 RDT196733:RDT196741 RNP196733:RNP196741 RXL196733:RXL196741 SHH196733:SHH196741 SRD196733:SRD196741 TAZ196733:TAZ196741 TKV196733:TKV196741 TUR196733:TUR196741 UEN196733:UEN196741 UOJ196733:UOJ196741 UYF196733:UYF196741 VIB196733:VIB196741 VRX196733:VRX196741 WBT196733:WBT196741 WLP196733:WLP196741 WVL196733:WVL196741 D262270:D262278 IZ262269:IZ262277 SV262269:SV262277 ACR262269:ACR262277 AMN262269:AMN262277 AWJ262269:AWJ262277 BGF262269:BGF262277 BQB262269:BQB262277 BZX262269:BZX262277 CJT262269:CJT262277 CTP262269:CTP262277 DDL262269:DDL262277 DNH262269:DNH262277 DXD262269:DXD262277 EGZ262269:EGZ262277 EQV262269:EQV262277 FAR262269:FAR262277 FKN262269:FKN262277 FUJ262269:FUJ262277 GEF262269:GEF262277 GOB262269:GOB262277 GXX262269:GXX262277 HHT262269:HHT262277 HRP262269:HRP262277 IBL262269:IBL262277 ILH262269:ILH262277 IVD262269:IVD262277 JEZ262269:JEZ262277 JOV262269:JOV262277 JYR262269:JYR262277 KIN262269:KIN262277 KSJ262269:KSJ262277 LCF262269:LCF262277 LMB262269:LMB262277 LVX262269:LVX262277 MFT262269:MFT262277 MPP262269:MPP262277 MZL262269:MZL262277 NJH262269:NJH262277 NTD262269:NTD262277 OCZ262269:OCZ262277 OMV262269:OMV262277 OWR262269:OWR262277 PGN262269:PGN262277 PQJ262269:PQJ262277 QAF262269:QAF262277 QKB262269:QKB262277 QTX262269:QTX262277 RDT262269:RDT262277 RNP262269:RNP262277 RXL262269:RXL262277 SHH262269:SHH262277 SRD262269:SRD262277 TAZ262269:TAZ262277 TKV262269:TKV262277 TUR262269:TUR262277 UEN262269:UEN262277 UOJ262269:UOJ262277 UYF262269:UYF262277 VIB262269:VIB262277 VRX262269:VRX262277 WBT262269:WBT262277 WLP262269:WLP262277 WVL262269:WVL262277 D327806:D327814 IZ327805:IZ327813 SV327805:SV327813 ACR327805:ACR327813 AMN327805:AMN327813 AWJ327805:AWJ327813 BGF327805:BGF327813 BQB327805:BQB327813 BZX327805:BZX327813 CJT327805:CJT327813 CTP327805:CTP327813 DDL327805:DDL327813 DNH327805:DNH327813 DXD327805:DXD327813 EGZ327805:EGZ327813 EQV327805:EQV327813 FAR327805:FAR327813 FKN327805:FKN327813 FUJ327805:FUJ327813 GEF327805:GEF327813 GOB327805:GOB327813 GXX327805:GXX327813 HHT327805:HHT327813 HRP327805:HRP327813 IBL327805:IBL327813 ILH327805:ILH327813 IVD327805:IVD327813 JEZ327805:JEZ327813 JOV327805:JOV327813 JYR327805:JYR327813 KIN327805:KIN327813 KSJ327805:KSJ327813 LCF327805:LCF327813 LMB327805:LMB327813 LVX327805:LVX327813 MFT327805:MFT327813 MPP327805:MPP327813 MZL327805:MZL327813 NJH327805:NJH327813 NTD327805:NTD327813 OCZ327805:OCZ327813 OMV327805:OMV327813 OWR327805:OWR327813 PGN327805:PGN327813 PQJ327805:PQJ327813 QAF327805:QAF327813 QKB327805:QKB327813 QTX327805:QTX327813 RDT327805:RDT327813 RNP327805:RNP327813 RXL327805:RXL327813 SHH327805:SHH327813 SRD327805:SRD327813 TAZ327805:TAZ327813 TKV327805:TKV327813 TUR327805:TUR327813 UEN327805:UEN327813 UOJ327805:UOJ327813 UYF327805:UYF327813 VIB327805:VIB327813 VRX327805:VRX327813 WBT327805:WBT327813 WLP327805:WLP327813 WVL327805:WVL327813 D393342:D393350 IZ393341:IZ393349 SV393341:SV393349 ACR393341:ACR393349 AMN393341:AMN393349 AWJ393341:AWJ393349 BGF393341:BGF393349 BQB393341:BQB393349 BZX393341:BZX393349 CJT393341:CJT393349 CTP393341:CTP393349 DDL393341:DDL393349 DNH393341:DNH393349 DXD393341:DXD393349 EGZ393341:EGZ393349 EQV393341:EQV393349 FAR393341:FAR393349 FKN393341:FKN393349 FUJ393341:FUJ393349 GEF393341:GEF393349 GOB393341:GOB393349 GXX393341:GXX393349 HHT393341:HHT393349 HRP393341:HRP393349 IBL393341:IBL393349 ILH393341:ILH393349 IVD393341:IVD393349 JEZ393341:JEZ393349 JOV393341:JOV393349 JYR393341:JYR393349 KIN393341:KIN393349 KSJ393341:KSJ393349 LCF393341:LCF393349 LMB393341:LMB393349 LVX393341:LVX393349 MFT393341:MFT393349 MPP393341:MPP393349 MZL393341:MZL393349 NJH393341:NJH393349 NTD393341:NTD393349 OCZ393341:OCZ393349 OMV393341:OMV393349 OWR393341:OWR393349 PGN393341:PGN393349 PQJ393341:PQJ393349 QAF393341:QAF393349 QKB393341:QKB393349 QTX393341:QTX393349 RDT393341:RDT393349 RNP393341:RNP393349 RXL393341:RXL393349 SHH393341:SHH393349 SRD393341:SRD393349 TAZ393341:TAZ393349 TKV393341:TKV393349 TUR393341:TUR393349 UEN393341:UEN393349 UOJ393341:UOJ393349 UYF393341:UYF393349 VIB393341:VIB393349 VRX393341:VRX393349 WBT393341:WBT393349 WLP393341:WLP393349 WVL393341:WVL393349 D458878:D458886 IZ458877:IZ458885 SV458877:SV458885 ACR458877:ACR458885 AMN458877:AMN458885 AWJ458877:AWJ458885 BGF458877:BGF458885 BQB458877:BQB458885 BZX458877:BZX458885 CJT458877:CJT458885 CTP458877:CTP458885 DDL458877:DDL458885 DNH458877:DNH458885 DXD458877:DXD458885 EGZ458877:EGZ458885 EQV458877:EQV458885 FAR458877:FAR458885 FKN458877:FKN458885 FUJ458877:FUJ458885 GEF458877:GEF458885 GOB458877:GOB458885 GXX458877:GXX458885 HHT458877:HHT458885 HRP458877:HRP458885 IBL458877:IBL458885 ILH458877:ILH458885 IVD458877:IVD458885 JEZ458877:JEZ458885 JOV458877:JOV458885 JYR458877:JYR458885 KIN458877:KIN458885 KSJ458877:KSJ458885 LCF458877:LCF458885 LMB458877:LMB458885 LVX458877:LVX458885 MFT458877:MFT458885 MPP458877:MPP458885 MZL458877:MZL458885 NJH458877:NJH458885 NTD458877:NTD458885 OCZ458877:OCZ458885 OMV458877:OMV458885 OWR458877:OWR458885 PGN458877:PGN458885 PQJ458877:PQJ458885 QAF458877:QAF458885 QKB458877:QKB458885 QTX458877:QTX458885 RDT458877:RDT458885 RNP458877:RNP458885 RXL458877:RXL458885 SHH458877:SHH458885 SRD458877:SRD458885 TAZ458877:TAZ458885 TKV458877:TKV458885 TUR458877:TUR458885 UEN458877:UEN458885 UOJ458877:UOJ458885 UYF458877:UYF458885 VIB458877:VIB458885 VRX458877:VRX458885 WBT458877:WBT458885 WLP458877:WLP458885 WVL458877:WVL458885 D524414:D524422 IZ524413:IZ524421 SV524413:SV524421 ACR524413:ACR524421 AMN524413:AMN524421 AWJ524413:AWJ524421 BGF524413:BGF524421 BQB524413:BQB524421 BZX524413:BZX524421 CJT524413:CJT524421 CTP524413:CTP524421 DDL524413:DDL524421 DNH524413:DNH524421 DXD524413:DXD524421 EGZ524413:EGZ524421 EQV524413:EQV524421 FAR524413:FAR524421 FKN524413:FKN524421 FUJ524413:FUJ524421 GEF524413:GEF524421 GOB524413:GOB524421 GXX524413:GXX524421 HHT524413:HHT524421 HRP524413:HRP524421 IBL524413:IBL524421 ILH524413:ILH524421 IVD524413:IVD524421 JEZ524413:JEZ524421 JOV524413:JOV524421 JYR524413:JYR524421 KIN524413:KIN524421 KSJ524413:KSJ524421 LCF524413:LCF524421 LMB524413:LMB524421 LVX524413:LVX524421 MFT524413:MFT524421 MPP524413:MPP524421 MZL524413:MZL524421 NJH524413:NJH524421 NTD524413:NTD524421 OCZ524413:OCZ524421 OMV524413:OMV524421 OWR524413:OWR524421 PGN524413:PGN524421 PQJ524413:PQJ524421 QAF524413:QAF524421 QKB524413:QKB524421 QTX524413:QTX524421 RDT524413:RDT524421 RNP524413:RNP524421 RXL524413:RXL524421 SHH524413:SHH524421 SRD524413:SRD524421 TAZ524413:TAZ524421 TKV524413:TKV524421 TUR524413:TUR524421 UEN524413:UEN524421 UOJ524413:UOJ524421 UYF524413:UYF524421 VIB524413:VIB524421 VRX524413:VRX524421 WBT524413:WBT524421 WLP524413:WLP524421 WVL524413:WVL524421 D589950:D589958 IZ589949:IZ589957 SV589949:SV589957 ACR589949:ACR589957 AMN589949:AMN589957 AWJ589949:AWJ589957 BGF589949:BGF589957 BQB589949:BQB589957 BZX589949:BZX589957 CJT589949:CJT589957 CTP589949:CTP589957 DDL589949:DDL589957 DNH589949:DNH589957 DXD589949:DXD589957 EGZ589949:EGZ589957 EQV589949:EQV589957 FAR589949:FAR589957 FKN589949:FKN589957 FUJ589949:FUJ589957 GEF589949:GEF589957 GOB589949:GOB589957 GXX589949:GXX589957 HHT589949:HHT589957 HRP589949:HRP589957 IBL589949:IBL589957 ILH589949:ILH589957 IVD589949:IVD589957 JEZ589949:JEZ589957 JOV589949:JOV589957 JYR589949:JYR589957 KIN589949:KIN589957 KSJ589949:KSJ589957 LCF589949:LCF589957 LMB589949:LMB589957 LVX589949:LVX589957 MFT589949:MFT589957 MPP589949:MPP589957 MZL589949:MZL589957 NJH589949:NJH589957 NTD589949:NTD589957 OCZ589949:OCZ589957 OMV589949:OMV589957 OWR589949:OWR589957 PGN589949:PGN589957 PQJ589949:PQJ589957 QAF589949:QAF589957 QKB589949:QKB589957 QTX589949:QTX589957 RDT589949:RDT589957 RNP589949:RNP589957 RXL589949:RXL589957 SHH589949:SHH589957 SRD589949:SRD589957 TAZ589949:TAZ589957 TKV589949:TKV589957 TUR589949:TUR589957 UEN589949:UEN589957 UOJ589949:UOJ589957 UYF589949:UYF589957 VIB589949:VIB589957 VRX589949:VRX589957 WBT589949:WBT589957 WLP589949:WLP589957 WVL589949:WVL589957 D655486:D655494 IZ655485:IZ655493 SV655485:SV655493 ACR655485:ACR655493 AMN655485:AMN655493 AWJ655485:AWJ655493 BGF655485:BGF655493 BQB655485:BQB655493 BZX655485:BZX655493 CJT655485:CJT655493 CTP655485:CTP655493 DDL655485:DDL655493 DNH655485:DNH655493 DXD655485:DXD655493 EGZ655485:EGZ655493 EQV655485:EQV655493 FAR655485:FAR655493 FKN655485:FKN655493 FUJ655485:FUJ655493 GEF655485:GEF655493 GOB655485:GOB655493 GXX655485:GXX655493 HHT655485:HHT655493 HRP655485:HRP655493 IBL655485:IBL655493 ILH655485:ILH655493 IVD655485:IVD655493 JEZ655485:JEZ655493 JOV655485:JOV655493 JYR655485:JYR655493 KIN655485:KIN655493 KSJ655485:KSJ655493 LCF655485:LCF655493 LMB655485:LMB655493 LVX655485:LVX655493 MFT655485:MFT655493 MPP655485:MPP655493 MZL655485:MZL655493 NJH655485:NJH655493 NTD655485:NTD655493 OCZ655485:OCZ655493 OMV655485:OMV655493 OWR655485:OWR655493 PGN655485:PGN655493 PQJ655485:PQJ655493 QAF655485:QAF655493 QKB655485:QKB655493 QTX655485:QTX655493 RDT655485:RDT655493 RNP655485:RNP655493 RXL655485:RXL655493 SHH655485:SHH655493 SRD655485:SRD655493 TAZ655485:TAZ655493 TKV655485:TKV655493 TUR655485:TUR655493 UEN655485:UEN655493 UOJ655485:UOJ655493 UYF655485:UYF655493 VIB655485:VIB655493 VRX655485:VRX655493 WBT655485:WBT655493 WLP655485:WLP655493 WVL655485:WVL655493 D721022:D721030 IZ721021:IZ721029 SV721021:SV721029 ACR721021:ACR721029 AMN721021:AMN721029 AWJ721021:AWJ721029 BGF721021:BGF721029 BQB721021:BQB721029 BZX721021:BZX721029 CJT721021:CJT721029 CTP721021:CTP721029 DDL721021:DDL721029 DNH721021:DNH721029 DXD721021:DXD721029 EGZ721021:EGZ721029 EQV721021:EQV721029 FAR721021:FAR721029 FKN721021:FKN721029 FUJ721021:FUJ721029 GEF721021:GEF721029 GOB721021:GOB721029 GXX721021:GXX721029 HHT721021:HHT721029 HRP721021:HRP721029 IBL721021:IBL721029 ILH721021:ILH721029 IVD721021:IVD721029 JEZ721021:JEZ721029 JOV721021:JOV721029 JYR721021:JYR721029 KIN721021:KIN721029 KSJ721021:KSJ721029 LCF721021:LCF721029 LMB721021:LMB721029 LVX721021:LVX721029 MFT721021:MFT721029 MPP721021:MPP721029 MZL721021:MZL721029 NJH721021:NJH721029 NTD721021:NTD721029 OCZ721021:OCZ721029 OMV721021:OMV721029 OWR721021:OWR721029 PGN721021:PGN721029 PQJ721021:PQJ721029 QAF721021:QAF721029 QKB721021:QKB721029 QTX721021:QTX721029 RDT721021:RDT721029 RNP721021:RNP721029 RXL721021:RXL721029 SHH721021:SHH721029 SRD721021:SRD721029 TAZ721021:TAZ721029 TKV721021:TKV721029 TUR721021:TUR721029 UEN721021:UEN721029 UOJ721021:UOJ721029 UYF721021:UYF721029 VIB721021:VIB721029 VRX721021:VRX721029 WBT721021:WBT721029 WLP721021:WLP721029 WVL721021:WVL721029 D786558:D786566 IZ786557:IZ786565 SV786557:SV786565 ACR786557:ACR786565 AMN786557:AMN786565 AWJ786557:AWJ786565 BGF786557:BGF786565 BQB786557:BQB786565 BZX786557:BZX786565 CJT786557:CJT786565 CTP786557:CTP786565 DDL786557:DDL786565 DNH786557:DNH786565 DXD786557:DXD786565 EGZ786557:EGZ786565 EQV786557:EQV786565 FAR786557:FAR786565 FKN786557:FKN786565 FUJ786557:FUJ786565 GEF786557:GEF786565 GOB786557:GOB786565 GXX786557:GXX786565 HHT786557:HHT786565 HRP786557:HRP786565 IBL786557:IBL786565 ILH786557:ILH786565 IVD786557:IVD786565 JEZ786557:JEZ786565 JOV786557:JOV786565 JYR786557:JYR786565 KIN786557:KIN786565 KSJ786557:KSJ786565 LCF786557:LCF786565 LMB786557:LMB786565 LVX786557:LVX786565 MFT786557:MFT786565 MPP786557:MPP786565 MZL786557:MZL786565 NJH786557:NJH786565 NTD786557:NTD786565 OCZ786557:OCZ786565 OMV786557:OMV786565 OWR786557:OWR786565 PGN786557:PGN786565 PQJ786557:PQJ786565 QAF786557:QAF786565 QKB786557:QKB786565 QTX786557:QTX786565 RDT786557:RDT786565 RNP786557:RNP786565 RXL786557:RXL786565 SHH786557:SHH786565 SRD786557:SRD786565 TAZ786557:TAZ786565 TKV786557:TKV786565 TUR786557:TUR786565 UEN786557:UEN786565 UOJ786557:UOJ786565 UYF786557:UYF786565 VIB786557:VIB786565 VRX786557:VRX786565 WBT786557:WBT786565 WLP786557:WLP786565 WVL786557:WVL786565 D852094:D852102 IZ852093:IZ852101 SV852093:SV852101 ACR852093:ACR852101 AMN852093:AMN852101 AWJ852093:AWJ852101 BGF852093:BGF852101 BQB852093:BQB852101 BZX852093:BZX852101 CJT852093:CJT852101 CTP852093:CTP852101 DDL852093:DDL852101 DNH852093:DNH852101 DXD852093:DXD852101 EGZ852093:EGZ852101 EQV852093:EQV852101 FAR852093:FAR852101 FKN852093:FKN852101 FUJ852093:FUJ852101 GEF852093:GEF852101 GOB852093:GOB852101 GXX852093:GXX852101 HHT852093:HHT852101 HRP852093:HRP852101 IBL852093:IBL852101 ILH852093:ILH852101 IVD852093:IVD852101 JEZ852093:JEZ852101 JOV852093:JOV852101 JYR852093:JYR852101 KIN852093:KIN852101 KSJ852093:KSJ852101 LCF852093:LCF852101 LMB852093:LMB852101 LVX852093:LVX852101 MFT852093:MFT852101 MPP852093:MPP852101 MZL852093:MZL852101 NJH852093:NJH852101 NTD852093:NTD852101 OCZ852093:OCZ852101 OMV852093:OMV852101 OWR852093:OWR852101 PGN852093:PGN852101 PQJ852093:PQJ852101 QAF852093:QAF852101 QKB852093:QKB852101 QTX852093:QTX852101 RDT852093:RDT852101 RNP852093:RNP852101 RXL852093:RXL852101 SHH852093:SHH852101 SRD852093:SRD852101 TAZ852093:TAZ852101 TKV852093:TKV852101 TUR852093:TUR852101 UEN852093:UEN852101 UOJ852093:UOJ852101 UYF852093:UYF852101 VIB852093:VIB852101 VRX852093:VRX852101 WBT852093:WBT852101 WLP852093:WLP852101 WVL852093:WVL852101 D917630:D917638 IZ917629:IZ917637 SV917629:SV917637 ACR917629:ACR917637 AMN917629:AMN917637 AWJ917629:AWJ917637 BGF917629:BGF917637 BQB917629:BQB917637 BZX917629:BZX917637 CJT917629:CJT917637 CTP917629:CTP917637 DDL917629:DDL917637 DNH917629:DNH917637 DXD917629:DXD917637 EGZ917629:EGZ917637 EQV917629:EQV917637 FAR917629:FAR917637 FKN917629:FKN917637 FUJ917629:FUJ917637 GEF917629:GEF917637 GOB917629:GOB917637 GXX917629:GXX917637 HHT917629:HHT917637 HRP917629:HRP917637 IBL917629:IBL917637 ILH917629:ILH917637 IVD917629:IVD917637 JEZ917629:JEZ917637 JOV917629:JOV917637 JYR917629:JYR917637 KIN917629:KIN917637 KSJ917629:KSJ917637 LCF917629:LCF917637 LMB917629:LMB917637 LVX917629:LVX917637 MFT917629:MFT917637 MPP917629:MPP917637 MZL917629:MZL917637 NJH917629:NJH917637 NTD917629:NTD917637 OCZ917629:OCZ917637 OMV917629:OMV917637 OWR917629:OWR917637 PGN917629:PGN917637 PQJ917629:PQJ917637 QAF917629:QAF917637 QKB917629:QKB917637 QTX917629:QTX917637 RDT917629:RDT917637 RNP917629:RNP917637 RXL917629:RXL917637 SHH917629:SHH917637 SRD917629:SRD917637 TAZ917629:TAZ917637 TKV917629:TKV917637 TUR917629:TUR917637 UEN917629:UEN917637 UOJ917629:UOJ917637 UYF917629:UYF917637 VIB917629:VIB917637 VRX917629:VRX917637 WBT917629:WBT917637 WLP917629:WLP917637 WVL917629:WVL917637 D983166:D983174 IZ983165:IZ983173 SV983165:SV983173 ACR983165:ACR983173 AMN983165:AMN983173 AWJ983165:AWJ983173 BGF983165:BGF983173 BQB983165:BQB983173 BZX983165:BZX983173 CJT983165:CJT983173 CTP983165:CTP983173 DDL983165:DDL983173 DNH983165:DNH983173 DXD983165:DXD983173 EGZ983165:EGZ983173 EQV983165:EQV983173 FAR983165:FAR983173 FKN983165:FKN983173 FUJ983165:FUJ983173 GEF983165:GEF983173 GOB983165:GOB983173 GXX983165:GXX983173 HHT983165:HHT983173 HRP983165:HRP983173 IBL983165:IBL983173 ILH983165:ILH983173 IVD983165:IVD983173 JEZ983165:JEZ983173 JOV983165:JOV983173 JYR983165:JYR983173 KIN983165:KIN983173 KSJ983165:KSJ983173 LCF983165:LCF983173 LMB983165:LMB983173 LVX983165:LVX983173 MFT983165:MFT983173 MPP983165:MPP983173 MZL983165:MZL983173 NJH983165:NJH983173 NTD983165:NTD983173 OCZ983165:OCZ983173 OMV983165:OMV983173 OWR983165:OWR983173 PGN983165:PGN983173 PQJ983165:PQJ983173 QAF983165:QAF983173 QKB983165:QKB983173 QTX983165:QTX983173 RDT983165:RDT983173 RNP983165:RNP983173 RXL983165:RXL983173 SHH983165:SHH983173 SRD983165:SRD983173 TAZ983165:TAZ983173 TKV983165:TKV983173 TUR983165:TUR983173 UEN983165:UEN983173 UOJ983165:UOJ983173 UYF983165:UYF983173 VIB983165:VIB983173 VRX983165:VRX983173 WBT983165:WBT983173 WLP983165:WLP983173 WVL983165:WVL983173 D12:D60 IZ63:IZ98 SV63:SV98 ACR63:ACR98 AMN63:AMN98 AWJ63:AWJ98 BGF63:BGF98 BQB63:BQB98 BZX63:BZX98 CJT63:CJT98 CTP63:CTP98 DDL63:DDL98 DNH63:DNH98 DXD63:DXD98 EGZ63:EGZ98 EQV63:EQV98 FAR63:FAR98 FKN63:FKN98 FUJ63:FUJ98 GEF63:GEF98 GOB63:GOB98 GXX63:GXX98 HHT63:HHT98 HRP63:HRP98 IBL63:IBL98 ILH63:ILH98 IVD63:IVD98 JEZ63:JEZ98 JOV63:JOV98 JYR63:JYR98 KIN63:KIN98 KSJ63:KSJ98 LCF63:LCF98 LMB63:LMB98 LVX63:LVX98 MFT63:MFT98 MPP63:MPP98 MZL63:MZL98 NJH63:NJH98 NTD63:NTD98 OCZ63:OCZ98 OMV63:OMV98 OWR63:OWR98 PGN63:PGN98 PQJ63:PQJ98 QAF63:QAF98 QKB63:QKB98 QTX63:QTX98 RDT63:RDT98 RNP63:RNP98 RXL63:RXL98 SHH63:SHH98 SRD63:SRD98 TAZ63:TAZ98 TKV63:TKV98 TUR63:TUR98 UEN63:UEN98 UOJ63:UOJ98 UYF63:UYF98 VIB63:VIB98 VRX63:VRX98 WBT63:WBT98 WLP63:WLP98 WVL63:WVL98 D65673:D65681 IZ65672:IZ65680 SV65672:SV65680 ACR65672:ACR65680 AMN65672:AMN65680 AWJ65672:AWJ65680 BGF65672:BGF65680 BQB65672:BQB65680 BZX65672:BZX65680 CJT65672:CJT65680 CTP65672:CTP65680 DDL65672:DDL65680 DNH65672:DNH65680 DXD65672:DXD65680 EGZ65672:EGZ65680 EQV65672:EQV65680 FAR65672:FAR65680 FKN65672:FKN65680 FUJ65672:FUJ65680 GEF65672:GEF65680 GOB65672:GOB65680 GXX65672:GXX65680 HHT65672:HHT65680 HRP65672:HRP65680 IBL65672:IBL65680 ILH65672:ILH65680 IVD65672:IVD65680 JEZ65672:JEZ65680 JOV65672:JOV65680 JYR65672:JYR65680 KIN65672:KIN65680 KSJ65672:KSJ65680 LCF65672:LCF65680 LMB65672:LMB65680 LVX65672:LVX65680 MFT65672:MFT65680 MPP65672:MPP65680 MZL65672:MZL65680 NJH65672:NJH65680 NTD65672:NTD65680 OCZ65672:OCZ65680 OMV65672:OMV65680 OWR65672:OWR65680 PGN65672:PGN65680 PQJ65672:PQJ65680 QAF65672:QAF65680 QKB65672:QKB65680 QTX65672:QTX65680 RDT65672:RDT65680 RNP65672:RNP65680 RXL65672:RXL65680 SHH65672:SHH65680 SRD65672:SRD65680 TAZ65672:TAZ65680 TKV65672:TKV65680 TUR65672:TUR65680 UEN65672:UEN65680 UOJ65672:UOJ65680 UYF65672:UYF65680 VIB65672:VIB65680 VRX65672:VRX65680 WBT65672:WBT65680 WLP65672:WLP65680 WVL65672:WVL65680 D131209:D131217 IZ131208:IZ131216 SV131208:SV131216 ACR131208:ACR131216 AMN131208:AMN131216 AWJ131208:AWJ131216 BGF131208:BGF131216 BQB131208:BQB131216 BZX131208:BZX131216 CJT131208:CJT131216 CTP131208:CTP131216 DDL131208:DDL131216 DNH131208:DNH131216 DXD131208:DXD131216 EGZ131208:EGZ131216 EQV131208:EQV131216 FAR131208:FAR131216 FKN131208:FKN131216 FUJ131208:FUJ131216 GEF131208:GEF131216 GOB131208:GOB131216 GXX131208:GXX131216 HHT131208:HHT131216 HRP131208:HRP131216 IBL131208:IBL131216 ILH131208:ILH131216 IVD131208:IVD131216 JEZ131208:JEZ131216 JOV131208:JOV131216 JYR131208:JYR131216 KIN131208:KIN131216 KSJ131208:KSJ131216 LCF131208:LCF131216 LMB131208:LMB131216 LVX131208:LVX131216 MFT131208:MFT131216 MPP131208:MPP131216 MZL131208:MZL131216 NJH131208:NJH131216 NTD131208:NTD131216 OCZ131208:OCZ131216 OMV131208:OMV131216 OWR131208:OWR131216 PGN131208:PGN131216 PQJ131208:PQJ131216 QAF131208:QAF131216 QKB131208:QKB131216 QTX131208:QTX131216 RDT131208:RDT131216 RNP131208:RNP131216 RXL131208:RXL131216 SHH131208:SHH131216 SRD131208:SRD131216 TAZ131208:TAZ131216 TKV131208:TKV131216 TUR131208:TUR131216 UEN131208:UEN131216 UOJ131208:UOJ131216 UYF131208:UYF131216 VIB131208:VIB131216 VRX131208:VRX131216 WBT131208:WBT131216 WLP131208:WLP131216 WVL131208:WVL131216 D196745:D196753 IZ196744:IZ196752 SV196744:SV196752 ACR196744:ACR196752 AMN196744:AMN196752 AWJ196744:AWJ196752 BGF196744:BGF196752 BQB196744:BQB196752 BZX196744:BZX196752 CJT196744:CJT196752 CTP196744:CTP196752 DDL196744:DDL196752 DNH196744:DNH196752 DXD196744:DXD196752 EGZ196744:EGZ196752 EQV196744:EQV196752 FAR196744:FAR196752 FKN196744:FKN196752 FUJ196744:FUJ196752 GEF196744:GEF196752 GOB196744:GOB196752 GXX196744:GXX196752 HHT196744:HHT196752 HRP196744:HRP196752 IBL196744:IBL196752 ILH196744:ILH196752 IVD196744:IVD196752 JEZ196744:JEZ196752 JOV196744:JOV196752 JYR196744:JYR196752 KIN196744:KIN196752 KSJ196744:KSJ196752 LCF196744:LCF196752 LMB196744:LMB196752 LVX196744:LVX196752 MFT196744:MFT196752 MPP196744:MPP196752 MZL196744:MZL196752 NJH196744:NJH196752 NTD196744:NTD196752 OCZ196744:OCZ196752 OMV196744:OMV196752 OWR196744:OWR196752 PGN196744:PGN196752 PQJ196744:PQJ196752 QAF196744:QAF196752 QKB196744:QKB196752 QTX196744:QTX196752 RDT196744:RDT196752 RNP196744:RNP196752 RXL196744:RXL196752 SHH196744:SHH196752 SRD196744:SRD196752 TAZ196744:TAZ196752 TKV196744:TKV196752 TUR196744:TUR196752 UEN196744:UEN196752 UOJ196744:UOJ196752 UYF196744:UYF196752 VIB196744:VIB196752 VRX196744:VRX196752 WBT196744:WBT196752 WLP196744:WLP196752 WVL196744:WVL196752 D262281:D262289 IZ262280:IZ262288 SV262280:SV262288 ACR262280:ACR262288 AMN262280:AMN262288 AWJ262280:AWJ262288 BGF262280:BGF262288 BQB262280:BQB262288 BZX262280:BZX262288 CJT262280:CJT262288 CTP262280:CTP262288 DDL262280:DDL262288 DNH262280:DNH262288 DXD262280:DXD262288 EGZ262280:EGZ262288 EQV262280:EQV262288 FAR262280:FAR262288 FKN262280:FKN262288 FUJ262280:FUJ262288 GEF262280:GEF262288 GOB262280:GOB262288 GXX262280:GXX262288 HHT262280:HHT262288 HRP262280:HRP262288 IBL262280:IBL262288 ILH262280:ILH262288 IVD262280:IVD262288 JEZ262280:JEZ262288 JOV262280:JOV262288 JYR262280:JYR262288 KIN262280:KIN262288 KSJ262280:KSJ262288 LCF262280:LCF262288 LMB262280:LMB262288 LVX262280:LVX262288 MFT262280:MFT262288 MPP262280:MPP262288 MZL262280:MZL262288 NJH262280:NJH262288 NTD262280:NTD262288 OCZ262280:OCZ262288 OMV262280:OMV262288 OWR262280:OWR262288 PGN262280:PGN262288 PQJ262280:PQJ262288 QAF262280:QAF262288 QKB262280:QKB262288 QTX262280:QTX262288 RDT262280:RDT262288 RNP262280:RNP262288 RXL262280:RXL262288 SHH262280:SHH262288 SRD262280:SRD262288 TAZ262280:TAZ262288 TKV262280:TKV262288 TUR262280:TUR262288 UEN262280:UEN262288 UOJ262280:UOJ262288 UYF262280:UYF262288 VIB262280:VIB262288 VRX262280:VRX262288 WBT262280:WBT262288 WLP262280:WLP262288 WVL262280:WVL262288 D327817:D327825 IZ327816:IZ327824 SV327816:SV327824 ACR327816:ACR327824 AMN327816:AMN327824 AWJ327816:AWJ327824 BGF327816:BGF327824 BQB327816:BQB327824 BZX327816:BZX327824 CJT327816:CJT327824 CTP327816:CTP327824 DDL327816:DDL327824 DNH327816:DNH327824 DXD327816:DXD327824 EGZ327816:EGZ327824 EQV327816:EQV327824 FAR327816:FAR327824 FKN327816:FKN327824 FUJ327816:FUJ327824 GEF327816:GEF327824 GOB327816:GOB327824 GXX327816:GXX327824 HHT327816:HHT327824 HRP327816:HRP327824 IBL327816:IBL327824 ILH327816:ILH327824 IVD327816:IVD327824 JEZ327816:JEZ327824 JOV327816:JOV327824 JYR327816:JYR327824 KIN327816:KIN327824 KSJ327816:KSJ327824 LCF327816:LCF327824 LMB327816:LMB327824 LVX327816:LVX327824 MFT327816:MFT327824 MPP327816:MPP327824 MZL327816:MZL327824 NJH327816:NJH327824 NTD327816:NTD327824 OCZ327816:OCZ327824 OMV327816:OMV327824 OWR327816:OWR327824 PGN327816:PGN327824 PQJ327816:PQJ327824 QAF327816:QAF327824 QKB327816:QKB327824 QTX327816:QTX327824 RDT327816:RDT327824 RNP327816:RNP327824 RXL327816:RXL327824 SHH327816:SHH327824 SRD327816:SRD327824 TAZ327816:TAZ327824 TKV327816:TKV327824 TUR327816:TUR327824 UEN327816:UEN327824 UOJ327816:UOJ327824 UYF327816:UYF327824 VIB327816:VIB327824 VRX327816:VRX327824 WBT327816:WBT327824 WLP327816:WLP327824 WVL327816:WVL327824 D393353:D393361 IZ393352:IZ393360 SV393352:SV393360 ACR393352:ACR393360 AMN393352:AMN393360 AWJ393352:AWJ393360 BGF393352:BGF393360 BQB393352:BQB393360 BZX393352:BZX393360 CJT393352:CJT393360 CTP393352:CTP393360 DDL393352:DDL393360 DNH393352:DNH393360 DXD393352:DXD393360 EGZ393352:EGZ393360 EQV393352:EQV393360 FAR393352:FAR393360 FKN393352:FKN393360 FUJ393352:FUJ393360 GEF393352:GEF393360 GOB393352:GOB393360 GXX393352:GXX393360 HHT393352:HHT393360 HRP393352:HRP393360 IBL393352:IBL393360 ILH393352:ILH393360 IVD393352:IVD393360 JEZ393352:JEZ393360 JOV393352:JOV393360 JYR393352:JYR393360 KIN393352:KIN393360 KSJ393352:KSJ393360 LCF393352:LCF393360 LMB393352:LMB393360 LVX393352:LVX393360 MFT393352:MFT393360 MPP393352:MPP393360 MZL393352:MZL393360 NJH393352:NJH393360 NTD393352:NTD393360 OCZ393352:OCZ393360 OMV393352:OMV393360 OWR393352:OWR393360 PGN393352:PGN393360 PQJ393352:PQJ393360 QAF393352:QAF393360 QKB393352:QKB393360 QTX393352:QTX393360 RDT393352:RDT393360 RNP393352:RNP393360 RXL393352:RXL393360 SHH393352:SHH393360 SRD393352:SRD393360 TAZ393352:TAZ393360 TKV393352:TKV393360 TUR393352:TUR393360 UEN393352:UEN393360 UOJ393352:UOJ393360 UYF393352:UYF393360 VIB393352:VIB393360 VRX393352:VRX393360 WBT393352:WBT393360 WLP393352:WLP393360 WVL393352:WVL393360 D458889:D458897 IZ458888:IZ458896 SV458888:SV458896 ACR458888:ACR458896 AMN458888:AMN458896 AWJ458888:AWJ458896 BGF458888:BGF458896 BQB458888:BQB458896 BZX458888:BZX458896 CJT458888:CJT458896 CTP458888:CTP458896 DDL458888:DDL458896 DNH458888:DNH458896 DXD458888:DXD458896 EGZ458888:EGZ458896 EQV458888:EQV458896 FAR458888:FAR458896 FKN458888:FKN458896 FUJ458888:FUJ458896 GEF458888:GEF458896 GOB458888:GOB458896 GXX458888:GXX458896 HHT458888:HHT458896 HRP458888:HRP458896 IBL458888:IBL458896 ILH458888:ILH458896 IVD458888:IVD458896 JEZ458888:JEZ458896 JOV458888:JOV458896 JYR458888:JYR458896 KIN458888:KIN458896 KSJ458888:KSJ458896 LCF458888:LCF458896 LMB458888:LMB458896 LVX458888:LVX458896 MFT458888:MFT458896 MPP458888:MPP458896 MZL458888:MZL458896 NJH458888:NJH458896 NTD458888:NTD458896 OCZ458888:OCZ458896 OMV458888:OMV458896 OWR458888:OWR458896 PGN458888:PGN458896 PQJ458888:PQJ458896 QAF458888:QAF458896 QKB458888:QKB458896 QTX458888:QTX458896 RDT458888:RDT458896 RNP458888:RNP458896 RXL458888:RXL458896 SHH458888:SHH458896 SRD458888:SRD458896 TAZ458888:TAZ458896 TKV458888:TKV458896 TUR458888:TUR458896 UEN458888:UEN458896 UOJ458888:UOJ458896 UYF458888:UYF458896 VIB458888:VIB458896 VRX458888:VRX458896 WBT458888:WBT458896 WLP458888:WLP458896 WVL458888:WVL458896 D524425:D524433 IZ524424:IZ524432 SV524424:SV524432 ACR524424:ACR524432 AMN524424:AMN524432 AWJ524424:AWJ524432 BGF524424:BGF524432 BQB524424:BQB524432 BZX524424:BZX524432 CJT524424:CJT524432 CTP524424:CTP524432 DDL524424:DDL524432 DNH524424:DNH524432 DXD524424:DXD524432 EGZ524424:EGZ524432 EQV524424:EQV524432 FAR524424:FAR524432 FKN524424:FKN524432 FUJ524424:FUJ524432 GEF524424:GEF524432 GOB524424:GOB524432 GXX524424:GXX524432 HHT524424:HHT524432 HRP524424:HRP524432 IBL524424:IBL524432 ILH524424:ILH524432 IVD524424:IVD524432 JEZ524424:JEZ524432 JOV524424:JOV524432 JYR524424:JYR524432 KIN524424:KIN524432 KSJ524424:KSJ524432 LCF524424:LCF524432 LMB524424:LMB524432 LVX524424:LVX524432 MFT524424:MFT524432 MPP524424:MPP524432 MZL524424:MZL524432 NJH524424:NJH524432 NTD524424:NTD524432 OCZ524424:OCZ524432 OMV524424:OMV524432 OWR524424:OWR524432 PGN524424:PGN524432 PQJ524424:PQJ524432 QAF524424:QAF524432 QKB524424:QKB524432 QTX524424:QTX524432 RDT524424:RDT524432 RNP524424:RNP524432 RXL524424:RXL524432 SHH524424:SHH524432 SRD524424:SRD524432 TAZ524424:TAZ524432 TKV524424:TKV524432 TUR524424:TUR524432 UEN524424:UEN524432 UOJ524424:UOJ524432 UYF524424:UYF524432 VIB524424:VIB524432 VRX524424:VRX524432 WBT524424:WBT524432 WLP524424:WLP524432 WVL524424:WVL524432 D589961:D589969 IZ589960:IZ589968 SV589960:SV589968 ACR589960:ACR589968 AMN589960:AMN589968 AWJ589960:AWJ589968 BGF589960:BGF589968 BQB589960:BQB589968 BZX589960:BZX589968 CJT589960:CJT589968 CTP589960:CTP589968 DDL589960:DDL589968 DNH589960:DNH589968 DXD589960:DXD589968 EGZ589960:EGZ589968 EQV589960:EQV589968 FAR589960:FAR589968 FKN589960:FKN589968 FUJ589960:FUJ589968 GEF589960:GEF589968 GOB589960:GOB589968 GXX589960:GXX589968 HHT589960:HHT589968 HRP589960:HRP589968 IBL589960:IBL589968 ILH589960:ILH589968 IVD589960:IVD589968 JEZ589960:JEZ589968 JOV589960:JOV589968 JYR589960:JYR589968 KIN589960:KIN589968 KSJ589960:KSJ589968 LCF589960:LCF589968 LMB589960:LMB589968 LVX589960:LVX589968 MFT589960:MFT589968 MPP589960:MPP589968 MZL589960:MZL589968 NJH589960:NJH589968 NTD589960:NTD589968 OCZ589960:OCZ589968 OMV589960:OMV589968 OWR589960:OWR589968 PGN589960:PGN589968 PQJ589960:PQJ589968 QAF589960:QAF589968 QKB589960:QKB589968 QTX589960:QTX589968 RDT589960:RDT589968 RNP589960:RNP589968 RXL589960:RXL589968 SHH589960:SHH589968 SRD589960:SRD589968 TAZ589960:TAZ589968 TKV589960:TKV589968 TUR589960:TUR589968 UEN589960:UEN589968 UOJ589960:UOJ589968 UYF589960:UYF589968 VIB589960:VIB589968 VRX589960:VRX589968 WBT589960:WBT589968 WLP589960:WLP589968 WVL589960:WVL589968 D655497:D655505 IZ655496:IZ655504 SV655496:SV655504 ACR655496:ACR655504 AMN655496:AMN655504 AWJ655496:AWJ655504 BGF655496:BGF655504 BQB655496:BQB655504 BZX655496:BZX655504 CJT655496:CJT655504 CTP655496:CTP655504 DDL655496:DDL655504 DNH655496:DNH655504 DXD655496:DXD655504 EGZ655496:EGZ655504 EQV655496:EQV655504 FAR655496:FAR655504 FKN655496:FKN655504 FUJ655496:FUJ655504 GEF655496:GEF655504 GOB655496:GOB655504 GXX655496:GXX655504 HHT655496:HHT655504 HRP655496:HRP655504 IBL655496:IBL655504 ILH655496:ILH655504 IVD655496:IVD655504 JEZ655496:JEZ655504 JOV655496:JOV655504 JYR655496:JYR655504 KIN655496:KIN655504 KSJ655496:KSJ655504 LCF655496:LCF655504 LMB655496:LMB655504 LVX655496:LVX655504 MFT655496:MFT655504 MPP655496:MPP655504 MZL655496:MZL655504 NJH655496:NJH655504 NTD655496:NTD655504 OCZ655496:OCZ655504 OMV655496:OMV655504 OWR655496:OWR655504 PGN655496:PGN655504 PQJ655496:PQJ655504 QAF655496:QAF655504 QKB655496:QKB655504 QTX655496:QTX655504 RDT655496:RDT655504 RNP655496:RNP655504 RXL655496:RXL655504 SHH655496:SHH655504 SRD655496:SRD655504 TAZ655496:TAZ655504 TKV655496:TKV655504 TUR655496:TUR655504 UEN655496:UEN655504 UOJ655496:UOJ655504 UYF655496:UYF655504 VIB655496:VIB655504 VRX655496:VRX655504 WBT655496:WBT655504 WLP655496:WLP655504 WVL655496:WVL655504 D721033:D721041 IZ721032:IZ721040 SV721032:SV721040 ACR721032:ACR721040 AMN721032:AMN721040 AWJ721032:AWJ721040 BGF721032:BGF721040 BQB721032:BQB721040 BZX721032:BZX721040 CJT721032:CJT721040 CTP721032:CTP721040 DDL721032:DDL721040 DNH721032:DNH721040 DXD721032:DXD721040 EGZ721032:EGZ721040 EQV721032:EQV721040 FAR721032:FAR721040 FKN721032:FKN721040 FUJ721032:FUJ721040 GEF721032:GEF721040 GOB721032:GOB721040 GXX721032:GXX721040 HHT721032:HHT721040 HRP721032:HRP721040 IBL721032:IBL721040 ILH721032:ILH721040 IVD721032:IVD721040 JEZ721032:JEZ721040 JOV721032:JOV721040 JYR721032:JYR721040 KIN721032:KIN721040 KSJ721032:KSJ721040 LCF721032:LCF721040 LMB721032:LMB721040 LVX721032:LVX721040 MFT721032:MFT721040 MPP721032:MPP721040 MZL721032:MZL721040 NJH721032:NJH721040 NTD721032:NTD721040 OCZ721032:OCZ721040 OMV721032:OMV721040 OWR721032:OWR721040 PGN721032:PGN721040 PQJ721032:PQJ721040 QAF721032:QAF721040 QKB721032:QKB721040 QTX721032:QTX721040 RDT721032:RDT721040 RNP721032:RNP721040 RXL721032:RXL721040 SHH721032:SHH721040 SRD721032:SRD721040 TAZ721032:TAZ721040 TKV721032:TKV721040 TUR721032:TUR721040 UEN721032:UEN721040 UOJ721032:UOJ721040 UYF721032:UYF721040 VIB721032:VIB721040 VRX721032:VRX721040 WBT721032:WBT721040 WLP721032:WLP721040 WVL721032:WVL721040 D786569:D786577 IZ786568:IZ786576 SV786568:SV786576 ACR786568:ACR786576 AMN786568:AMN786576 AWJ786568:AWJ786576 BGF786568:BGF786576 BQB786568:BQB786576 BZX786568:BZX786576 CJT786568:CJT786576 CTP786568:CTP786576 DDL786568:DDL786576 DNH786568:DNH786576 DXD786568:DXD786576 EGZ786568:EGZ786576 EQV786568:EQV786576 FAR786568:FAR786576 FKN786568:FKN786576 FUJ786568:FUJ786576 GEF786568:GEF786576 GOB786568:GOB786576 GXX786568:GXX786576 HHT786568:HHT786576 HRP786568:HRP786576 IBL786568:IBL786576 ILH786568:ILH786576 IVD786568:IVD786576 JEZ786568:JEZ786576 JOV786568:JOV786576 JYR786568:JYR786576 KIN786568:KIN786576 KSJ786568:KSJ786576 LCF786568:LCF786576 LMB786568:LMB786576 LVX786568:LVX786576 MFT786568:MFT786576 MPP786568:MPP786576 MZL786568:MZL786576 NJH786568:NJH786576 NTD786568:NTD786576 OCZ786568:OCZ786576 OMV786568:OMV786576 OWR786568:OWR786576 PGN786568:PGN786576 PQJ786568:PQJ786576 QAF786568:QAF786576 QKB786568:QKB786576 QTX786568:QTX786576 RDT786568:RDT786576 RNP786568:RNP786576 RXL786568:RXL786576 SHH786568:SHH786576 SRD786568:SRD786576 TAZ786568:TAZ786576 TKV786568:TKV786576 TUR786568:TUR786576 UEN786568:UEN786576 UOJ786568:UOJ786576 UYF786568:UYF786576 VIB786568:VIB786576 VRX786568:VRX786576 WBT786568:WBT786576 WLP786568:WLP786576 WVL786568:WVL786576 D852105:D852113 IZ852104:IZ852112 SV852104:SV852112 ACR852104:ACR852112 AMN852104:AMN852112 AWJ852104:AWJ852112 BGF852104:BGF852112 BQB852104:BQB852112 BZX852104:BZX852112 CJT852104:CJT852112 CTP852104:CTP852112 DDL852104:DDL852112 DNH852104:DNH852112 DXD852104:DXD852112 EGZ852104:EGZ852112 EQV852104:EQV852112 FAR852104:FAR852112 FKN852104:FKN852112 FUJ852104:FUJ852112 GEF852104:GEF852112 GOB852104:GOB852112 GXX852104:GXX852112 HHT852104:HHT852112 HRP852104:HRP852112 IBL852104:IBL852112 ILH852104:ILH852112 IVD852104:IVD852112 JEZ852104:JEZ852112 JOV852104:JOV852112 JYR852104:JYR852112 KIN852104:KIN852112 KSJ852104:KSJ852112 LCF852104:LCF852112 LMB852104:LMB852112 LVX852104:LVX852112 MFT852104:MFT852112 MPP852104:MPP852112 MZL852104:MZL852112 NJH852104:NJH852112 NTD852104:NTD852112 OCZ852104:OCZ852112 OMV852104:OMV852112 OWR852104:OWR852112 PGN852104:PGN852112 PQJ852104:PQJ852112 QAF852104:QAF852112 QKB852104:QKB852112 QTX852104:QTX852112 RDT852104:RDT852112 RNP852104:RNP852112 RXL852104:RXL852112 SHH852104:SHH852112 SRD852104:SRD852112 TAZ852104:TAZ852112 TKV852104:TKV852112 TUR852104:TUR852112 UEN852104:UEN852112 UOJ852104:UOJ852112 UYF852104:UYF852112 VIB852104:VIB852112 VRX852104:VRX852112 WBT852104:WBT852112 WLP852104:WLP852112 WVL852104:WVL852112 D917641:D917649 IZ917640:IZ917648 SV917640:SV917648 ACR917640:ACR917648 AMN917640:AMN917648 AWJ917640:AWJ917648 BGF917640:BGF917648 BQB917640:BQB917648 BZX917640:BZX917648 CJT917640:CJT917648 CTP917640:CTP917648 DDL917640:DDL917648 DNH917640:DNH917648 DXD917640:DXD917648 EGZ917640:EGZ917648 EQV917640:EQV917648 FAR917640:FAR917648 FKN917640:FKN917648 FUJ917640:FUJ917648 GEF917640:GEF917648 GOB917640:GOB917648 GXX917640:GXX917648 HHT917640:HHT917648 HRP917640:HRP917648 IBL917640:IBL917648 ILH917640:ILH917648 IVD917640:IVD917648 JEZ917640:JEZ917648 JOV917640:JOV917648 JYR917640:JYR917648 KIN917640:KIN917648 KSJ917640:KSJ917648 LCF917640:LCF917648 LMB917640:LMB917648 LVX917640:LVX917648 MFT917640:MFT917648 MPP917640:MPP917648 MZL917640:MZL917648 NJH917640:NJH917648 NTD917640:NTD917648 OCZ917640:OCZ917648 OMV917640:OMV917648 OWR917640:OWR917648 PGN917640:PGN917648 PQJ917640:PQJ917648 QAF917640:QAF917648 QKB917640:QKB917648 QTX917640:QTX917648 RDT917640:RDT917648 RNP917640:RNP917648 RXL917640:RXL917648 SHH917640:SHH917648 SRD917640:SRD917648 TAZ917640:TAZ917648 TKV917640:TKV917648 TUR917640:TUR917648 UEN917640:UEN917648 UOJ917640:UOJ917648 UYF917640:UYF917648 VIB917640:VIB917648 VRX917640:VRX917648 WBT917640:WBT917648 WLP917640:WLP917648 WVL917640:WVL917648 D983177:D983185 IZ983176:IZ983184 SV983176:SV983184 ACR983176:ACR983184 AMN983176:AMN983184 AWJ983176:AWJ983184 BGF983176:BGF983184 BQB983176:BQB983184 BZX983176:BZX983184 CJT983176:CJT983184 CTP983176:CTP983184 DDL983176:DDL983184 DNH983176:DNH983184 DXD983176:DXD983184 EGZ983176:EGZ983184 EQV983176:EQV983184 FAR983176:FAR983184 FKN983176:FKN983184 FUJ983176:FUJ983184 GEF983176:GEF983184 GOB983176:GOB983184 GXX983176:GXX983184 HHT983176:HHT983184 HRP983176:HRP983184 IBL983176:IBL983184 ILH983176:ILH983184 IVD983176:IVD983184 JEZ983176:JEZ983184 JOV983176:JOV983184 JYR983176:JYR983184 KIN983176:KIN983184 KSJ983176:KSJ983184 LCF983176:LCF983184 LMB983176:LMB983184 LVX983176:LVX983184 MFT983176:MFT983184 MPP983176:MPP983184 MZL983176:MZL983184 NJH983176:NJH983184 NTD983176:NTD983184 OCZ983176:OCZ983184 OMV983176:OMV983184 OWR983176:OWR983184 PGN983176:PGN983184 PQJ983176:PQJ983184 QAF983176:QAF983184 QKB983176:QKB983184 QTX983176:QTX983184 RDT983176:RDT983184 RNP983176:RNP983184 RXL983176:RXL983184 SHH983176:SHH983184 SRD983176:SRD983184 TAZ983176:TAZ983184 TKV983176:TKV983184 TUR983176:TUR983184 UEN983176:UEN983184 UOJ983176:UOJ983184 UYF983176:UYF983184 VIB983176:VIB983184 VRX983176:VRX983184 WBT983176:WBT983184 WLP983176:WLP983184 D63:D98" xr:uid="{00000000-0002-0000-0500-000001000000}"/>
    <dataValidation allowBlank="1" showInputMessage="1" showErrorMessage="1" prompt="diligencie la cantidad de unidad de medida del valor unitario" sqref="JA12:JA60 SW12:SW60 ACS12:ACS60 AMO12:AMO60 AWK12:AWK60 BGG12:BGG60 BQC12:BQC60 BZY12:BZY60 CJU12:CJU60 CTQ12:CTQ60 DDM12:DDM60 DNI12:DNI60 DXE12:DXE60 EHA12:EHA60 EQW12:EQW60 FAS12:FAS60 FKO12:FKO60 FUK12:FUK60 GEG12:GEG60 GOC12:GOC60 GXY12:GXY60 HHU12:HHU60 HRQ12:HRQ60 IBM12:IBM60 ILI12:ILI60 IVE12:IVE60 JFA12:JFA60 JOW12:JOW60 JYS12:JYS60 KIO12:KIO60 KSK12:KSK60 LCG12:LCG60 LMC12:LMC60 LVY12:LVY60 MFU12:MFU60 MPQ12:MPQ60 MZM12:MZM60 NJI12:NJI60 NTE12:NTE60 ODA12:ODA60 OMW12:OMW60 OWS12:OWS60 PGO12:PGO60 PQK12:PQK60 QAG12:QAG60 QKC12:QKC60 QTY12:QTY60 RDU12:RDU60 RNQ12:RNQ60 RXM12:RXM60 SHI12:SHI60 SRE12:SRE60 TBA12:TBA60 TKW12:TKW60 TUS12:TUS60 UEO12:UEO60 UOK12:UOK60 UYG12:UYG60 VIC12:VIC60 VRY12:VRY60 WBU12:WBU60 WLQ12:WLQ60 WVM12:WVM60 JA65661:JA65669 SW65661:SW65669 ACS65661:ACS65669 AMO65661:AMO65669 AWK65661:AWK65669 BGG65661:BGG65669 BQC65661:BQC65669 BZY65661:BZY65669 CJU65661:CJU65669 CTQ65661:CTQ65669 DDM65661:DDM65669 DNI65661:DNI65669 DXE65661:DXE65669 EHA65661:EHA65669 EQW65661:EQW65669 FAS65661:FAS65669 FKO65661:FKO65669 FUK65661:FUK65669 GEG65661:GEG65669 GOC65661:GOC65669 GXY65661:GXY65669 HHU65661:HHU65669 HRQ65661:HRQ65669 IBM65661:IBM65669 ILI65661:ILI65669 IVE65661:IVE65669 JFA65661:JFA65669 JOW65661:JOW65669 JYS65661:JYS65669 KIO65661:KIO65669 KSK65661:KSK65669 LCG65661:LCG65669 LMC65661:LMC65669 LVY65661:LVY65669 MFU65661:MFU65669 MPQ65661:MPQ65669 MZM65661:MZM65669 NJI65661:NJI65669 NTE65661:NTE65669 ODA65661:ODA65669 OMW65661:OMW65669 OWS65661:OWS65669 PGO65661:PGO65669 PQK65661:PQK65669 QAG65661:QAG65669 QKC65661:QKC65669 QTY65661:QTY65669 RDU65661:RDU65669 RNQ65661:RNQ65669 RXM65661:RXM65669 SHI65661:SHI65669 SRE65661:SRE65669 TBA65661:TBA65669 TKW65661:TKW65669 TUS65661:TUS65669 UEO65661:UEO65669 UOK65661:UOK65669 UYG65661:UYG65669 VIC65661:VIC65669 VRY65661:VRY65669 WBU65661:WBU65669 WLQ65661:WLQ65669 WVM65661:WVM65669 JA131197:JA131205 SW131197:SW131205 ACS131197:ACS131205 AMO131197:AMO131205 AWK131197:AWK131205 BGG131197:BGG131205 BQC131197:BQC131205 BZY131197:BZY131205 CJU131197:CJU131205 CTQ131197:CTQ131205 DDM131197:DDM131205 DNI131197:DNI131205 DXE131197:DXE131205 EHA131197:EHA131205 EQW131197:EQW131205 FAS131197:FAS131205 FKO131197:FKO131205 FUK131197:FUK131205 GEG131197:GEG131205 GOC131197:GOC131205 GXY131197:GXY131205 HHU131197:HHU131205 HRQ131197:HRQ131205 IBM131197:IBM131205 ILI131197:ILI131205 IVE131197:IVE131205 JFA131197:JFA131205 JOW131197:JOW131205 JYS131197:JYS131205 KIO131197:KIO131205 KSK131197:KSK131205 LCG131197:LCG131205 LMC131197:LMC131205 LVY131197:LVY131205 MFU131197:MFU131205 MPQ131197:MPQ131205 MZM131197:MZM131205 NJI131197:NJI131205 NTE131197:NTE131205 ODA131197:ODA131205 OMW131197:OMW131205 OWS131197:OWS131205 PGO131197:PGO131205 PQK131197:PQK131205 QAG131197:QAG131205 QKC131197:QKC131205 QTY131197:QTY131205 RDU131197:RDU131205 RNQ131197:RNQ131205 RXM131197:RXM131205 SHI131197:SHI131205 SRE131197:SRE131205 TBA131197:TBA131205 TKW131197:TKW131205 TUS131197:TUS131205 UEO131197:UEO131205 UOK131197:UOK131205 UYG131197:UYG131205 VIC131197:VIC131205 VRY131197:VRY131205 WBU131197:WBU131205 WLQ131197:WLQ131205 WVM131197:WVM131205 JA196733:JA196741 SW196733:SW196741 ACS196733:ACS196741 AMO196733:AMO196741 AWK196733:AWK196741 BGG196733:BGG196741 BQC196733:BQC196741 BZY196733:BZY196741 CJU196733:CJU196741 CTQ196733:CTQ196741 DDM196733:DDM196741 DNI196733:DNI196741 DXE196733:DXE196741 EHA196733:EHA196741 EQW196733:EQW196741 FAS196733:FAS196741 FKO196733:FKO196741 FUK196733:FUK196741 GEG196733:GEG196741 GOC196733:GOC196741 GXY196733:GXY196741 HHU196733:HHU196741 HRQ196733:HRQ196741 IBM196733:IBM196741 ILI196733:ILI196741 IVE196733:IVE196741 JFA196733:JFA196741 JOW196733:JOW196741 JYS196733:JYS196741 KIO196733:KIO196741 KSK196733:KSK196741 LCG196733:LCG196741 LMC196733:LMC196741 LVY196733:LVY196741 MFU196733:MFU196741 MPQ196733:MPQ196741 MZM196733:MZM196741 NJI196733:NJI196741 NTE196733:NTE196741 ODA196733:ODA196741 OMW196733:OMW196741 OWS196733:OWS196741 PGO196733:PGO196741 PQK196733:PQK196741 QAG196733:QAG196741 QKC196733:QKC196741 QTY196733:QTY196741 RDU196733:RDU196741 RNQ196733:RNQ196741 RXM196733:RXM196741 SHI196733:SHI196741 SRE196733:SRE196741 TBA196733:TBA196741 TKW196733:TKW196741 TUS196733:TUS196741 UEO196733:UEO196741 UOK196733:UOK196741 UYG196733:UYG196741 VIC196733:VIC196741 VRY196733:VRY196741 WBU196733:WBU196741 WLQ196733:WLQ196741 WVM196733:WVM196741 JA262269:JA262277 SW262269:SW262277 ACS262269:ACS262277 AMO262269:AMO262277 AWK262269:AWK262277 BGG262269:BGG262277 BQC262269:BQC262277 BZY262269:BZY262277 CJU262269:CJU262277 CTQ262269:CTQ262277 DDM262269:DDM262277 DNI262269:DNI262277 DXE262269:DXE262277 EHA262269:EHA262277 EQW262269:EQW262277 FAS262269:FAS262277 FKO262269:FKO262277 FUK262269:FUK262277 GEG262269:GEG262277 GOC262269:GOC262277 GXY262269:GXY262277 HHU262269:HHU262277 HRQ262269:HRQ262277 IBM262269:IBM262277 ILI262269:ILI262277 IVE262269:IVE262277 JFA262269:JFA262277 JOW262269:JOW262277 JYS262269:JYS262277 KIO262269:KIO262277 KSK262269:KSK262277 LCG262269:LCG262277 LMC262269:LMC262277 LVY262269:LVY262277 MFU262269:MFU262277 MPQ262269:MPQ262277 MZM262269:MZM262277 NJI262269:NJI262277 NTE262269:NTE262277 ODA262269:ODA262277 OMW262269:OMW262277 OWS262269:OWS262277 PGO262269:PGO262277 PQK262269:PQK262277 QAG262269:QAG262277 QKC262269:QKC262277 QTY262269:QTY262277 RDU262269:RDU262277 RNQ262269:RNQ262277 RXM262269:RXM262277 SHI262269:SHI262277 SRE262269:SRE262277 TBA262269:TBA262277 TKW262269:TKW262277 TUS262269:TUS262277 UEO262269:UEO262277 UOK262269:UOK262277 UYG262269:UYG262277 VIC262269:VIC262277 VRY262269:VRY262277 WBU262269:WBU262277 WLQ262269:WLQ262277 WVM262269:WVM262277 JA327805:JA327813 SW327805:SW327813 ACS327805:ACS327813 AMO327805:AMO327813 AWK327805:AWK327813 BGG327805:BGG327813 BQC327805:BQC327813 BZY327805:BZY327813 CJU327805:CJU327813 CTQ327805:CTQ327813 DDM327805:DDM327813 DNI327805:DNI327813 DXE327805:DXE327813 EHA327805:EHA327813 EQW327805:EQW327813 FAS327805:FAS327813 FKO327805:FKO327813 FUK327805:FUK327813 GEG327805:GEG327813 GOC327805:GOC327813 GXY327805:GXY327813 HHU327805:HHU327813 HRQ327805:HRQ327813 IBM327805:IBM327813 ILI327805:ILI327813 IVE327805:IVE327813 JFA327805:JFA327813 JOW327805:JOW327813 JYS327805:JYS327813 KIO327805:KIO327813 KSK327805:KSK327813 LCG327805:LCG327813 LMC327805:LMC327813 LVY327805:LVY327813 MFU327805:MFU327813 MPQ327805:MPQ327813 MZM327805:MZM327813 NJI327805:NJI327813 NTE327805:NTE327813 ODA327805:ODA327813 OMW327805:OMW327813 OWS327805:OWS327813 PGO327805:PGO327813 PQK327805:PQK327813 QAG327805:QAG327813 QKC327805:QKC327813 QTY327805:QTY327813 RDU327805:RDU327813 RNQ327805:RNQ327813 RXM327805:RXM327813 SHI327805:SHI327813 SRE327805:SRE327813 TBA327805:TBA327813 TKW327805:TKW327813 TUS327805:TUS327813 UEO327805:UEO327813 UOK327805:UOK327813 UYG327805:UYG327813 VIC327805:VIC327813 VRY327805:VRY327813 WBU327805:WBU327813 WLQ327805:WLQ327813 WVM327805:WVM327813 JA393341:JA393349 SW393341:SW393349 ACS393341:ACS393349 AMO393341:AMO393349 AWK393341:AWK393349 BGG393341:BGG393349 BQC393341:BQC393349 BZY393341:BZY393349 CJU393341:CJU393349 CTQ393341:CTQ393349 DDM393341:DDM393349 DNI393341:DNI393349 DXE393341:DXE393349 EHA393341:EHA393349 EQW393341:EQW393349 FAS393341:FAS393349 FKO393341:FKO393349 FUK393341:FUK393349 GEG393341:GEG393349 GOC393341:GOC393349 GXY393341:GXY393349 HHU393341:HHU393349 HRQ393341:HRQ393349 IBM393341:IBM393349 ILI393341:ILI393349 IVE393341:IVE393349 JFA393341:JFA393349 JOW393341:JOW393349 JYS393341:JYS393349 KIO393341:KIO393349 KSK393341:KSK393349 LCG393341:LCG393349 LMC393341:LMC393349 LVY393341:LVY393349 MFU393341:MFU393349 MPQ393341:MPQ393349 MZM393341:MZM393349 NJI393341:NJI393349 NTE393341:NTE393349 ODA393341:ODA393349 OMW393341:OMW393349 OWS393341:OWS393349 PGO393341:PGO393349 PQK393341:PQK393349 QAG393341:QAG393349 QKC393341:QKC393349 QTY393341:QTY393349 RDU393341:RDU393349 RNQ393341:RNQ393349 RXM393341:RXM393349 SHI393341:SHI393349 SRE393341:SRE393349 TBA393341:TBA393349 TKW393341:TKW393349 TUS393341:TUS393349 UEO393341:UEO393349 UOK393341:UOK393349 UYG393341:UYG393349 VIC393341:VIC393349 VRY393341:VRY393349 WBU393341:WBU393349 WLQ393341:WLQ393349 WVM393341:WVM393349 JA458877:JA458885 SW458877:SW458885 ACS458877:ACS458885 AMO458877:AMO458885 AWK458877:AWK458885 BGG458877:BGG458885 BQC458877:BQC458885 BZY458877:BZY458885 CJU458877:CJU458885 CTQ458877:CTQ458885 DDM458877:DDM458885 DNI458877:DNI458885 DXE458877:DXE458885 EHA458877:EHA458885 EQW458877:EQW458885 FAS458877:FAS458885 FKO458877:FKO458885 FUK458877:FUK458885 GEG458877:GEG458885 GOC458877:GOC458885 GXY458877:GXY458885 HHU458877:HHU458885 HRQ458877:HRQ458885 IBM458877:IBM458885 ILI458877:ILI458885 IVE458877:IVE458885 JFA458877:JFA458885 JOW458877:JOW458885 JYS458877:JYS458885 KIO458877:KIO458885 KSK458877:KSK458885 LCG458877:LCG458885 LMC458877:LMC458885 LVY458877:LVY458885 MFU458877:MFU458885 MPQ458877:MPQ458885 MZM458877:MZM458885 NJI458877:NJI458885 NTE458877:NTE458885 ODA458877:ODA458885 OMW458877:OMW458885 OWS458877:OWS458885 PGO458877:PGO458885 PQK458877:PQK458885 QAG458877:QAG458885 QKC458877:QKC458885 QTY458877:QTY458885 RDU458877:RDU458885 RNQ458877:RNQ458885 RXM458877:RXM458885 SHI458877:SHI458885 SRE458877:SRE458885 TBA458877:TBA458885 TKW458877:TKW458885 TUS458877:TUS458885 UEO458877:UEO458885 UOK458877:UOK458885 UYG458877:UYG458885 VIC458877:VIC458885 VRY458877:VRY458885 WBU458877:WBU458885 WLQ458877:WLQ458885 WVM458877:WVM458885 JA524413:JA524421 SW524413:SW524421 ACS524413:ACS524421 AMO524413:AMO524421 AWK524413:AWK524421 BGG524413:BGG524421 BQC524413:BQC524421 BZY524413:BZY524421 CJU524413:CJU524421 CTQ524413:CTQ524421 DDM524413:DDM524421 DNI524413:DNI524421 DXE524413:DXE524421 EHA524413:EHA524421 EQW524413:EQW524421 FAS524413:FAS524421 FKO524413:FKO524421 FUK524413:FUK524421 GEG524413:GEG524421 GOC524413:GOC524421 GXY524413:GXY524421 HHU524413:HHU524421 HRQ524413:HRQ524421 IBM524413:IBM524421 ILI524413:ILI524421 IVE524413:IVE524421 JFA524413:JFA524421 JOW524413:JOW524421 JYS524413:JYS524421 KIO524413:KIO524421 KSK524413:KSK524421 LCG524413:LCG524421 LMC524413:LMC524421 LVY524413:LVY524421 MFU524413:MFU524421 MPQ524413:MPQ524421 MZM524413:MZM524421 NJI524413:NJI524421 NTE524413:NTE524421 ODA524413:ODA524421 OMW524413:OMW524421 OWS524413:OWS524421 PGO524413:PGO524421 PQK524413:PQK524421 QAG524413:QAG524421 QKC524413:QKC524421 QTY524413:QTY524421 RDU524413:RDU524421 RNQ524413:RNQ524421 RXM524413:RXM524421 SHI524413:SHI524421 SRE524413:SRE524421 TBA524413:TBA524421 TKW524413:TKW524421 TUS524413:TUS524421 UEO524413:UEO524421 UOK524413:UOK524421 UYG524413:UYG524421 VIC524413:VIC524421 VRY524413:VRY524421 WBU524413:WBU524421 WLQ524413:WLQ524421 WVM524413:WVM524421 JA589949:JA589957 SW589949:SW589957 ACS589949:ACS589957 AMO589949:AMO589957 AWK589949:AWK589957 BGG589949:BGG589957 BQC589949:BQC589957 BZY589949:BZY589957 CJU589949:CJU589957 CTQ589949:CTQ589957 DDM589949:DDM589957 DNI589949:DNI589957 DXE589949:DXE589957 EHA589949:EHA589957 EQW589949:EQW589957 FAS589949:FAS589957 FKO589949:FKO589957 FUK589949:FUK589957 GEG589949:GEG589957 GOC589949:GOC589957 GXY589949:GXY589957 HHU589949:HHU589957 HRQ589949:HRQ589957 IBM589949:IBM589957 ILI589949:ILI589957 IVE589949:IVE589957 JFA589949:JFA589957 JOW589949:JOW589957 JYS589949:JYS589957 KIO589949:KIO589957 KSK589949:KSK589957 LCG589949:LCG589957 LMC589949:LMC589957 LVY589949:LVY589957 MFU589949:MFU589957 MPQ589949:MPQ589957 MZM589949:MZM589957 NJI589949:NJI589957 NTE589949:NTE589957 ODA589949:ODA589957 OMW589949:OMW589957 OWS589949:OWS589957 PGO589949:PGO589957 PQK589949:PQK589957 QAG589949:QAG589957 QKC589949:QKC589957 QTY589949:QTY589957 RDU589949:RDU589957 RNQ589949:RNQ589957 RXM589949:RXM589957 SHI589949:SHI589957 SRE589949:SRE589957 TBA589949:TBA589957 TKW589949:TKW589957 TUS589949:TUS589957 UEO589949:UEO589957 UOK589949:UOK589957 UYG589949:UYG589957 VIC589949:VIC589957 VRY589949:VRY589957 WBU589949:WBU589957 WLQ589949:WLQ589957 WVM589949:WVM589957 JA655485:JA655493 SW655485:SW655493 ACS655485:ACS655493 AMO655485:AMO655493 AWK655485:AWK655493 BGG655485:BGG655493 BQC655485:BQC655493 BZY655485:BZY655493 CJU655485:CJU655493 CTQ655485:CTQ655493 DDM655485:DDM655493 DNI655485:DNI655493 DXE655485:DXE655493 EHA655485:EHA655493 EQW655485:EQW655493 FAS655485:FAS655493 FKO655485:FKO655493 FUK655485:FUK655493 GEG655485:GEG655493 GOC655485:GOC655493 GXY655485:GXY655493 HHU655485:HHU655493 HRQ655485:HRQ655493 IBM655485:IBM655493 ILI655485:ILI655493 IVE655485:IVE655493 JFA655485:JFA655493 JOW655485:JOW655493 JYS655485:JYS655493 KIO655485:KIO655493 KSK655485:KSK655493 LCG655485:LCG655493 LMC655485:LMC655493 LVY655485:LVY655493 MFU655485:MFU655493 MPQ655485:MPQ655493 MZM655485:MZM655493 NJI655485:NJI655493 NTE655485:NTE655493 ODA655485:ODA655493 OMW655485:OMW655493 OWS655485:OWS655493 PGO655485:PGO655493 PQK655485:PQK655493 QAG655485:QAG655493 QKC655485:QKC655493 QTY655485:QTY655493 RDU655485:RDU655493 RNQ655485:RNQ655493 RXM655485:RXM655493 SHI655485:SHI655493 SRE655485:SRE655493 TBA655485:TBA655493 TKW655485:TKW655493 TUS655485:TUS655493 UEO655485:UEO655493 UOK655485:UOK655493 UYG655485:UYG655493 VIC655485:VIC655493 VRY655485:VRY655493 WBU655485:WBU655493 WLQ655485:WLQ655493 WVM655485:WVM655493 JA721021:JA721029 SW721021:SW721029 ACS721021:ACS721029 AMO721021:AMO721029 AWK721021:AWK721029 BGG721021:BGG721029 BQC721021:BQC721029 BZY721021:BZY721029 CJU721021:CJU721029 CTQ721021:CTQ721029 DDM721021:DDM721029 DNI721021:DNI721029 DXE721021:DXE721029 EHA721021:EHA721029 EQW721021:EQW721029 FAS721021:FAS721029 FKO721021:FKO721029 FUK721021:FUK721029 GEG721021:GEG721029 GOC721021:GOC721029 GXY721021:GXY721029 HHU721021:HHU721029 HRQ721021:HRQ721029 IBM721021:IBM721029 ILI721021:ILI721029 IVE721021:IVE721029 JFA721021:JFA721029 JOW721021:JOW721029 JYS721021:JYS721029 KIO721021:KIO721029 KSK721021:KSK721029 LCG721021:LCG721029 LMC721021:LMC721029 LVY721021:LVY721029 MFU721021:MFU721029 MPQ721021:MPQ721029 MZM721021:MZM721029 NJI721021:NJI721029 NTE721021:NTE721029 ODA721021:ODA721029 OMW721021:OMW721029 OWS721021:OWS721029 PGO721021:PGO721029 PQK721021:PQK721029 QAG721021:QAG721029 QKC721021:QKC721029 QTY721021:QTY721029 RDU721021:RDU721029 RNQ721021:RNQ721029 RXM721021:RXM721029 SHI721021:SHI721029 SRE721021:SRE721029 TBA721021:TBA721029 TKW721021:TKW721029 TUS721021:TUS721029 UEO721021:UEO721029 UOK721021:UOK721029 UYG721021:UYG721029 VIC721021:VIC721029 VRY721021:VRY721029 WBU721021:WBU721029 WLQ721021:WLQ721029 WVM721021:WVM721029 JA786557:JA786565 SW786557:SW786565 ACS786557:ACS786565 AMO786557:AMO786565 AWK786557:AWK786565 BGG786557:BGG786565 BQC786557:BQC786565 BZY786557:BZY786565 CJU786557:CJU786565 CTQ786557:CTQ786565 DDM786557:DDM786565 DNI786557:DNI786565 DXE786557:DXE786565 EHA786557:EHA786565 EQW786557:EQW786565 FAS786557:FAS786565 FKO786557:FKO786565 FUK786557:FUK786565 GEG786557:GEG786565 GOC786557:GOC786565 GXY786557:GXY786565 HHU786557:HHU786565 HRQ786557:HRQ786565 IBM786557:IBM786565 ILI786557:ILI786565 IVE786557:IVE786565 JFA786557:JFA786565 JOW786557:JOW786565 JYS786557:JYS786565 KIO786557:KIO786565 KSK786557:KSK786565 LCG786557:LCG786565 LMC786557:LMC786565 LVY786557:LVY786565 MFU786557:MFU786565 MPQ786557:MPQ786565 MZM786557:MZM786565 NJI786557:NJI786565 NTE786557:NTE786565 ODA786557:ODA786565 OMW786557:OMW786565 OWS786557:OWS786565 PGO786557:PGO786565 PQK786557:PQK786565 QAG786557:QAG786565 QKC786557:QKC786565 QTY786557:QTY786565 RDU786557:RDU786565 RNQ786557:RNQ786565 RXM786557:RXM786565 SHI786557:SHI786565 SRE786557:SRE786565 TBA786557:TBA786565 TKW786557:TKW786565 TUS786557:TUS786565 UEO786557:UEO786565 UOK786557:UOK786565 UYG786557:UYG786565 VIC786557:VIC786565 VRY786557:VRY786565 WBU786557:WBU786565 WLQ786557:WLQ786565 WVM786557:WVM786565 JA852093:JA852101 SW852093:SW852101 ACS852093:ACS852101 AMO852093:AMO852101 AWK852093:AWK852101 BGG852093:BGG852101 BQC852093:BQC852101 BZY852093:BZY852101 CJU852093:CJU852101 CTQ852093:CTQ852101 DDM852093:DDM852101 DNI852093:DNI852101 DXE852093:DXE852101 EHA852093:EHA852101 EQW852093:EQW852101 FAS852093:FAS852101 FKO852093:FKO852101 FUK852093:FUK852101 GEG852093:GEG852101 GOC852093:GOC852101 GXY852093:GXY852101 HHU852093:HHU852101 HRQ852093:HRQ852101 IBM852093:IBM852101 ILI852093:ILI852101 IVE852093:IVE852101 JFA852093:JFA852101 JOW852093:JOW852101 JYS852093:JYS852101 KIO852093:KIO852101 KSK852093:KSK852101 LCG852093:LCG852101 LMC852093:LMC852101 LVY852093:LVY852101 MFU852093:MFU852101 MPQ852093:MPQ852101 MZM852093:MZM852101 NJI852093:NJI852101 NTE852093:NTE852101 ODA852093:ODA852101 OMW852093:OMW852101 OWS852093:OWS852101 PGO852093:PGO852101 PQK852093:PQK852101 QAG852093:QAG852101 QKC852093:QKC852101 QTY852093:QTY852101 RDU852093:RDU852101 RNQ852093:RNQ852101 RXM852093:RXM852101 SHI852093:SHI852101 SRE852093:SRE852101 TBA852093:TBA852101 TKW852093:TKW852101 TUS852093:TUS852101 UEO852093:UEO852101 UOK852093:UOK852101 UYG852093:UYG852101 VIC852093:VIC852101 VRY852093:VRY852101 WBU852093:WBU852101 WLQ852093:WLQ852101 WVM852093:WVM852101 JA917629:JA917637 SW917629:SW917637 ACS917629:ACS917637 AMO917629:AMO917637 AWK917629:AWK917637 BGG917629:BGG917637 BQC917629:BQC917637 BZY917629:BZY917637 CJU917629:CJU917637 CTQ917629:CTQ917637 DDM917629:DDM917637 DNI917629:DNI917637 DXE917629:DXE917637 EHA917629:EHA917637 EQW917629:EQW917637 FAS917629:FAS917637 FKO917629:FKO917637 FUK917629:FUK917637 GEG917629:GEG917637 GOC917629:GOC917637 GXY917629:GXY917637 HHU917629:HHU917637 HRQ917629:HRQ917637 IBM917629:IBM917637 ILI917629:ILI917637 IVE917629:IVE917637 JFA917629:JFA917637 JOW917629:JOW917637 JYS917629:JYS917637 KIO917629:KIO917637 KSK917629:KSK917637 LCG917629:LCG917637 LMC917629:LMC917637 LVY917629:LVY917637 MFU917629:MFU917637 MPQ917629:MPQ917637 MZM917629:MZM917637 NJI917629:NJI917637 NTE917629:NTE917637 ODA917629:ODA917637 OMW917629:OMW917637 OWS917629:OWS917637 PGO917629:PGO917637 PQK917629:PQK917637 QAG917629:QAG917637 QKC917629:QKC917637 QTY917629:QTY917637 RDU917629:RDU917637 RNQ917629:RNQ917637 RXM917629:RXM917637 SHI917629:SHI917637 SRE917629:SRE917637 TBA917629:TBA917637 TKW917629:TKW917637 TUS917629:TUS917637 UEO917629:UEO917637 UOK917629:UOK917637 UYG917629:UYG917637 VIC917629:VIC917637 VRY917629:VRY917637 WBU917629:WBU917637 WLQ917629:WLQ917637 WVM917629:WVM917637 JA983165:JA983173 SW983165:SW983173 ACS983165:ACS983173 AMO983165:AMO983173 AWK983165:AWK983173 BGG983165:BGG983173 BQC983165:BQC983173 BZY983165:BZY983173 CJU983165:CJU983173 CTQ983165:CTQ983173 DDM983165:DDM983173 DNI983165:DNI983173 DXE983165:DXE983173 EHA983165:EHA983173 EQW983165:EQW983173 FAS983165:FAS983173 FKO983165:FKO983173 FUK983165:FUK983173 GEG983165:GEG983173 GOC983165:GOC983173 GXY983165:GXY983173 HHU983165:HHU983173 HRQ983165:HRQ983173 IBM983165:IBM983173 ILI983165:ILI983173 IVE983165:IVE983173 JFA983165:JFA983173 JOW983165:JOW983173 JYS983165:JYS983173 KIO983165:KIO983173 KSK983165:KSK983173 LCG983165:LCG983173 LMC983165:LMC983173 LVY983165:LVY983173 MFU983165:MFU983173 MPQ983165:MPQ983173 MZM983165:MZM983173 NJI983165:NJI983173 NTE983165:NTE983173 ODA983165:ODA983173 OMW983165:OMW983173 OWS983165:OWS983173 PGO983165:PGO983173 PQK983165:PQK983173 QAG983165:QAG983173 QKC983165:QKC983173 QTY983165:QTY983173 RDU983165:RDU983173 RNQ983165:RNQ983173 RXM983165:RXM983173 SHI983165:SHI983173 SRE983165:SRE983173 TBA983165:TBA983173 TKW983165:TKW983173 TUS983165:TUS983173 UEO983165:UEO983173 UOK983165:UOK983173 UYG983165:UYG983173 VIC983165:VIC983173 VRY983165:VRY983173 WBU983165:WBU983173 WLQ983165:WLQ983173 WVM983165:WVM983173 JA63:JA98 SW63:SW98 ACS63:ACS98 AMO63:AMO98 AWK63:AWK98 BGG63:BGG98 BQC63:BQC98 BZY63:BZY98 CJU63:CJU98 CTQ63:CTQ98 DDM63:DDM98 DNI63:DNI98 DXE63:DXE98 EHA63:EHA98 EQW63:EQW98 FAS63:FAS98 FKO63:FKO98 FUK63:FUK98 GEG63:GEG98 GOC63:GOC98 GXY63:GXY98 HHU63:HHU98 HRQ63:HRQ98 IBM63:IBM98 ILI63:ILI98 IVE63:IVE98 JFA63:JFA98 JOW63:JOW98 JYS63:JYS98 KIO63:KIO98 KSK63:KSK98 LCG63:LCG98 LMC63:LMC98 LVY63:LVY98 MFU63:MFU98 MPQ63:MPQ98 MZM63:MZM98 NJI63:NJI98 NTE63:NTE98 ODA63:ODA98 OMW63:OMW98 OWS63:OWS98 PGO63:PGO98 PQK63:PQK98 QAG63:QAG98 QKC63:QKC98 QTY63:QTY98 RDU63:RDU98 RNQ63:RNQ98 RXM63:RXM98 SHI63:SHI98 SRE63:SRE98 TBA63:TBA98 TKW63:TKW98 TUS63:TUS98 UEO63:UEO98 UOK63:UOK98 UYG63:UYG98 VIC63:VIC98 VRY63:VRY98 WBU63:WBU98 WLQ63:WLQ98 WVM63:WVM98 JA65672:JA65680 SW65672:SW65680 ACS65672:ACS65680 AMO65672:AMO65680 AWK65672:AWK65680 BGG65672:BGG65680 BQC65672:BQC65680 BZY65672:BZY65680 CJU65672:CJU65680 CTQ65672:CTQ65680 DDM65672:DDM65680 DNI65672:DNI65680 DXE65672:DXE65680 EHA65672:EHA65680 EQW65672:EQW65680 FAS65672:FAS65680 FKO65672:FKO65680 FUK65672:FUK65680 GEG65672:GEG65680 GOC65672:GOC65680 GXY65672:GXY65680 HHU65672:HHU65680 HRQ65672:HRQ65680 IBM65672:IBM65680 ILI65672:ILI65680 IVE65672:IVE65680 JFA65672:JFA65680 JOW65672:JOW65680 JYS65672:JYS65680 KIO65672:KIO65680 KSK65672:KSK65680 LCG65672:LCG65680 LMC65672:LMC65680 LVY65672:LVY65680 MFU65672:MFU65680 MPQ65672:MPQ65680 MZM65672:MZM65680 NJI65672:NJI65680 NTE65672:NTE65680 ODA65672:ODA65680 OMW65672:OMW65680 OWS65672:OWS65680 PGO65672:PGO65680 PQK65672:PQK65680 QAG65672:QAG65680 QKC65672:QKC65680 QTY65672:QTY65680 RDU65672:RDU65680 RNQ65672:RNQ65680 RXM65672:RXM65680 SHI65672:SHI65680 SRE65672:SRE65680 TBA65672:TBA65680 TKW65672:TKW65680 TUS65672:TUS65680 UEO65672:UEO65680 UOK65672:UOK65680 UYG65672:UYG65680 VIC65672:VIC65680 VRY65672:VRY65680 WBU65672:WBU65680 WLQ65672:WLQ65680 WVM65672:WVM65680 JA131208:JA131216 SW131208:SW131216 ACS131208:ACS131216 AMO131208:AMO131216 AWK131208:AWK131216 BGG131208:BGG131216 BQC131208:BQC131216 BZY131208:BZY131216 CJU131208:CJU131216 CTQ131208:CTQ131216 DDM131208:DDM131216 DNI131208:DNI131216 DXE131208:DXE131216 EHA131208:EHA131216 EQW131208:EQW131216 FAS131208:FAS131216 FKO131208:FKO131216 FUK131208:FUK131216 GEG131208:GEG131216 GOC131208:GOC131216 GXY131208:GXY131216 HHU131208:HHU131216 HRQ131208:HRQ131216 IBM131208:IBM131216 ILI131208:ILI131216 IVE131208:IVE131216 JFA131208:JFA131216 JOW131208:JOW131216 JYS131208:JYS131216 KIO131208:KIO131216 KSK131208:KSK131216 LCG131208:LCG131216 LMC131208:LMC131216 LVY131208:LVY131216 MFU131208:MFU131216 MPQ131208:MPQ131216 MZM131208:MZM131216 NJI131208:NJI131216 NTE131208:NTE131216 ODA131208:ODA131216 OMW131208:OMW131216 OWS131208:OWS131216 PGO131208:PGO131216 PQK131208:PQK131216 QAG131208:QAG131216 QKC131208:QKC131216 QTY131208:QTY131216 RDU131208:RDU131216 RNQ131208:RNQ131216 RXM131208:RXM131216 SHI131208:SHI131216 SRE131208:SRE131216 TBA131208:TBA131216 TKW131208:TKW131216 TUS131208:TUS131216 UEO131208:UEO131216 UOK131208:UOK131216 UYG131208:UYG131216 VIC131208:VIC131216 VRY131208:VRY131216 WBU131208:WBU131216 WLQ131208:WLQ131216 WVM131208:WVM131216 JA196744:JA196752 SW196744:SW196752 ACS196744:ACS196752 AMO196744:AMO196752 AWK196744:AWK196752 BGG196744:BGG196752 BQC196744:BQC196752 BZY196744:BZY196752 CJU196744:CJU196752 CTQ196744:CTQ196752 DDM196744:DDM196752 DNI196744:DNI196752 DXE196744:DXE196752 EHA196744:EHA196752 EQW196744:EQW196752 FAS196744:FAS196752 FKO196744:FKO196752 FUK196744:FUK196752 GEG196744:GEG196752 GOC196744:GOC196752 GXY196744:GXY196752 HHU196744:HHU196752 HRQ196744:HRQ196752 IBM196744:IBM196752 ILI196744:ILI196752 IVE196744:IVE196752 JFA196744:JFA196752 JOW196744:JOW196752 JYS196744:JYS196752 KIO196744:KIO196752 KSK196744:KSK196752 LCG196744:LCG196752 LMC196744:LMC196752 LVY196744:LVY196752 MFU196744:MFU196752 MPQ196744:MPQ196752 MZM196744:MZM196752 NJI196744:NJI196752 NTE196744:NTE196752 ODA196744:ODA196752 OMW196744:OMW196752 OWS196744:OWS196752 PGO196744:PGO196752 PQK196744:PQK196752 QAG196744:QAG196752 QKC196744:QKC196752 QTY196744:QTY196752 RDU196744:RDU196752 RNQ196744:RNQ196752 RXM196744:RXM196752 SHI196744:SHI196752 SRE196744:SRE196752 TBA196744:TBA196752 TKW196744:TKW196752 TUS196744:TUS196752 UEO196744:UEO196752 UOK196744:UOK196752 UYG196744:UYG196752 VIC196744:VIC196752 VRY196744:VRY196752 WBU196744:WBU196752 WLQ196744:WLQ196752 WVM196744:WVM196752 JA262280:JA262288 SW262280:SW262288 ACS262280:ACS262288 AMO262280:AMO262288 AWK262280:AWK262288 BGG262280:BGG262288 BQC262280:BQC262288 BZY262280:BZY262288 CJU262280:CJU262288 CTQ262280:CTQ262288 DDM262280:DDM262288 DNI262280:DNI262288 DXE262280:DXE262288 EHA262280:EHA262288 EQW262280:EQW262288 FAS262280:FAS262288 FKO262280:FKO262288 FUK262280:FUK262288 GEG262280:GEG262288 GOC262280:GOC262288 GXY262280:GXY262288 HHU262280:HHU262288 HRQ262280:HRQ262288 IBM262280:IBM262288 ILI262280:ILI262288 IVE262280:IVE262288 JFA262280:JFA262288 JOW262280:JOW262288 JYS262280:JYS262288 KIO262280:KIO262288 KSK262280:KSK262288 LCG262280:LCG262288 LMC262280:LMC262288 LVY262280:LVY262288 MFU262280:MFU262288 MPQ262280:MPQ262288 MZM262280:MZM262288 NJI262280:NJI262288 NTE262280:NTE262288 ODA262280:ODA262288 OMW262280:OMW262288 OWS262280:OWS262288 PGO262280:PGO262288 PQK262280:PQK262288 QAG262280:QAG262288 QKC262280:QKC262288 QTY262280:QTY262288 RDU262280:RDU262288 RNQ262280:RNQ262288 RXM262280:RXM262288 SHI262280:SHI262288 SRE262280:SRE262288 TBA262280:TBA262288 TKW262280:TKW262288 TUS262280:TUS262288 UEO262280:UEO262288 UOK262280:UOK262288 UYG262280:UYG262288 VIC262280:VIC262288 VRY262280:VRY262288 WBU262280:WBU262288 WLQ262280:WLQ262288 WVM262280:WVM262288 JA327816:JA327824 SW327816:SW327824 ACS327816:ACS327824 AMO327816:AMO327824 AWK327816:AWK327824 BGG327816:BGG327824 BQC327816:BQC327824 BZY327816:BZY327824 CJU327816:CJU327824 CTQ327816:CTQ327824 DDM327816:DDM327824 DNI327816:DNI327824 DXE327816:DXE327824 EHA327816:EHA327824 EQW327816:EQW327824 FAS327816:FAS327824 FKO327816:FKO327824 FUK327816:FUK327824 GEG327816:GEG327824 GOC327816:GOC327824 GXY327816:GXY327824 HHU327816:HHU327824 HRQ327816:HRQ327824 IBM327816:IBM327824 ILI327816:ILI327824 IVE327816:IVE327824 JFA327816:JFA327824 JOW327816:JOW327824 JYS327816:JYS327824 KIO327816:KIO327824 KSK327816:KSK327824 LCG327816:LCG327824 LMC327816:LMC327824 LVY327816:LVY327824 MFU327816:MFU327824 MPQ327816:MPQ327824 MZM327816:MZM327824 NJI327816:NJI327824 NTE327816:NTE327824 ODA327816:ODA327824 OMW327816:OMW327824 OWS327816:OWS327824 PGO327816:PGO327824 PQK327816:PQK327824 QAG327816:QAG327824 QKC327816:QKC327824 QTY327816:QTY327824 RDU327816:RDU327824 RNQ327816:RNQ327824 RXM327816:RXM327824 SHI327816:SHI327824 SRE327816:SRE327824 TBA327816:TBA327824 TKW327816:TKW327824 TUS327816:TUS327824 UEO327816:UEO327824 UOK327816:UOK327824 UYG327816:UYG327824 VIC327816:VIC327824 VRY327816:VRY327824 WBU327816:WBU327824 WLQ327816:WLQ327824 WVM327816:WVM327824 JA393352:JA393360 SW393352:SW393360 ACS393352:ACS393360 AMO393352:AMO393360 AWK393352:AWK393360 BGG393352:BGG393360 BQC393352:BQC393360 BZY393352:BZY393360 CJU393352:CJU393360 CTQ393352:CTQ393360 DDM393352:DDM393360 DNI393352:DNI393360 DXE393352:DXE393360 EHA393352:EHA393360 EQW393352:EQW393360 FAS393352:FAS393360 FKO393352:FKO393360 FUK393352:FUK393360 GEG393352:GEG393360 GOC393352:GOC393360 GXY393352:GXY393360 HHU393352:HHU393360 HRQ393352:HRQ393360 IBM393352:IBM393360 ILI393352:ILI393360 IVE393352:IVE393360 JFA393352:JFA393360 JOW393352:JOW393360 JYS393352:JYS393360 KIO393352:KIO393360 KSK393352:KSK393360 LCG393352:LCG393360 LMC393352:LMC393360 LVY393352:LVY393360 MFU393352:MFU393360 MPQ393352:MPQ393360 MZM393352:MZM393360 NJI393352:NJI393360 NTE393352:NTE393360 ODA393352:ODA393360 OMW393352:OMW393360 OWS393352:OWS393360 PGO393352:PGO393360 PQK393352:PQK393360 QAG393352:QAG393360 QKC393352:QKC393360 QTY393352:QTY393360 RDU393352:RDU393360 RNQ393352:RNQ393360 RXM393352:RXM393360 SHI393352:SHI393360 SRE393352:SRE393360 TBA393352:TBA393360 TKW393352:TKW393360 TUS393352:TUS393360 UEO393352:UEO393360 UOK393352:UOK393360 UYG393352:UYG393360 VIC393352:VIC393360 VRY393352:VRY393360 WBU393352:WBU393360 WLQ393352:WLQ393360 WVM393352:WVM393360 JA458888:JA458896 SW458888:SW458896 ACS458888:ACS458896 AMO458888:AMO458896 AWK458888:AWK458896 BGG458888:BGG458896 BQC458888:BQC458896 BZY458888:BZY458896 CJU458888:CJU458896 CTQ458888:CTQ458896 DDM458888:DDM458896 DNI458888:DNI458896 DXE458888:DXE458896 EHA458888:EHA458896 EQW458888:EQW458896 FAS458888:FAS458896 FKO458888:FKO458896 FUK458888:FUK458896 GEG458888:GEG458896 GOC458888:GOC458896 GXY458888:GXY458896 HHU458888:HHU458896 HRQ458888:HRQ458896 IBM458888:IBM458896 ILI458888:ILI458896 IVE458888:IVE458896 JFA458888:JFA458896 JOW458888:JOW458896 JYS458888:JYS458896 KIO458888:KIO458896 KSK458888:KSK458896 LCG458888:LCG458896 LMC458888:LMC458896 LVY458888:LVY458896 MFU458888:MFU458896 MPQ458888:MPQ458896 MZM458888:MZM458896 NJI458888:NJI458896 NTE458888:NTE458896 ODA458888:ODA458896 OMW458888:OMW458896 OWS458888:OWS458896 PGO458888:PGO458896 PQK458888:PQK458896 QAG458888:QAG458896 QKC458888:QKC458896 QTY458888:QTY458896 RDU458888:RDU458896 RNQ458888:RNQ458896 RXM458888:RXM458896 SHI458888:SHI458896 SRE458888:SRE458896 TBA458888:TBA458896 TKW458888:TKW458896 TUS458888:TUS458896 UEO458888:UEO458896 UOK458888:UOK458896 UYG458888:UYG458896 VIC458888:VIC458896 VRY458888:VRY458896 WBU458888:WBU458896 WLQ458888:WLQ458896 WVM458888:WVM458896 JA524424:JA524432 SW524424:SW524432 ACS524424:ACS524432 AMO524424:AMO524432 AWK524424:AWK524432 BGG524424:BGG524432 BQC524424:BQC524432 BZY524424:BZY524432 CJU524424:CJU524432 CTQ524424:CTQ524432 DDM524424:DDM524432 DNI524424:DNI524432 DXE524424:DXE524432 EHA524424:EHA524432 EQW524424:EQW524432 FAS524424:FAS524432 FKO524424:FKO524432 FUK524424:FUK524432 GEG524424:GEG524432 GOC524424:GOC524432 GXY524424:GXY524432 HHU524424:HHU524432 HRQ524424:HRQ524432 IBM524424:IBM524432 ILI524424:ILI524432 IVE524424:IVE524432 JFA524424:JFA524432 JOW524424:JOW524432 JYS524424:JYS524432 KIO524424:KIO524432 KSK524424:KSK524432 LCG524424:LCG524432 LMC524424:LMC524432 LVY524424:LVY524432 MFU524424:MFU524432 MPQ524424:MPQ524432 MZM524424:MZM524432 NJI524424:NJI524432 NTE524424:NTE524432 ODA524424:ODA524432 OMW524424:OMW524432 OWS524424:OWS524432 PGO524424:PGO524432 PQK524424:PQK524432 QAG524424:QAG524432 QKC524424:QKC524432 QTY524424:QTY524432 RDU524424:RDU524432 RNQ524424:RNQ524432 RXM524424:RXM524432 SHI524424:SHI524432 SRE524424:SRE524432 TBA524424:TBA524432 TKW524424:TKW524432 TUS524424:TUS524432 UEO524424:UEO524432 UOK524424:UOK524432 UYG524424:UYG524432 VIC524424:VIC524432 VRY524424:VRY524432 WBU524424:WBU524432 WLQ524424:WLQ524432 WVM524424:WVM524432 JA589960:JA589968 SW589960:SW589968 ACS589960:ACS589968 AMO589960:AMO589968 AWK589960:AWK589968 BGG589960:BGG589968 BQC589960:BQC589968 BZY589960:BZY589968 CJU589960:CJU589968 CTQ589960:CTQ589968 DDM589960:DDM589968 DNI589960:DNI589968 DXE589960:DXE589968 EHA589960:EHA589968 EQW589960:EQW589968 FAS589960:FAS589968 FKO589960:FKO589968 FUK589960:FUK589968 GEG589960:GEG589968 GOC589960:GOC589968 GXY589960:GXY589968 HHU589960:HHU589968 HRQ589960:HRQ589968 IBM589960:IBM589968 ILI589960:ILI589968 IVE589960:IVE589968 JFA589960:JFA589968 JOW589960:JOW589968 JYS589960:JYS589968 KIO589960:KIO589968 KSK589960:KSK589968 LCG589960:LCG589968 LMC589960:LMC589968 LVY589960:LVY589968 MFU589960:MFU589968 MPQ589960:MPQ589968 MZM589960:MZM589968 NJI589960:NJI589968 NTE589960:NTE589968 ODA589960:ODA589968 OMW589960:OMW589968 OWS589960:OWS589968 PGO589960:PGO589968 PQK589960:PQK589968 QAG589960:QAG589968 QKC589960:QKC589968 QTY589960:QTY589968 RDU589960:RDU589968 RNQ589960:RNQ589968 RXM589960:RXM589968 SHI589960:SHI589968 SRE589960:SRE589968 TBA589960:TBA589968 TKW589960:TKW589968 TUS589960:TUS589968 UEO589960:UEO589968 UOK589960:UOK589968 UYG589960:UYG589968 VIC589960:VIC589968 VRY589960:VRY589968 WBU589960:WBU589968 WLQ589960:WLQ589968 WVM589960:WVM589968 JA655496:JA655504 SW655496:SW655504 ACS655496:ACS655504 AMO655496:AMO655504 AWK655496:AWK655504 BGG655496:BGG655504 BQC655496:BQC655504 BZY655496:BZY655504 CJU655496:CJU655504 CTQ655496:CTQ655504 DDM655496:DDM655504 DNI655496:DNI655504 DXE655496:DXE655504 EHA655496:EHA655504 EQW655496:EQW655504 FAS655496:FAS655504 FKO655496:FKO655504 FUK655496:FUK655504 GEG655496:GEG655504 GOC655496:GOC655504 GXY655496:GXY655504 HHU655496:HHU655504 HRQ655496:HRQ655504 IBM655496:IBM655504 ILI655496:ILI655504 IVE655496:IVE655504 JFA655496:JFA655504 JOW655496:JOW655504 JYS655496:JYS655504 KIO655496:KIO655504 KSK655496:KSK655504 LCG655496:LCG655504 LMC655496:LMC655504 LVY655496:LVY655504 MFU655496:MFU655504 MPQ655496:MPQ655504 MZM655496:MZM655504 NJI655496:NJI655504 NTE655496:NTE655504 ODA655496:ODA655504 OMW655496:OMW655504 OWS655496:OWS655504 PGO655496:PGO655504 PQK655496:PQK655504 QAG655496:QAG655504 QKC655496:QKC655504 QTY655496:QTY655504 RDU655496:RDU655504 RNQ655496:RNQ655504 RXM655496:RXM655504 SHI655496:SHI655504 SRE655496:SRE655504 TBA655496:TBA655504 TKW655496:TKW655504 TUS655496:TUS655504 UEO655496:UEO655504 UOK655496:UOK655504 UYG655496:UYG655504 VIC655496:VIC655504 VRY655496:VRY655504 WBU655496:WBU655504 WLQ655496:WLQ655504 WVM655496:WVM655504 JA721032:JA721040 SW721032:SW721040 ACS721032:ACS721040 AMO721032:AMO721040 AWK721032:AWK721040 BGG721032:BGG721040 BQC721032:BQC721040 BZY721032:BZY721040 CJU721032:CJU721040 CTQ721032:CTQ721040 DDM721032:DDM721040 DNI721032:DNI721040 DXE721032:DXE721040 EHA721032:EHA721040 EQW721032:EQW721040 FAS721032:FAS721040 FKO721032:FKO721040 FUK721032:FUK721040 GEG721032:GEG721040 GOC721032:GOC721040 GXY721032:GXY721040 HHU721032:HHU721040 HRQ721032:HRQ721040 IBM721032:IBM721040 ILI721032:ILI721040 IVE721032:IVE721040 JFA721032:JFA721040 JOW721032:JOW721040 JYS721032:JYS721040 KIO721032:KIO721040 KSK721032:KSK721040 LCG721032:LCG721040 LMC721032:LMC721040 LVY721032:LVY721040 MFU721032:MFU721040 MPQ721032:MPQ721040 MZM721032:MZM721040 NJI721032:NJI721040 NTE721032:NTE721040 ODA721032:ODA721040 OMW721032:OMW721040 OWS721032:OWS721040 PGO721032:PGO721040 PQK721032:PQK721040 QAG721032:QAG721040 QKC721032:QKC721040 QTY721032:QTY721040 RDU721032:RDU721040 RNQ721032:RNQ721040 RXM721032:RXM721040 SHI721032:SHI721040 SRE721032:SRE721040 TBA721032:TBA721040 TKW721032:TKW721040 TUS721032:TUS721040 UEO721032:UEO721040 UOK721032:UOK721040 UYG721032:UYG721040 VIC721032:VIC721040 VRY721032:VRY721040 WBU721032:WBU721040 WLQ721032:WLQ721040 WVM721032:WVM721040 JA786568:JA786576 SW786568:SW786576 ACS786568:ACS786576 AMO786568:AMO786576 AWK786568:AWK786576 BGG786568:BGG786576 BQC786568:BQC786576 BZY786568:BZY786576 CJU786568:CJU786576 CTQ786568:CTQ786576 DDM786568:DDM786576 DNI786568:DNI786576 DXE786568:DXE786576 EHA786568:EHA786576 EQW786568:EQW786576 FAS786568:FAS786576 FKO786568:FKO786576 FUK786568:FUK786576 GEG786568:GEG786576 GOC786568:GOC786576 GXY786568:GXY786576 HHU786568:HHU786576 HRQ786568:HRQ786576 IBM786568:IBM786576 ILI786568:ILI786576 IVE786568:IVE786576 JFA786568:JFA786576 JOW786568:JOW786576 JYS786568:JYS786576 KIO786568:KIO786576 KSK786568:KSK786576 LCG786568:LCG786576 LMC786568:LMC786576 LVY786568:LVY786576 MFU786568:MFU786576 MPQ786568:MPQ786576 MZM786568:MZM786576 NJI786568:NJI786576 NTE786568:NTE786576 ODA786568:ODA786576 OMW786568:OMW786576 OWS786568:OWS786576 PGO786568:PGO786576 PQK786568:PQK786576 QAG786568:QAG786576 QKC786568:QKC786576 QTY786568:QTY786576 RDU786568:RDU786576 RNQ786568:RNQ786576 RXM786568:RXM786576 SHI786568:SHI786576 SRE786568:SRE786576 TBA786568:TBA786576 TKW786568:TKW786576 TUS786568:TUS786576 UEO786568:UEO786576 UOK786568:UOK786576 UYG786568:UYG786576 VIC786568:VIC786576 VRY786568:VRY786576 WBU786568:WBU786576 WLQ786568:WLQ786576 WVM786568:WVM786576 JA852104:JA852112 SW852104:SW852112 ACS852104:ACS852112 AMO852104:AMO852112 AWK852104:AWK852112 BGG852104:BGG852112 BQC852104:BQC852112 BZY852104:BZY852112 CJU852104:CJU852112 CTQ852104:CTQ852112 DDM852104:DDM852112 DNI852104:DNI852112 DXE852104:DXE852112 EHA852104:EHA852112 EQW852104:EQW852112 FAS852104:FAS852112 FKO852104:FKO852112 FUK852104:FUK852112 GEG852104:GEG852112 GOC852104:GOC852112 GXY852104:GXY852112 HHU852104:HHU852112 HRQ852104:HRQ852112 IBM852104:IBM852112 ILI852104:ILI852112 IVE852104:IVE852112 JFA852104:JFA852112 JOW852104:JOW852112 JYS852104:JYS852112 KIO852104:KIO852112 KSK852104:KSK852112 LCG852104:LCG852112 LMC852104:LMC852112 LVY852104:LVY852112 MFU852104:MFU852112 MPQ852104:MPQ852112 MZM852104:MZM852112 NJI852104:NJI852112 NTE852104:NTE852112 ODA852104:ODA852112 OMW852104:OMW852112 OWS852104:OWS852112 PGO852104:PGO852112 PQK852104:PQK852112 QAG852104:QAG852112 QKC852104:QKC852112 QTY852104:QTY852112 RDU852104:RDU852112 RNQ852104:RNQ852112 RXM852104:RXM852112 SHI852104:SHI852112 SRE852104:SRE852112 TBA852104:TBA852112 TKW852104:TKW852112 TUS852104:TUS852112 UEO852104:UEO852112 UOK852104:UOK852112 UYG852104:UYG852112 VIC852104:VIC852112 VRY852104:VRY852112 WBU852104:WBU852112 WLQ852104:WLQ852112 WVM852104:WVM852112 JA917640:JA917648 SW917640:SW917648 ACS917640:ACS917648 AMO917640:AMO917648 AWK917640:AWK917648 BGG917640:BGG917648 BQC917640:BQC917648 BZY917640:BZY917648 CJU917640:CJU917648 CTQ917640:CTQ917648 DDM917640:DDM917648 DNI917640:DNI917648 DXE917640:DXE917648 EHA917640:EHA917648 EQW917640:EQW917648 FAS917640:FAS917648 FKO917640:FKO917648 FUK917640:FUK917648 GEG917640:GEG917648 GOC917640:GOC917648 GXY917640:GXY917648 HHU917640:HHU917648 HRQ917640:HRQ917648 IBM917640:IBM917648 ILI917640:ILI917648 IVE917640:IVE917648 JFA917640:JFA917648 JOW917640:JOW917648 JYS917640:JYS917648 KIO917640:KIO917648 KSK917640:KSK917648 LCG917640:LCG917648 LMC917640:LMC917648 LVY917640:LVY917648 MFU917640:MFU917648 MPQ917640:MPQ917648 MZM917640:MZM917648 NJI917640:NJI917648 NTE917640:NTE917648 ODA917640:ODA917648 OMW917640:OMW917648 OWS917640:OWS917648 PGO917640:PGO917648 PQK917640:PQK917648 QAG917640:QAG917648 QKC917640:QKC917648 QTY917640:QTY917648 RDU917640:RDU917648 RNQ917640:RNQ917648 RXM917640:RXM917648 SHI917640:SHI917648 SRE917640:SRE917648 TBA917640:TBA917648 TKW917640:TKW917648 TUS917640:TUS917648 UEO917640:UEO917648 UOK917640:UOK917648 UYG917640:UYG917648 VIC917640:VIC917648 VRY917640:VRY917648 WBU917640:WBU917648 WLQ917640:WLQ917648 WVM917640:WVM917648 JA983176:JA983184 SW983176:SW983184 ACS983176:ACS983184 AMO983176:AMO983184 AWK983176:AWK983184 BGG983176:BGG983184 BQC983176:BQC983184 BZY983176:BZY983184 CJU983176:CJU983184 CTQ983176:CTQ983184 DDM983176:DDM983184 DNI983176:DNI983184 DXE983176:DXE983184 EHA983176:EHA983184 EQW983176:EQW983184 FAS983176:FAS983184 FKO983176:FKO983184 FUK983176:FUK983184 GEG983176:GEG983184 GOC983176:GOC983184 GXY983176:GXY983184 HHU983176:HHU983184 HRQ983176:HRQ983184 IBM983176:IBM983184 ILI983176:ILI983184 IVE983176:IVE983184 JFA983176:JFA983184 JOW983176:JOW983184 JYS983176:JYS983184 KIO983176:KIO983184 KSK983176:KSK983184 LCG983176:LCG983184 LMC983176:LMC983184 LVY983176:LVY983184 MFU983176:MFU983184 MPQ983176:MPQ983184 MZM983176:MZM983184 NJI983176:NJI983184 NTE983176:NTE983184 ODA983176:ODA983184 OMW983176:OMW983184 OWS983176:OWS983184 PGO983176:PGO983184 PQK983176:PQK983184 QAG983176:QAG983184 QKC983176:QKC983184 QTY983176:QTY983184 RDU983176:RDU983184 RNQ983176:RNQ983184 RXM983176:RXM983184 SHI983176:SHI983184 SRE983176:SRE983184 TBA983176:TBA983184 TKW983176:TKW983184 TUS983176:TUS983184 UEO983176:UEO983184 UOK983176:UOK983184 UYG983176:UYG983184 VIC983176:VIC983184 VRY983176:VRY983184 WBU983176:WBU983184 WLQ983176:WLQ983184 WVM983176:WVM983184 E12:E34" xr:uid="{00000000-0002-0000-0500-000002000000}"/>
    <dataValidation allowBlank="1" showInputMessage="1" showErrorMessage="1" prompt="traer el valor definido en la hoja &quot;honorarios Corporativos&quot;" sqref="WVN983176:WVN983184 JB12:JB60 SX12:SX60 ACT12:ACT60 AMP12:AMP60 AWL12:AWL60 BGH12:BGH60 BQD12:BQD60 BZZ12:BZZ60 CJV12:CJV60 CTR12:CTR60 DDN12:DDN60 DNJ12:DNJ60 DXF12:DXF60 EHB12:EHB60 EQX12:EQX60 FAT12:FAT60 FKP12:FKP60 FUL12:FUL60 GEH12:GEH60 GOD12:GOD60 GXZ12:GXZ60 HHV12:HHV60 HRR12:HRR60 IBN12:IBN60 ILJ12:ILJ60 IVF12:IVF60 JFB12:JFB60 JOX12:JOX60 JYT12:JYT60 KIP12:KIP60 KSL12:KSL60 LCH12:LCH60 LMD12:LMD60 LVZ12:LVZ60 MFV12:MFV60 MPR12:MPR60 MZN12:MZN60 NJJ12:NJJ60 NTF12:NTF60 ODB12:ODB60 OMX12:OMX60 OWT12:OWT60 PGP12:PGP60 PQL12:PQL60 QAH12:QAH60 QKD12:QKD60 QTZ12:QTZ60 RDV12:RDV60 RNR12:RNR60 RXN12:RXN60 SHJ12:SHJ60 SRF12:SRF60 TBB12:TBB60 TKX12:TKX60 TUT12:TUT60 UEP12:UEP60 UOL12:UOL60 UYH12:UYH60 VID12:VID60 VRZ12:VRZ60 WBV12:WBV60 WLR12:WLR60 WVN12:WVN60 E65662:E65670 JB65661:JB65669 SX65661:SX65669 ACT65661:ACT65669 AMP65661:AMP65669 AWL65661:AWL65669 BGH65661:BGH65669 BQD65661:BQD65669 BZZ65661:BZZ65669 CJV65661:CJV65669 CTR65661:CTR65669 DDN65661:DDN65669 DNJ65661:DNJ65669 DXF65661:DXF65669 EHB65661:EHB65669 EQX65661:EQX65669 FAT65661:FAT65669 FKP65661:FKP65669 FUL65661:FUL65669 GEH65661:GEH65669 GOD65661:GOD65669 GXZ65661:GXZ65669 HHV65661:HHV65669 HRR65661:HRR65669 IBN65661:IBN65669 ILJ65661:ILJ65669 IVF65661:IVF65669 JFB65661:JFB65669 JOX65661:JOX65669 JYT65661:JYT65669 KIP65661:KIP65669 KSL65661:KSL65669 LCH65661:LCH65669 LMD65661:LMD65669 LVZ65661:LVZ65669 MFV65661:MFV65669 MPR65661:MPR65669 MZN65661:MZN65669 NJJ65661:NJJ65669 NTF65661:NTF65669 ODB65661:ODB65669 OMX65661:OMX65669 OWT65661:OWT65669 PGP65661:PGP65669 PQL65661:PQL65669 QAH65661:QAH65669 QKD65661:QKD65669 QTZ65661:QTZ65669 RDV65661:RDV65669 RNR65661:RNR65669 RXN65661:RXN65669 SHJ65661:SHJ65669 SRF65661:SRF65669 TBB65661:TBB65669 TKX65661:TKX65669 TUT65661:TUT65669 UEP65661:UEP65669 UOL65661:UOL65669 UYH65661:UYH65669 VID65661:VID65669 VRZ65661:VRZ65669 WBV65661:WBV65669 WLR65661:WLR65669 WVN65661:WVN65669 E131198:E131206 JB131197:JB131205 SX131197:SX131205 ACT131197:ACT131205 AMP131197:AMP131205 AWL131197:AWL131205 BGH131197:BGH131205 BQD131197:BQD131205 BZZ131197:BZZ131205 CJV131197:CJV131205 CTR131197:CTR131205 DDN131197:DDN131205 DNJ131197:DNJ131205 DXF131197:DXF131205 EHB131197:EHB131205 EQX131197:EQX131205 FAT131197:FAT131205 FKP131197:FKP131205 FUL131197:FUL131205 GEH131197:GEH131205 GOD131197:GOD131205 GXZ131197:GXZ131205 HHV131197:HHV131205 HRR131197:HRR131205 IBN131197:IBN131205 ILJ131197:ILJ131205 IVF131197:IVF131205 JFB131197:JFB131205 JOX131197:JOX131205 JYT131197:JYT131205 KIP131197:KIP131205 KSL131197:KSL131205 LCH131197:LCH131205 LMD131197:LMD131205 LVZ131197:LVZ131205 MFV131197:MFV131205 MPR131197:MPR131205 MZN131197:MZN131205 NJJ131197:NJJ131205 NTF131197:NTF131205 ODB131197:ODB131205 OMX131197:OMX131205 OWT131197:OWT131205 PGP131197:PGP131205 PQL131197:PQL131205 QAH131197:QAH131205 QKD131197:QKD131205 QTZ131197:QTZ131205 RDV131197:RDV131205 RNR131197:RNR131205 RXN131197:RXN131205 SHJ131197:SHJ131205 SRF131197:SRF131205 TBB131197:TBB131205 TKX131197:TKX131205 TUT131197:TUT131205 UEP131197:UEP131205 UOL131197:UOL131205 UYH131197:UYH131205 VID131197:VID131205 VRZ131197:VRZ131205 WBV131197:WBV131205 WLR131197:WLR131205 WVN131197:WVN131205 E196734:E196742 JB196733:JB196741 SX196733:SX196741 ACT196733:ACT196741 AMP196733:AMP196741 AWL196733:AWL196741 BGH196733:BGH196741 BQD196733:BQD196741 BZZ196733:BZZ196741 CJV196733:CJV196741 CTR196733:CTR196741 DDN196733:DDN196741 DNJ196733:DNJ196741 DXF196733:DXF196741 EHB196733:EHB196741 EQX196733:EQX196741 FAT196733:FAT196741 FKP196733:FKP196741 FUL196733:FUL196741 GEH196733:GEH196741 GOD196733:GOD196741 GXZ196733:GXZ196741 HHV196733:HHV196741 HRR196733:HRR196741 IBN196733:IBN196741 ILJ196733:ILJ196741 IVF196733:IVF196741 JFB196733:JFB196741 JOX196733:JOX196741 JYT196733:JYT196741 KIP196733:KIP196741 KSL196733:KSL196741 LCH196733:LCH196741 LMD196733:LMD196741 LVZ196733:LVZ196741 MFV196733:MFV196741 MPR196733:MPR196741 MZN196733:MZN196741 NJJ196733:NJJ196741 NTF196733:NTF196741 ODB196733:ODB196741 OMX196733:OMX196741 OWT196733:OWT196741 PGP196733:PGP196741 PQL196733:PQL196741 QAH196733:QAH196741 QKD196733:QKD196741 QTZ196733:QTZ196741 RDV196733:RDV196741 RNR196733:RNR196741 RXN196733:RXN196741 SHJ196733:SHJ196741 SRF196733:SRF196741 TBB196733:TBB196741 TKX196733:TKX196741 TUT196733:TUT196741 UEP196733:UEP196741 UOL196733:UOL196741 UYH196733:UYH196741 VID196733:VID196741 VRZ196733:VRZ196741 WBV196733:WBV196741 WLR196733:WLR196741 WVN196733:WVN196741 E262270:E262278 JB262269:JB262277 SX262269:SX262277 ACT262269:ACT262277 AMP262269:AMP262277 AWL262269:AWL262277 BGH262269:BGH262277 BQD262269:BQD262277 BZZ262269:BZZ262277 CJV262269:CJV262277 CTR262269:CTR262277 DDN262269:DDN262277 DNJ262269:DNJ262277 DXF262269:DXF262277 EHB262269:EHB262277 EQX262269:EQX262277 FAT262269:FAT262277 FKP262269:FKP262277 FUL262269:FUL262277 GEH262269:GEH262277 GOD262269:GOD262277 GXZ262269:GXZ262277 HHV262269:HHV262277 HRR262269:HRR262277 IBN262269:IBN262277 ILJ262269:ILJ262277 IVF262269:IVF262277 JFB262269:JFB262277 JOX262269:JOX262277 JYT262269:JYT262277 KIP262269:KIP262277 KSL262269:KSL262277 LCH262269:LCH262277 LMD262269:LMD262277 LVZ262269:LVZ262277 MFV262269:MFV262277 MPR262269:MPR262277 MZN262269:MZN262277 NJJ262269:NJJ262277 NTF262269:NTF262277 ODB262269:ODB262277 OMX262269:OMX262277 OWT262269:OWT262277 PGP262269:PGP262277 PQL262269:PQL262277 QAH262269:QAH262277 QKD262269:QKD262277 QTZ262269:QTZ262277 RDV262269:RDV262277 RNR262269:RNR262277 RXN262269:RXN262277 SHJ262269:SHJ262277 SRF262269:SRF262277 TBB262269:TBB262277 TKX262269:TKX262277 TUT262269:TUT262277 UEP262269:UEP262277 UOL262269:UOL262277 UYH262269:UYH262277 VID262269:VID262277 VRZ262269:VRZ262277 WBV262269:WBV262277 WLR262269:WLR262277 WVN262269:WVN262277 E327806:E327814 JB327805:JB327813 SX327805:SX327813 ACT327805:ACT327813 AMP327805:AMP327813 AWL327805:AWL327813 BGH327805:BGH327813 BQD327805:BQD327813 BZZ327805:BZZ327813 CJV327805:CJV327813 CTR327805:CTR327813 DDN327805:DDN327813 DNJ327805:DNJ327813 DXF327805:DXF327813 EHB327805:EHB327813 EQX327805:EQX327813 FAT327805:FAT327813 FKP327805:FKP327813 FUL327805:FUL327813 GEH327805:GEH327813 GOD327805:GOD327813 GXZ327805:GXZ327813 HHV327805:HHV327813 HRR327805:HRR327813 IBN327805:IBN327813 ILJ327805:ILJ327813 IVF327805:IVF327813 JFB327805:JFB327813 JOX327805:JOX327813 JYT327805:JYT327813 KIP327805:KIP327813 KSL327805:KSL327813 LCH327805:LCH327813 LMD327805:LMD327813 LVZ327805:LVZ327813 MFV327805:MFV327813 MPR327805:MPR327813 MZN327805:MZN327813 NJJ327805:NJJ327813 NTF327805:NTF327813 ODB327805:ODB327813 OMX327805:OMX327813 OWT327805:OWT327813 PGP327805:PGP327813 PQL327805:PQL327813 QAH327805:QAH327813 QKD327805:QKD327813 QTZ327805:QTZ327813 RDV327805:RDV327813 RNR327805:RNR327813 RXN327805:RXN327813 SHJ327805:SHJ327813 SRF327805:SRF327813 TBB327805:TBB327813 TKX327805:TKX327813 TUT327805:TUT327813 UEP327805:UEP327813 UOL327805:UOL327813 UYH327805:UYH327813 VID327805:VID327813 VRZ327805:VRZ327813 WBV327805:WBV327813 WLR327805:WLR327813 WVN327805:WVN327813 E393342:E393350 JB393341:JB393349 SX393341:SX393349 ACT393341:ACT393349 AMP393341:AMP393349 AWL393341:AWL393349 BGH393341:BGH393349 BQD393341:BQD393349 BZZ393341:BZZ393349 CJV393341:CJV393349 CTR393341:CTR393349 DDN393341:DDN393349 DNJ393341:DNJ393349 DXF393341:DXF393349 EHB393341:EHB393349 EQX393341:EQX393349 FAT393341:FAT393349 FKP393341:FKP393349 FUL393341:FUL393349 GEH393341:GEH393349 GOD393341:GOD393349 GXZ393341:GXZ393349 HHV393341:HHV393349 HRR393341:HRR393349 IBN393341:IBN393349 ILJ393341:ILJ393349 IVF393341:IVF393349 JFB393341:JFB393349 JOX393341:JOX393349 JYT393341:JYT393349 KIP393341:KIP393349 KSL393341:KSL393349 LCH393341:LCH393349 LMD393341:LMD393349 LVZ393341:LVZ393349 MFV393341:MFV393349 MPR393341:MPR393349 MZN393341:MZN393349 NJJ393341:NJJ393349 NTF393341:NTF393349 ODB393341:ODB393349 OMX393341:OMX393349 OWT393341:OWT393349 PGP393341:PGP393349 PQL393341:PQL393349 QAH393341:QAH393349 QKD393341:QKD393349 QTZ393341:QTZ393349 RDV393341:RDV393349 RNR393341:RNR393349 RXN393341:RXN393349 SHJ393341:SHJ393349 SRF393341:SRF393349 TBB393341:TBB393349 TKX393341:TKX393349 TUT393341:TUT393349 UEP393341:UEP393349 UOL393341:UOL393349 UYH393341:UYH393349 VID393341:VID393349 VRZ393341:VRZ393349 WBV393341:WBV393349 WLR393341:WLR393349 WVN393341:WVN393349 E458878:E458886 JB458877:JB458885 SX458877:SX458885 ACT458877:ACT458885 AMP458877:AMP458885 AWL458877:AWL458885 BGH458877:BGH458885 BQD458877:BQD458885 BZZ458877:BZZ458885 CJV458877:CJV458885 CTR458877:CTR458885 DDN458877:DDN458885 DNJ458877:DNJ458885 DXF458877:DXF458885 EHB458877:EHB458885 EQX458877:EQX458885 FAT458877:FAT458885 FKP458877:FKP458885 FUL458877:FUL458885 GEH458877:GEH458885 GOD458877:GOD458885 GXZ458877:GXZ458885 HHV458877:HHV458885 HRR458877:HRR458885 IBN458877:IBN458885 ILJ458877:ILJ458885 IVF458877:IVF458885 JFB458877:JFB458885 JOX458877:JOX458885 JYT458877:JYT458885 KIP458877:KIP458885 KSL458877:KSL458885 LCH458877:LCH458885 LMD458877:LMD458885 LVZ458877:LVZ458885 MFV458877:MFV458885 MPR458877:MPR458885 MZN458877:MZN458885 NJJ458877:NJJ458885 NTF458877:NTF458885 ODB458877:ODB458885 OMX458877:OMX458885 OWT458877:OWT458885 PGP458877:PGP458885 PQL458877:PQL458885 QAH458877:QAH458885 QKD458877:QKD458885 QTZ458877:QTZ458885 RDV458877:RDV458885 RNR458877:RNR458885 RXN458877:RXN458885 SHJ458877:SHJ458885 SRF458877:SRF458885 TBB458877:TBB458885 TKX458877:TKX458885 TUT458877:TUT458885 UEP458877:UEP458885 UOL458877:UOL458885 UYH458877:UYH458885 VID458877:VID458885 VRZ458877:VRZ458885 WBV458877:WBV458885 WLR458877:WLR458885 WVN458877:WVN458885 E524414:E524422 JB524413:JB524421 SX524413:SX524421 ACT524413:ACT524421 AMP524413:AMP524421 AWL524413:AWL524421 BGH524413:BGH524421 BQD524413:BQD524421 BZZ524413:BZZ524421 CJV524413:CJV524421 CTR524413:CTR524421 DDN524413:DDN524421 DNJ524413:DNJ524421 DXF524413:DXF524421 EHB524413:EHB524421 EQX524413:EQX524421 FAT524413:FAT524421 FKP524413:FKP524421 FUL524413:FUL524421 GEH524413:GEH524421 GOD524413:GOD524421 GXZ524413:GXZ524421 HHV524413:HHV524421 HRR524413:HRR524421 IBN524413:IBN524421 ILJ524413:ILJ524421 IVF524413:IVF524421 JFB524413:JFB524421 JOX524413:JOX524421 JYT524413:JYT524421 KIP524413:KIP524421 KSL524413:KSL524421 LCH524413:LCH524421 LMD524413:LMD524421 LVZ524413:LVZ524421 MFV524413:MFV524421 MPR524413:MPR524421 MZN524413:MZN524421 NJJ524413:NJJ524421 NTF524413:NTF524421 ODB524413:ODB524421 OMX524413:OMX524421 OWT524413:OWT524421 PGP524413:PGP524421 PQL524413:PQL524421 QAH524413:QAH524421 QKD524413:QKD524421 QTZ524413:QTZ524421 RDV524413:RDV524421 RNR524413:RNR524421 RXN524413:RXN524421 SHJ524413:SHJ524421 SRF524413:SRF524421 TBB524413:TBB524421 TKX524413:TKX524421 TUT524413:TUT524421 UEP524413:UEP524421 UOL524413:UOL524421 UYH524413:UYH524421 VID524413:VID524421 VRZ524413:VRZ524421 WBV524413:WBV524421 WLR524413:WLR524421 WVN524413:WVN524421 E589950:E589958 JB589949:JB589957 SX589949:SX589957 ACT589949:ACT589957 AMP589949:AMP589957 AWL589949:AWL589957 BGH589949:BGH589957 BQD589949:BQD589957 BZZ589949:BZZ589957 CJV589949:CJV589957 CTR589949:CTR589957 DDN589949:DDN589957 DNJ589949:DNJ589957 DXF589949:DXF589957 EHB589949:EHB589957 EQX589949:EQX589957 FAT589949:FAT589957 FKP589949:FKP589957 FUL589949:FUL589957 GEH589949:GEH589957 GOD589949:GOD589957 GXZ589949:GXZ589957 HHV589949:HHV589957 HRR589949:HRR589957 IBN589949:IBN589957 ILJ589949:ILJ589957 IVF589949:IVF589957 JFB589949:JFB589957 JOX589949:JOX589957 JYT589949:JYT589957 KIP589949:KIP589957 KSL589949:KSL589957 LCH589949:LCH589957 LMD589949:LMD589957 LVZ589949:LVZ589957 MFV589949:MFV589957 MPR589949:MPR589957 MZN589949:MZN589957 NJJ589949:NJJ589957 NTF589949:NTF589957 ODB589949:ODB589957 OMX589949:OMX589957 OWT589949:OWT589957 PGP589949:PGP589957 PQL589949:PQL589957 QAH589949:QAH589957 QKD589949:QKD589957 QTZ589949:QTZ589957 RDV589949:RDV589957 RNR589949:RNR589957 RXN589949:RXN589957 SHJ589949:SHJ589957 SRF589949:SRF589957 TBB589949:TBB589957 TKX589949:TKX589957 TUT589949:TUT589957 UEP589949:UEP589957 UOL589949:UOL589957 UYH589949:UYH589957 VID589949:VID589957 VRZ589949:VRZ589957 WBV589949:WBV589957 WLR589949:WLR589957 WVN589949:WVN589957 E655486:E655494 JB655485:JB655493 SX655485:SX655493 ACT655485:ACT655493 AMP655485:AMP655493 AWL655485:AWL655493 BGH655485:BGH655493 BQD655485:BQD655493 BZZ655485:BZZ655493 CJV655485:CJV655493 CTR655485:CTR655493 DDN655485:DDN655493 DNJ655485:DNJ655493 DXF655485:DXF655493 EHB655485:EHB655493 EQX655485:EQX655493 FAT655485:FAT655493 FKP655485:FKP655493 FUL655485:FUL655493 GEH655485:GEH655493 GOD655485:GOD655493 GXZ655485:GXZ655493 HHV655485:HHV655493 HRR655485:HRR655493 IBN655485:IBN655493 ILJ655485:ILJ655493 IVF655485:IVF655493 JFB655485:JFB655493 JOX655485:JOX655493 JYT655485:JYT655493 KIP655485:KIP655493 KSL655485:KSL655493 LCH655485:LCH655493 LMD655485:LMD655493 LVZ655485:LVZ655493 MFV655485:MFV655493 MPR655485:MPR655493 MZN655485:MZN655493 NJJ655485:NJJ655493 NTF655485:NTF655493 ODB655485:ODB655493 OMX655485:OMX655493 OWT655485:OWT655493 PGP655485:PGP655493 PQL655485:PQL655493 QAH655485:QAH655493 QKD655485:QKD655493 QTZ655485:QTZ655493 RDV655485:RDV655493 RNR655485:RNR655493 RXN655485:RXN655493 SHJ655485:SHJ655493 SRF655485:SRF655493 TBB655485:TBB655493 TKX655485:TKX655493 TUT655485:TUT655493 UEP655485:UEP655493 UOL655485:UOL655493 UYH655485:UYH655493 VID655485:VID655493 VRZ655485:VRZ655493 WBV655485:WBV655493 WLR655485:WLR655493 WVN655485:WVN655493 E721022:E721030 JB721021:JB721029 SX721021:SX721029 ACT721021:ACT721029 AMP721021:AMP721029 AWL721021:AWL721029 BGH721021:BGH721029 BQD721021:BQD721029 BZZ721021:BZZ721029 CJV721021:CJV721029 CTR721021:CTR721029 DDN721021:DDN721029 DNJ721021:DNJ721029 DXF721021:DXF721029 EHB721021:EHB721029 EQX721021:EQX721029 FAT721021:FAT721029 FKP721021:FKP721029 FUL721021:FUL721029 GEH721021:GEH721029 GOD721021:GOD721029 GXZ721021:GXZ721029 HHV721021:HHV721029 HRR721021:HRR721029 IBN721021:IBN721029 ILJ721021:ILJ721029 IVF721021:IVF721029 JFB721021:JFB721029 JOX721021:JOX721029 JYT721021:JYT721029 KIP721021:KIP721029 KSL721021:KSL721029 LCH721021:LCH721029 LMD721021:LMD721029 LVZ721021:LVZ721029 MFV721021:MFV721029 MPR721021:MPR721029 MZN721021:MZN721029 NJJ721021:NJJ721029 NTF721021:NTF721029 ODB721021:ODB721029 OMX721021:OMX721029 OWT721021:OWT721029 PGP721021:PGP721029 PQL721021:PQL721029 QAH721021:QAH721029 QKD721021:QKD721029 QTZ721021:QTZ721029 RDV721021:RDV721029 RNR721021:RNR721029 RXN721021:RXN721029 SHJ721021:SHJ721029 SRF721021:SRF721029 TBB721021:TBB721029 TKX721021:TKX721029 TUT721021:TUT721029 UEP721021:UEP721029 UOL721021:UOL721029 UYH721021:UYH721029 VID721021:VID721029 VRZ721021:VRZ721029 WBV721021:WBV721029 WLR721021:WLR721029 WVN721021:WVN721029 E786558:E786566 JB786557:JB786565 SX786557:SX786565 ACT786557:ACT786565 AMP786557:AMP786565 AWL786557:AWL786565 BGH786557:BGH786565 BQD786557:BQD786565 BZZ786557:BZZ786565 CJV786557:CJV786565 CTR786557:CTR786565 DDN786557:DDN786565 DNJ786557:DNJ786565 DXF786557:DXF786565 EHB786557:EHB786565 EQX786557:EQX786565 FAT786557:FAT786565 FKP786557:FKP786565 FUL786557:FUL786565 GEH786557:GEH786565 GOD786557:GOD786565 GXZ786557:GXZ786565 HHV786557:HHV786565 HRR786557:HRR786565 IBN786557:IBN786565 ILJ786557:ILJ786565 IVF786557:IVF786565 JFB786557:JFB786565 JOX786557:JOX786565 JYT786557:JYT786565 KIP786557:KIP786565 KSL786557:KSL786565 LCH786557:LCH786565 LMD786557:LMD786565 LVZ786557:LVZ786565 MFV786557:MFV786565 MPR786557:MPR786565 MZN786557:MZN786565 NJJ786557:NJJ786565 NTF786557:NTF786565 ODB786557:ODB786565 OMX786557:OMX786565 OWT786557:OWT786565 PGP786557:PGP786565 PQL786557:PQL786565 QAH786557:QAH786565 QKD786557:QKD786565 QTZ786557:QTZ786565 RDV786557:RDV786565 RNR786557:RNR786565 RXN786557:RXN786565 SHJ786557:SHJ786565 SRF786557:SRF786565 TBB786557:TBB786565 TKX786557:TKX786565 TUT786557:TUT786565 UEP786557:UEP786565 UOL786557:UOL786565 UYH786557:UYH786565 VID786557:VID786565 VRZ786557:VRZ786565 WBV786557:WBV786565 WLR786557:WLR786565 WVN786557:WVN786565 E852094:E852102 JB852093:JB852101 SX852093:SX852101 ACT852093:ACT852101 AMP852093:AMP852101 AWL852093:AWL852101 BGH852093:BGH852101 BQD852093:BQD852101 BZZ852093:BZZ852101 CJV852093:CJV852101 CTR852093:CTR852101 DDN852093:DDN852101 DNJ852093:DNJ852101 DXF852093:DXF852101 EHB852093:EHB852101 EQX852093:EQX852101 FAT852093:FAT852101 FKP852093:FKP852101 FUL852093:FUL852101 GEH852093:GEH852101 GOD852093:GOD852101 GXZ852093:GXZ852101 HHV852093:HHV852101 HRR852093:HRR852101 IBN852093:IBN852101 ILJ852093:ILJ852101 IVF852093:IVF852101 JFB852093:JFB852101 JOX852093:JOX852101 JYT852093:JYT852101 KIP852093:KIP852101 KSL852093:KSL852101 LCH852093:LCH852101 LMD852093:LMD852101 LVZ852093:LVZ852101 MFV852093:MFV852101 MPR852093:MPR852101 MZN852093:MZN852101 NJJ852093:NJJ852101 NTF852093:NTF852101 ODB852093:ODB852101 OMX852093:OMX852101 OWT852093:OWT852101 PGP852093:PGP852101 PQL852093:PQL852101 QAH852093:QAH852101 QKD852093:QKD852101 QTZ852093:QTZ852101 RDV852093:RDV852101 RNR852093:RNR852101 RXN852093:RXN852101 SHJ852093:SHJ852101 SRF852093:SRF852101 TBB852093:TBB852101 TKX852093:TKX852101 TUT852093:TUT852101 UEP852093:UEP852101 UOL852093:UOL852101 UYH852093:UYH852101 VID852093:VID852101 VRZ852093:VRZ852101 WBV852093:WBV852101 WLR852093:WLR852101 WVN852093:WVN852101 E917630:E917638 JB917629:JB917637 SX917629:SX917637 ACT917629:ACT917637 AMP917629:AMP917637 AWL917629:AWL917637 BGH917629:BGH917637 BQD917629:BQD917637 BZZ917629:BZZ917637 CJV917629:CJV917637 CTR917629:CTR917637 DDN917629:DDN917637 DNJ917629:DNJ917637 DXF917629:DXF917637 EHB917629:EHB917637 EQX917629:EQX917637 FAT917629:FAT917637 FKP917629:FKP917637 FUL917629:FUL917637 GEH917629:GEH917637 GOD917629:GOD917637 GXZ917629:GXZ917637 HHV917629:HHV917637 HRR917629:HRR917637 IBN917629:IBN917637 ILJ917629:ILJ917637 IVF917629:IVF917637 JFB917629:JFB917637 JOX917629:JOX917637 JYT917629:JYT917637 KIP917629:KIP917637 KSL917629:KSL917637 LCH917629:LCH917637 LMD917629:LMD917637 LVZ917629:LVZ917637 MFV917629:MFV917637 MPR917629:MPR917637 MZN917629:MZN917637 NJJ917629:NJJ917637 NTF917629:NTF917637 ODB917629:ODB917637 OMX917629:OMX917637 OWT917629:OWT917637 PGP917629:PGP917637 PQL917629:PQL917637 QAH917629:QAH917637 QKD917629:QKD917637 QTZ917629:QTZ917637 RDV917629:RDV917637 RNR917629:RNR917637 RXN917629:RXN917637 SHJ917629:SHJ917637 SRF917629:SRF917637 TBB917629:TBB917637 TKX917629:TKX917637 TUT917629:TUT917637 UEP917629:UEP917637 UOL917629:UOL917637 UYH917629:UYH917637 VID917629:VID917637 VRZ917629:VRZ917637 WBV917629:WBV917637 WLR917629:WLR917637 WVN917629:WVN917637 E983166:E983174 JB983165:JB983173 SX983165:SX983173 ACT983165:ACT983173 AMP983165:AMP983173 AWL983165:AWL983173 BGH983165:BGH983173 BQD983165:BQD983173 BZZ983165:BZZ983173 CJV983165:CJV983173 CTR983165:CTR983173 DDN983165:DDN983173 DNJ983165:DNJ983173 DXF983165:DXF983173 EHB983165:EHB983173 EQX983165:EQX983173 FAT983165:FAT983173 FKP983165:FKP983173 FUL983165:FUL983173 GEH983165:GEH983173 GOD983165:GOD983173 GXZ983165:GXZ983173 HHV983165:HHV983173 HRR983165:HRR983173 IBN983165:IBN983173 ILJ983165:ILJ983173 IVF983165:IVF983173 JFB983165:JFB983173 JOX983165:JOX983173 JYT983165:JYT983173 KIP983165:KIP983173 KSL983165:KSL983173 LCH983165:LCH983173 LMD983165:LMD983173 LVZ983165:LVZ983173 MFV983165:MFV983173 MPR983165:MPR983173 MZN983165:MZN983173 NJJ983165:NJJ983173 NTF983165:NTF983173 ODB983165:ODB983173 OMX983165:OMX983173 OWT983165:OWT983173 PGP983165:PGP983173 PQL983165:PQL983173 QAH983165:QAH983173 QKD983165:QKD983173 QTZ983165:QTZ983173 RDV983165:RDV983173 RNR983165:RNR983173 RXN983165:RXN983173 SHJ983165:SHJ983173 SRF983165:SRF983173 TBB983165:TBB983173 TKX983165:TKX983173 TUT983165:TUT983173 UEP983165:UEP983173 UOL983165:UOL983173 UYH983165:UYH983173 VID983165:VID983173 VRZ983165:VRZ983173 WBV983165:WBV983173 WLR983165:WLR983173 WVN983165:WVN983173 E35:E60 JB63:JB98 SX63:SX98 ACT63:ACT98 AMP63:AMP98 AWL63:AWL98 BGH63:BGH98 BQD63:BQD98 BZZ63:BZZ98 CJV63:CJV98 CTR63:CTR98 DDN63:DDN98 DNJ63:DNJ98 DXF63:DXF98 EHB63:EHB98 EQX63:EQX98 FAT63:FAT98 FKP63:FKP98 FUL63:FUL98 GEH63:GEH98 GOD63:GOD98 GXZ63:GXZ98 HHV63:HHV98 HRR63:HRR98 IBN63:IBN98 ILJ63:ILJ98 IVF63:IVF98 JFB63:JFB98 JOX63:JOX98 JYT63:JYT98 KIP63:KIP98 KSL63:KSL98 LCH63:LCH98 LMD63:LMD98 LVZ63:LVZ98 MFV63:MFV98 MPR63:MPR98 MZN63:MZN98 NJJ63:NJJ98 NTF63:NTF98 ODB63:ODB98 OMX63:OMX98 OWT63:OWT98 PGP63:PGP98 PQL63:PQL98 QAH63:QAH98 QKD63:QKD98 QTZ63:QTZ98 RDV63:RDV98 RNR63:RNR98 RXN63:RXN98 SHJ63:SHJ98 SRF63:SRF98 TBB63:TBB98 TKX63:TKX98 TUT63:TUT98 UEP63:UEP98 UOL63:UOL98 UYH63:UYH98 VID63:VID98 VRZ63:VRZ98 WBV63:WBV98 WLR63:WLR98 WVN63:WVN98 E65673:E65681 JB65672:JB65680 SX65672:SX65680 ACT65672:ACT65680 AMP65672:AMP65680 AWL65672:AWL65680 BGH65672:BGH65680 BQD65672:BQD65680 BZZ65672:BZZ65680 CJV65672:CJV65680 CTR65672:CTR65680 DDN65672:DDN65680 DNJ65672:DNJ65680 DXF65672:DXF65680 EHB65672:EHB65680 EQX65672:EQX65680 FAT65672:FAT65680 FKP65672:FKP65680 FUL65672:FUL65680 GEH65672:GEH65680 GOD65672:GOD65680 GXZ65672:GXZ65680 HHV65672:HHV65680 HRR65672:HRR65680 IBN65672:IBN65680 ILJ65672:ILJ65680 IVF65672:IVF65680 JFB65672:JFB65680 JOX65672:JOX65680 JYT65672:JYT65680 KIP65672:KIP65680 KSL65672:KSL65680 LCH65672:LCH65680 LMD65672:LMD65680 LVZ65672:LVZ65680 MFV65672:MFV65680 MPR65672:MPR65680 MZN65672:MZN65680 NJJ65672:NJJ65680 NTF65672:NTF65680 ODB65672:ODB65680 OMX65672:OMX65680 OWT65672:OWT65680 PGP65672:PGP65680 PQL65672:PQL65680 QAH65672:QAH65680 QKD65672:QKD65680 QTZ65672:QTZ65680 RDV65672:RDV65680 RNR65672:RNR65680 RXN65672:RXN65680 SHJ65672:SHJ65680 SRF65672:SRF65680 TBB65672:TBB65680 TKX65672:TKX65680 TUT65672:TUT65680 UEP65672:UEP65680 UOL65672:UOL65680 UYH65672:UYH65680 VID65672:VID65680 VRZ65672:VRZ65680 WBV65672:WBV65680 WLR65672:WLR65680 WVN65672:WVN65680 E131209:E131217 JB131208:JB131216 SX131208:SX131216 ACT131208:ACT131216 AMP131208:AMP131216 AWL131208:AWL131216 BGH131208:BGH131216 BQD131208:BQD131216 BZZ131208:BZZ131216 CJV131208:CJV131216 CTR131208:CTR131216 DDN131208:DDN131216 DNJ131208:DNJ131216 DXF131208:DXF131216 EHB131208:EHB131216 EQX131208:EQX131216 FAT131208:FAT131216 FKP131208:FKP131216 FUL131208:FUL131216 GEH131208:GEH131216 GOD131208:GOD131216 GXZ131208:GXZ131216 HHV131208:HHV131216 HRR131208:HRR131216 IBN131208:IBN131216 ILJ131208:ILJ131216 IVF131208:IVF131216 JFB131208:JFB131216 JOX131208:JOX131216 JYT131208:JYT131216 KIP131208:KIP131216 KSL131208:KSL131216 LCH131208:LCH131216 LMD131208:LMD131216 LVZ131208:LVZ131216 MFV131208:MFV131216 MPR131208:MPR131216 MZN131208:MZN131216 NJJ131208:NJJ131216 NTF131208:NTF131216 ODB131208:ODB131216 OMX131208:OMX131216 OWT131208:OWT131216 PGP131208:PGP131216 PQL131208:PQL131216 QAH131208:QAH131216 QKD131208:QKD131216 QTZ131208:QTZ131216 RDV131208:RDV131216 RNR131208:RNR131216 RXN131208:RXN131216 SHJ131208:SHJ131216 SRF131208:SRF131216 TBB131208:TBB131216 TKX131208:TKX131216 TUT131208:TUT131216 UEP131208:UEP131216 UOL131208:UOL131216 UYH131208:UYH131216 VID131208:VID131216 VRZ131208:VRZ131216 WBV131208:WBV131216 WLR131208:WLR131216 WVN131208:WVN131216 E196745:E196753 JB196744:JB196752 SX196744:SX196752 ACT196744:ACT196752 AMP196744:AMP196752 AWL196744:AWL196752 BGH196744:BGH196752 BQD196744:BQD196752 BZZ196744:BZZ196752 CJV196744:CJV196752 CTR196744:CTR196752 DDN196744:DDN196752 DNJ196744:DNJ196752 DXF196744:DXF196752 EHB196744:EHB196752 EQX196744:EQX196752 FAT196744:FAT196752 FKP196744:FKP196752 FUL196744:FUL196752 GEH196744:GEH196752 GOD196744:GOD196752 GXZ196744:GXZ196752 HHV196744:HHV196752 HRR196744:HRR196752 IBN196744:IBN196752 ILJ196744:ILJ196752 IVF196744:IVF196752 JFB196744:JFB196752 JOX196744:JOX196752 JYT196744:JYT196752 KIP196744:KIP196752 KSL196744:KSL196752 LCH196744:LCH196752 LMD196744:LMD196752 LVZ196744:LVZ196752 MFV196744:MFV196752 MPR196744:MPR196752 MZN196744:MZN196752 NJJ196744:NJJ196752 NTF196744:NTF196752 ODB196744:ODB196752 OMX196744:OMX196752 OWT196744:OWT196752 PGP196744:PGP196752 PQL196744:PQL196752 QAH196744:QAH196752 QKD196744:QKD196752 QTZ196744:QTZ196752 RDV196744:RDV196752 RNR196744:RNR196752 RXN196744:RXN196752 SHJ196744:SHJ196752 SRF196744:SRF196752 TBB196744:TBB196752 TKX196744:TKX196752 TUT196744:TUT196752 UEP196744:UEP196752 UOL196744:UOL196752 UYH196744:UYH196752 VID196744:VID196752 VRZ196744:VRZ196752 WBV196744:WBV196752 WLR196744:WLR196752 WVN196744:WVN196752 E262281:E262289 JB262280:JB262288 SX262280:SX262288 ACT262280:ACT262288 AMP262280:AMP262288 AWL262280:AWL262288 BGH262280:BGH262288 BQD262280:BQD262288 BZZ262280:BZZ262288 CJV262280:CJV262288 CTR262280:CTR262288 DDN262280:DDN262288 DNJ262280:DNJ262288 DXF262280:DXF262288 EHB262280:EHB262288 EQX262280:EQX262288 FAT262280:FAT262288 FKP262280:FKP262288 FUL262280:FUL262288 GEH262280:GEH262288 GOD262280:GOD262288 GXZ262280:GXZ262288 HHV262280:HHV262288 HRR262280:HRR262288 IBN262280:IBN262288 ILJ262280:ILJ262288 IVF262280:IVF262288 JFB262280:JFB262288 JOX262280:JOX262288 JYT262280:JYT262288 KIP262280:KIP262288 KSL262280:KSL262288 LCH262280:LCH262288 LMD262280:LMD262288 LVZ262280:LVZ262288 MFV262280:MFV262288 MPR262280:MPR262288 MZN262280:MZN262288 NJJ262280:NJJ262288 NTF262280:NTF262288 ODB262280:ODB262288 OMX262280:OMX262288 OWT262280:OWT262288 PGP262280:PGP262288 PQL262280:PQL262288 QAH262280:QAH262288 QKD262280:QKD262288 QTZ262280:QTZ262288 RDV262280:RDV262288 RNR262280:RNR262288 RXN262280:RXN262288 SHJ262280:SHJ262288 SRF262280:SRF262288 TBB262280:TBB262288 TKX262280:TKX262288 TUT262280:TUT262288 UEP262280:UEP262288 UOL262280:UOL262288 UYH262280:UYH262288 VID262280:VID262288 VRZ262280:VRZ262288 WBV262280:WBV262288 WLR262280:WLR262288 WVN262280:WVN262288 E327817:E327825 JB327816:JB327824 SX327816:SX327824 ACT327816:ACT327824 AMP327816:AMP327824 AWL327816:AWL327824 BGH327816:BGH327824 BQD327816:BQD327824 BZZ327816:BZZ327824 CJV327816:CJV327824 CTR327816:CTR327824 DDN327816:DDN327824 DNJ327816:DNJ327824 DXF327816:DXF327824 EHB327816:EHB327824 EQX327816:EQX327824 FAT327816:FAT327824 FKP327816:FKP327824 FUL327816:FUL327824 GEH327816:GEH327824 GOD327816:GOD327824 GXZ327816:GXZ327824 HHV327816:HHV327824 HRR327816:HRR327824 IBN327816:IBN327824 ILJ327816:ILJ327824 IVF327816:IVF327824 JFB327816:JFB327824 JOX327816:JOX327824 JYT327816:JYT327824 KIP327816:KIP327824 KSL327816:KSL327824 LCH327816:LCH327824 LMD327816:LMD327824 LVZ327816:LVZ327824 MFV327816:MFV327824 MPR327816:MPR327824 MZN327816:MZN327824 NJJ327816:NJJ327824 NTF327816:NTF327824 ODB327816:ODB327824 OMX327816:OMX327824 OWT327816:OWT327824 PGP327816:PGP327824 PQL327816:PQL327824 QAH327816:QAH327824 QKD327816:QKD327824 QTZ327816:QTZ327824 RDV327816:RDV327824 RNR327816:RNR327824 RXN327816:RXN327824 SHJ327816:SHJ327824 SRF327816:SRF327824 TBB327816:TBB327824 TKX327816:TKX327824 TUT327816:TUT327824 UEP327816:UEP327824 UOL327816:UOL327824 UYH327816:UYH327824 VID327816:VID327824 VRZ327816:VRZ327824 WBV327816:WBV327824 WLR327816:WLR327824 WVN327816:WVN327824 E393353:E393361 JB393352:JB393360 SX393352:SX393360 ACT393352:ACT393360 AMP393352:AMP393360 AWL393352:AWL393360 BGH393352:BGH393360 BQD393352:BQD393360 BZZ393352:BZZ393360 CJV393352:CJV393360 CTR393352:CTR393360 DDN393352:DDN393360 DNJ393352:DNJ393360 DXF393352:DXF393360 EHB393352:EHB393360 EQX393352:EQX393360 FAT393352:FAT393360 FKP393352:FKP393360 FUL393352:FUL393360 GEH393352:GEH393360 GOD393352:GOD393360 GXZ393352:GXZ393360 HHV393352:HHV393360 HRR393352:HRR393360 IBN393352:IBN393360 ILJ393352:ILJ393360 IVF393352:IVF393360 JFB393352:JFB393360 JOX393352:JOX393360 JYT393352:JYT393360 KIP393352:KIP393360 KSL393352:KSL393360 LCH393352:LCH393360 LMD393352:LMD393360 LVZ393352:LVZ393360 MFV393352:MFV393360 MPR393352:MPR393360 MZN393352:MZN393360 NJJ393352:NJJ393360 NTF393352:NTF393360 ODB393352:ODB393360 OMX393352:OMX393360 OWT393352:OWT393360 PGP393352:PGP393360 PQL393352:PQL393360 QAH393352:QAH393360 QKD393352:QKD393360 QTZ393352:QTZ393360 RDV393352:RDV393360 RNR393352:RNR393360 RXN393352:RXN393360 SHJ393352:SHJ393360 SRF393352:SRF393360 TBB393352:TBB393360 TKX393352:TKX393360 TUT393352:TUT393360 UEP393352:UEP393360 UOL393352:UOL393360 UYH393352:UYH393360 VID393352:VID393360 VRZ393352:VRZ393360 WBV393352:WBV393360 WLR393352:WLR393360 WVN393352:WVN393360 E458889:E458897 JB458888:JB458896 SX458888:SX458896 ACT458888:ACT458896 AMP458888:AMP458896 AWL458888:AWL458896 BGH458888:BGH458896 BQD458888:BQD458896 BZZ458888:BZZ458896 CJV458888:CJV458896 CTR458888:CTR458896 DDN458888:DDN458896 DNJ458888:DNJ458896 DXF458888:DXF458896 EHB458888:EHB458896 EQX458888:EQX458896 FAT458888:FAT458896 FKP458888:FKP458896 FUL458888:FUL458896 GEH458888:GEH458896 GOD458888:GOD458896 GXZ458888:GXZ458896 HHV458888:HHV458896 HRR458888:HRR458896 IBN458888:IBN458896 ILJ458888:ILJ458896 IVF458888:IVF458896 JFB458888:JFB458896 JOX458888:JOX458896 JYT458888:JYT458896 KIP458888:KIP458896 KSL458888:KSL458896 LCH458888:LCH458896 LMD458888:LMD458896 LVZ458888:LVZ458896 MFV458888:MFV458896 MPR458888:MPR458896 MZN458888:MZN458896 NJJ458888:NJJ458896 NTF458888:NTF458896 ODB458888:ODB458896 OMX458888:OMX458896 OWT458888:OWT458896 PGP458888:PGP458896 PQL458888:PQL458896 QAH458888:QAH458896 QKD458888:QKD458896 QTZ458888:QTZ458896 RDV458888:RDV458896 RNR458888:RNR458896 RXN458888:RXN458896 SHJ458888:SHJ458896 SRF458888:SRF458896 TBB458888:TBB458896 TKX458888:TKX458896 TUT458888:TUT458896 UEP458888:UEP458896 UOL458888:UOL458896 UYH458888:UYH458896 VID458888:VID458896 VRZ458888:VRZ458896 WBV458888:WBV458896 WLR458888:WLR458896 WVN458888:WVN458896 E524425:E524433 JB524424:JB524432 SX524424:SX524432 ACT524424:ACT524432 AMP524424:AMP524432 AWL524424:AWL524432 BGH524424:BGH524432 BQD524424:BQD524432 BZZ524424:BZZ524432 CJV524424:CJV524432 CTR524424:CTR524432 DDN524424:DDN524432 DNJ524424:DNJ524432 DXF524424:DXF524432 EHB524424:EHB524432 EQX524424:EQX524432 FAT524424:FAT524432 FKP524424:FKP524432 FUL524424:FUL524432 GEH524424:GEH524432 GOD524424:GOD524432 GXZ524424:GXZ524432 HHV524424:HHV524432 HRR524424:HRR524432 IBN524424:IBN524432 ILJ524424:ILJ524432 IVF524424:IVF524432 JFB524424:JFB524432 JOX524424:JOX524432 JYT524424:JYT524432 KIP524424:KIP524432 KSL524424:KSL524432 LCH524424:LCH524432 LMD524424:LMD524432 LVZ524424:LVZ524432 MFV524424:MFV524432 MPR524424:MPR524432 MZN524424:MZN524432 NJJ524424:NJJ524432 NTF524424:NTF524432 ODB524424:ODB524432 OMX524424:OMX524432 OWT524424:OWT524432 PGP524424:PGP524432 PQL524424:PQL524432 QAH524424:QAH524432 QKD524424:QKD524432 QTZ524424:QTZ524432 RDV524424:RDV524432 RNR524424:RNR524432 RXN524424:RXN524432 SHJ524424:SHJ524432 SRF524424:SRF524432 TBB524424:TBB524432 TKX524424:TKX524432 TUT524424:TUT524432 UEP524424:UEP524432 UOL524424:UOL524432 UYH524424:UYH524432 VID524424:VID524432 VRZ524424:VRZ524432 WBV524424:WBV524432 WLR524424:WLR524432 WVN524424:WVN524432 E589961:E589969 JB589960:JB589968 SX589960:SX589968 ACT589960:ACT589968 AMP589960:AMP589968 AWL589960:AWL589968 BGH589960:BGH589968 BQD589960:BQD589968 BZZ589960:BZZ589968 CJV589960:CJV589968 CTR589960:CTR589968 DDN589960:DDN589968 DNJ589960:DNJ589968 DXF589960:DXF589968 EHB589960:EHB589968 EQX589960:EQX589968 FAT589960:FAT589968 FKP589960:FKP589968 FUL589960:FUL589968 GEH589960:GEH589968 GOD589960:GOD589968 GXZ589960:GXZ589968 HHV589960:HHV589968 HRR589960:HRR589968 IBN589960:IBN589968 ILJ589960:ILJ589968 IVF589960:IVF589968 JFB589960:JFB589968 JOX589960:JOX589968 JYT589960:JYT589968 KIP589960:KIP589968 KSL589960:KSL589968 LCH589960:LCH589968 LMD589960:LMD589968 LVZ589960:LVZ589968 MFV589960:MFV589968 MPR589960:MPR589968 MZN589960:MZN589968 NJJ589960:NJJ589968 NTF589960:NTF589968 ODB589960:ODB589968 OMX589960:OMX589968 OWT589960:OWT589968 PGP589960:PGP589968 PQL589960:PQL589968 QAH589960:QAH589968 QKD589960:QKD589968 QTZ589960:QTZ589968 RDV589960:RDV589968 RNR589960:RNR589968 RXN589960:RXN589968 SHJ589960:SHJ589968 SRF589960:SRF589968 TBB589960:TBB589968 TKX589960:TKX589968 TUT589960:TUT589968 UEP589960:UEP589968 UOL589960:UOL589968 UYH589960:UYH589968 VID589960:VID589968 VRZ589960:VRZ589968 WBV589960:WBV589968 WLR589960:WLR589968 WVN589960:WVN589968 E655497:E655505 JB655496:JB655504 SX655496:SX655504 ACT655496:ACT655504 AMP655496:AMP655504 AWL655496:AWL655504 BGH655496:BGH655504 BQD655496:BQD655504 BZZ655496:BZZ655504 CJV655496:CJV655504 CTR655496:CTR655504 DDN655496:DDN655504 DNJ655496:DNJ655504 DXF655496:DXF655504 EHB655496:EHB655504 EQX655496:EQX655504 FAT655496:FAT655504 FKP655496:FKP655504 FUL655496:FUL655504 GEH655496:GEH655504 GOD655496:GOD655504 GXZ655496:GXZ655504 HHV655496:HHV655504 HRR655496:HRR655504 IBN655496:IBN655504 ILJ655496:ILJ655504 IVF655496:IVF655504 JFB655496:JFB655504 JOX655496:JOX655504 JYT655496:JYT655504 KIP655496:KIP655504 KSL655496:KSL655504 LCH655496:LCH655504 LMD655496:LMD655504 LVZ655496:LVZ655504 MFV655496:MFV655504 MPR655496:MPR655504 MZN655496:MZN655504 NJJ655496:NJJ655504 NTF655496:NTF655504 ODB655496:ODB655504 OMX655496:OMX655504 OWT655496:OWT655504 PGP655496:PGP655504 PQL655496:PQL655504 QAH655496:QAH655504 QKD655496:QKD655504 QTZ655496:QTZ655504 RDV655496:RDV655504 RNR655496:RNR655504 RXN655496:RXN655504 SHJ655496:SHJ655504 SRF655496:SRF655504 TBB655496:TBB655504 TKX655496:TKX655504 TUT655496:TUT655504 UEP655496:UEP655504 UOL655496:UOL655504 UYH655496:UYH655504 VID655496:VID655504 VRZ655496:VRZ655504 WBV655496:WBV655504 WLR655496:WLR655504 WVN655496:WVN655504 E721033:E721041 JB721032:JB721040 SX721032:SX721040 ACT721032:ACT721040 AMP721032:AMP721040 AWL721032:AWL721040 BGH721032:BGH721040 BQD721032:BQD721040 BZZ721032:BZZ721040 CJV721032:CJV721040 CTR721032:CTR721040 DDN721032:DDN721040 DNJ721032:DNJ721040 DXF721032:DXF721040 EHB721032:EHB721040 EQX721032:EQX721040 FAT721032:FAT721040 FKP721032:FKP721040 FUL721032:FUL721040 GEH721032:GEH721040 GOD721032:GOD721040 GXZ721032:GXZ721040 HHV721032:HHV721040 HRR721032:HRR721040 IBN721032:IBN721040 ILJ721032:ILJ721040 IVF721032:IVF721040 JFB721032:JFB721040 JOX721032:JOX721040 JYT721032:JYT721040 KIP721032:KIP721040 KSL721032:KSL721040 LCH721032:LCH721040 LMD721032:LMD721040 LVZ721032:LVZ721040 MFV721032:MFV721040 MPR721032:MPR721040 MZN721032:MZN721040 NJJ721032:NJJ721040 NTF721032:NTF721040 ODB721032:ODB721040 OMX721032:OMX721040 OWT721032:OWT721040 PGP721032:PGP721040 PQL721032:PQL721040 QAH721032:QAH721040 QKD721032:QKD721040 QTZ721032:QTZ721040 RDV721032:RDV721040 RNR721032:RNR721040 RXN721032:RXN721040 SHJ721032:SHJ721040 SRF721032:SRF721040 TBB721032:TBB721040 TKX721032:TKX721040 TUT721032:TUT721040 UEP721032:UEP721040 UOL721032:UOL721040 UYH721032:UYH721040 VID721032:VID721040 VRZ721032:VRZ721040 WBV721032:WBV721040 WLR721032:WLR721040 WVN721032:WVN721040 E786569:E786577 JB786568:JB786576 SX786568:SX786576 ACT786568:ACT786576 AMP786568:AMP786576 AWL786568:AWL786576 BGH786568:BGH786576 BQD786568:BQD786576 BZZ786568:BZZ786576 CJV786568:CJV786576 CTR786568:CTR786576 DDN786568:DDN786576 DNJ786568:DNJ786576 DXF786568:DXF786576 EHB786568:EHB786576 EQX786568:EQX786576 FAT786568:FAT786576 FKP786568:FKP786576 FUL786568:FUL786576 GEH786568:GEH786576 GOD786568:GOD786576 GXZ786568:GXZ786576 HHV786568:HHV786576 HRR786568:HRR786576 IBN786568:IBN786576 ILJ786568:ILJ786576 IVF786568:IVF786576 JFB786568:JFB786576 JOX786568:JOX786576 JYT786568:JYT786576 KIP786568:KIP786576 KSL786568:KSL786576 LCH786568:LCH786576 LMD786568:LMD786576 LVZ786568:LVZ786576 MFV786568:MFV786576 MPR786568:MPR786576 MZN786568:MZN786576 NJJ786568:NJJ786576 NTF786568:NTF786576 ODB786568:ODB786576 OMX786568:OMX786576 OWT786568:OWT786576 PGP786568:PGP786576 PQL786568:PQL786576 QAH786568:QAH786576 QKD786568:QKD786576 QTZ786568:QTZ786576 RDV786568:RDV786576 RNR786568:RNR786576 RXN786568:RXN786576 SHJ786568:SHJ786576 SRF786568:SRF786576 TBB786568:TBB786576 TKX786568:TKX786576 TUT786568:TUT786576 UEP786568:UEP786576 UOL786568:UOL786576 UYH786568:UYH786576 VID786568:VID786576 VRZ786568:VRZ786576 WBV786568:WBV786576 WLR786568:WLR786576 WVN786568:WVN786576 E852105:E852113 JB852104:JB852112 SX852104:SX852112 ACT852104:ACT852112 AMP852104:AMP852112 AWL852104:AWL852112 BGH852104:BGH852112 BQD852104:BQD852112 BZZ852104:BZZ852112 CJV852104:CJV852112 CTR852104:CTR852112 DDN852104:DDN852112 DNJ852104:DNJ852112 DXF852104:DXF852112 EHB852104:EHB852112 EQX852104:EQX852112 FAT852104:FAT852112 FKP852104:FKP852112 FUL852104:FUL852112 GEH852104:GEH852112 GOD852104:GOD852112 GXZ852104:GXZ852112 HHV852104:HHV852112 HRR852104:HRR852112 IBN852104:IBN852112 ILJ852104:ILJ852112 IVF852104:IVF852112 JFB852104:JFB852112 JOX852104:JOX852112 JYT852104:JYT852112 KIP852104:KIP852112 KSL852104:KSL852112 LCH852104:LCH852112 LMD852104:LMD852112 LVZ852104:LVZ852112 MFV852104:MFV852112 MPR852104:MPR852112 MZN852104:MZN852112 NJJ852104:NJJ852112 NTF852104:NTF852112 ODB852104:ODB852112 OMX852104:OMX852112 OWT852104:OWT852112 PGP852104:PGP852112 PQL852104:PQL852112 QAH852104:QAH852112 QKD852104:QKD852112 QTZ852104:QTZ852112 RDV852104:RDV852112 RNR852104:RNR852112 RXN852104:RXN852112 SHJ852104:SHJ852112 SRF852104:SRF852112 TBB852104:TBB852112 TKX852104:TKX852112 TUT852104:TUT852112 UEP852104:UEP852112 UOL852104:UOL852112 UYH852104:UYH852112 VID852104:VID852112 VRZ852104:VRZ852112 WBV852104:WBV852112 WLR852104:WLR852112 WVN852104:WVN852112 E917641:E917649 JB917640:JB917648 SX917640:SX917648 ACT917640:ACT917648 AMP917640:AMP917648 AWL917640:AWL917648 BGH917640:BGH917648 BQD917640:BQD917648 BZZ917640:BZZ917648 CJV917640:CJV917648 CTR917640:CTR917648 DDN917640:DDN917648 DNJ917640:DNJ917648 DXF917640:DXF917648 EHB917640:EHB917648 EQX917640:EQX917648 FAT917640:FAT917648 FKP917640:FKP917648 FUL917640:FUL917648 GEH917640:GEH917648 GOD917640:GOD917648 GXZ917640:GXZ917648 HHV917640:HHV917648 HRR917640:HRR917648 IBN917640:IBN917648 ILJ917640:ILJ917648 IVF917640:IVF917648 JFB917640:JFB917648 JOX917640:JOX917648 JYT917640:JYT917648 KIP917640:KIP917648 KSL917640:KSL917648 LCH917640:LCH917648 LMD917640:LMD917648 LVZ917640:LVZ917648 MFV917640:MFV917648 MPR917640:MPR917648 MZN917640:MZN917648 NJJ917640:NJJ917648 NTF917640:NTF917648 ODB917640:ODB917648 OMX917640:OMX917648 OWT917640:OWT917648 PGP917640:PGP917648 PQL917640:PQL917648 QAH917640:QAH917648 QKD917640:QKD917648 QTZ917640:QTZ917648 RDV917640:RDV917648 RNR917640:RNR917648 RXN917640:RXN917648 SHJ917640:SHJ917648 SRF917640:SRF917648 TBB917640:TBB917648 TKX917640:TKX917648 TUT917640:TUT917648 UEP917640:UEP917648 UOL917640:UOL917648 UYH917640:UYH917648 VID917640:VID917648 VRZ917640:VRZ917648 WBV917640:WBV917648 WLR917640:WLR917648 WVN917640:WVN917648 E983177:E983185 JB983176:JB983184 SX983176:SX983184 ACT983176:ACT983184 AMP983176:AMP983184 AWL983176:AWL983184 BGH983176:BGH983184 BQD983176:BQD983184 BZZ983176:BZZ983184 CJV983176:CJV983184 CTR983176:CTR983184 DDN983176:DDN983184 DNJ983176:DNJ983184 DXF983176:DXF983184 EHB983176:EHB983184 EQX983176:EQX983184 FAT983176:FAT983184 FKP983176:FKP983184 FUL983176:FUL983184 GEH983176:GEH983184 GOD983176:GOD983184 GXZ983176:GXZ983184 HHV983176:HHV983184 HRR983176:HRR983184 IBN983176:IBN983184 ILJ983176:ILJ983184 IVF983176:IVF983184 JFB983176:JFB983184 JOX983176:JOX983184 JYT983176:JYT983184 KIP983176:KIP983184 KSL983176:KSL983184 LCH983176:LCH983184 LMD983176:LMD983184 LVZ983176:LVZ983184 MFV983176:MFV983184 MPR983176:MPR983184 MZN983176:MZN983184 NJJ983176:NJJ983184 NTF983176:NTF983184 ODB983176:ODB983184 OMX983176:OMX983184 OWT983176:OWT983184 PGP983176:PGP983184 PQL983176:PQL983184 QAH983176:QAH983184 QKD983176:QKD983184 QTZ983176:QTZ983184 RDV983176:RDV983184 RNR983176:RNR983184 RXN983176:RXN983184 SHJ983176:SHJ983184 SRF983176:SRF983184 TBB983176:TBB983184 TKX983176:TKX983184 TUT983176:TUT983184 UEP983176:UEP983184 UOL983176:UOL983184 UYH983176:UYH983184 VID983176:VID983184 VRZ983176:VRZ983184 WBV983176:WBV983184 WLR983176:WLR983184 E63:E98" xr:uid="{00000000-0002-0000-0500-000003000000}"/>
    <dataValidation allowBlank="1" showInputMessage="1" showErrorMessage="1" prompt="ingrese el valor del Factor Prestacional asignado para el personal." sqref="WVO983176:WVO983184 JC12:JC60 SY12:SY60 ACU12:ACU60 AMQ12:AMQ60 AWM12:AWM60 BGI12:BGI60 BQE12:BQE60 CAA12:CAA60 CJW12:CJW60 CTS12:CTS60 DDO12:DDO60 DNK12:DNK60 DXG12:DXG60 EHC12:EHC60 EQY12:EQY60 FAU12:FAU60 FKQ12:FKQ60 FUM12:FUM60 GEI12:GEI60 GOE12:GOE60 GYA12:GYA60 HHW12:HHW60 HRS12:HRS60 IBO12:IBO60 ILK12:ILK60 IVG12:IVG60 JFC12:JFC60 JOY12:JOY60 JYU12:JYU60 KIQ12:KIQ60 KSM12:KSM60 LCI12:LCI60 LME12:LME60 LWA12:LWA60 MFW12:MFW60 MPS12:MPS60 MZO12:MZO60 NJK12:NJK60 NTG12:NTG60 ODC12:ODC60 OMY12:OMY60 OWU12:OWU60 PGQ12:PGQ60 PQM12:PQM60 QAI12:QAI60 QKE12:QKE60 QUA12:QUA60 RDW12:RDW60 RNS12:RNS60 RXO12:RXO60 SHK12:SHK60 SRG12:SRG60 TBC12:TBC60 TKY12:TKY60 TUU12:TUU60 UEQ12:UEQ60 UOM12:UOM60 UYI12:UYI60 VIE12:VIE60 VSA12:VSA60 WBW12:WBW60 WLS12:WLS60 WVO12:WVO60 F65662:G65670 JC65661:JC65669 SY65661:SY65669 ACU65661:ACU65669 AMQ65661:AMQ65669 AWM65661:AWM65669 BGI65661:BGI65669 BQE65661:BQE65669 CAA65661:CAA65669 CJW65661:CJW65669 CTS65661:CTS65669 DDO65661:DDO65669 DNK65661:DNK65669 DXG65661:DXG65669 EHC65661:EHC65669 EQY65661:EQY65669 FAU65661:FAU65669 FKQ65661:FKQ65669 FUM65661:FUM65669 GEI65661:GEI65669 GOE65661:GOE65669 GYA65661:GYA65669 HHW65661:HHW65669 HRS65661:HRS65669 IBO65661:IBO65669 ILK65661:ILK65669 IVG65661:IVG65669 JFC65661:JFC65669 JOY65661:JOY65669 JYU65661:JYU65669 KIQ65661:KIQ65669 KSM65661:KSM65669 LCI65661:LCI65669 LME65661:LME65669 LWA65661:LWA65669 MFW65661:MFW65669 MPS65661:MPS65669 MZO65661:MZO65669 NJK65661:NJK65669 NTG65661:NTG65669 ODC65661:ODC65669 OMY65661:OMY65669 OWU65661:OWU65669 PGQ65661:PGQ65669 PQM65661:PQM65669 QAI65661:QAI65669 QKE65661:QKE65669 QUA65661:QUA65669 RDW65661:RDW65669 RNS65661:RNS65669 RXO65661:RXO65669 SHK65661:SHK65669 SRG65661:SRG65669 TBC65661:TBC65669 TKY65661:TKY65669 TUU65661:TUU65669 UEQ65661:UEQ65669 UOM65661:UOM65669 UYI65661:UYI65669 VIE65661:VIE65669 VSA65661:VSA65669 WBW65661:WBW65669 WLS65661:WLS65669 WVO65661:WVO65669 F131198:G131206 JC131197:JC131205 SY131197:SY131205 ACU131197:ACU131205 AMQ131197:AMQ131205 AWM131197:AWM131205 BGI131197:BGI131205 BQE131197:BQE131205 CAA131197:CAA131205 CJW131197:CJW131205 CTS131197:CTS131205 DDO131197:DDO131205 DNK131197:DNK131205 DXG131197:DXG131205 EHC131197:EHC131205 EQY131197:EQY131205 FAU131197:FAU131205 FKQ131197:FKQ131205 FUM131197:FUM131205 GEI131197:GEI131205 GOE131197:GOE131205 GYA131197:GYA131205 HHW131197:HHW131205 HRS131197:HRS131205 IBO131197:IBO131205 ILK131197:ILK131205 IVG131197:IVG131205 JFC131197:JFC131205 JOY131197:JOY131205 JYU131197:JYU131205 KIQ131197:KIQ131205 KSM131197:KSM131205 LCI131197:LCI131205 LME131197:LME131205 LWA131197:LWA131205 MFW131197:MFW131205 MPS131197:MPS131205 MZO131197:MZO131205 NJK131197:NJK131205 NTG131197:NTG131205 ODC131197:ODC131205 OMY131197:OMY131205 OWU131197:OWU131205 PGQ131197:PGQ131205 PQM131197:PQM131205 QAI131197:QAI131205 QKE131197:QKE131205 QUA131197:QUA131205 RDW131197:RDW131205 RNS131197:RNS131205 RXO131197:RXO131205 SHK131197:SHK131205 SRG131197:SRG131205 TBC131197:TBC131205 TKY131197:TKY131205 TUU131197:TUU131205 UEQ131197:UEQ131205 UOM131197:UOM131205 UYI131197:UYI131205 VIE131197:VIE131205 VSA131197:VSA131205 WBW131197:WBW131205 WLS131197:WLS131205 WVO131197:WVO131205 F196734:G196742 JC196733:JC196741 SY196733:SY196741 ACU196733:ACU196741 AMQ196733:AMQ196741 AWM196733:AWM196741 BGI196733:BGI196741 BQE196733:BQE196741 CAA196733:CAA196741 CJW196733:CJW196741 CTS196733:CTS196741 DDO196733:DDO196741 DNK196733:DNK196741 DXG196733:DXG196741 EHC196733:EHC196741 EQY196733:EQY196741 FAU196733:FAU196741 FKQ196733:FKQ196741 FUM196733:FUM196741 GEI196733:GEI196741 GOE196733:GOE196741 GYA196733:GYA196741 HHW196733:HHW196741 HRS196733:HRS196741 IBO196733:IBO196741 ILK196733:ILK196741 IVG196733:IVG196741 JFC196733:JFC196741 JOY196733:JOY196741 JYU196733:JYU196741 KIQ196733:KIQ196741 KSM196733:KSM196741 LCI196733:LCI196741 LME196733:LME196741 LWA196733:LWA196741 MFW196733:MFW196741 MPS196733:MPS196741 MZO196733:MZO196741 NJK196733:NJK196741 NTG196733:NTG196741 ODC196733:ODC196741 OMY196733:OMY196741 OWU196733:OWU196741 PGQ196733:PGQ196741 PQM196733:PQM196741 QAI196733:QAI196741 QKE196733:QKE196741 QUA196733:QUA196741 RDW196733:RDW196741 RNS196733:RNS196741 RXO196733:RXO196741 SHK196733:SHK196741 SRG196733:SRG196741 TBC196733:TBC196741 TKY196733:TKY196741 TUU196733:TUU196741 UEQ196733:UEQ196741 UOM196733:UOM196741 UYI196733:UYI196741 VIE196733:VIE196741 VSA196733:VSA196741 WBW196733:WBW196741 WLS196733:WLS196741 WVO196733:WVO196741 F262270:G262278 JC262269:JC262277 SY262269:SY262277 ACU262269:ACU262277 AMQ262269:AMQ262277 AWM262269:AWM262277 BGI262269:BGI262277 BQE262269:BQE262277 CAA262269:CAA262277 CJW262269:CJW262277 CTS262269:CTS262277 DDO262269:DDO262277 DNK262269:DNK262277 DXG262269:DXG262277 EHC262269:EHC262277 EQY262269:EQY262277 FAU262269:FAU262277 FKQ262269:FKQ262277 FUM262269:FUM262277 GEI262269:GEI262277 GOE262269:GOE262277 GYA262269:GYA262277 HHW262269:HHW262277 HRS262269:HRS262277 IBO262269:IBO262277 ILK262269:ILK262277 IVG262269:IVG262277 JFC262269:JFC262277 JOY262269:JOY262277 JYU262269:JYU262277 KIQ262269:KIQ262277 KSM262269:KSM262277 LCI262269:LCI262277 LME262269:LME262277 LWA262269:LWA262277 MFW262269:MFW262277 MPS262269:MPS262277 MZO262269:MZO262277 NJK262269:NJK262277 NTG262269:NTG262277 ODC262269:ODC262277 OMY262269:OMY262277 OWU262269:OWU262277 PGQ262269:PGQ262277 PQM262269:PQM262277 QAI262269:QAI262277 QKE262269:QKE262277 QUA262269:QUA262277 RDW262269:RDW262277 RNS262269:RNS262277 RXO262269:RXO262277 SHK262269:SHK262277 SRG262269:SRG262277 TBC262269:TBC262277 TKY262269:TKY262277 TUU262269:TUU262277 UEQ262269:UEQ262277 UOM262269:UOM262277 UYI262269:UYI262277 VIE262269:VIE262277 VSA262269:VSA262277 WBW262269:WBW262277 WLS262269:WLS262277 WVO262269:WVO262277 F327806:G327814 JC327805:JC327813 SY327805:SY327813 ACU327805:ACU327813 AMQ327805:AMQ327813 AWM327805:AWM327813 BGI327805:BGI327813 BQE327805:BQE327813 CAA327805:CAA327813 CJW327805:CJW327813 CTS327805:CTS327813 DDO327805:DDO327813 DNK327805:DNK327813 DXG327805:DXG327813 EHC327805:EHC327813 EQY327805:EQY327813 FAU327805:FAU327813 FKQ327805:FKQ327813 FUM327805:FUM327813 GEI327805:GEI327813 GOE327805:GOE327813 GYA327805:GYA327813 HHW327805:HHW327813 HRS327805:HRS327813 IBO327805:IBO327813 ILK327805:ILK327813 IVG327805:IVG327813 JFC327805:JFC327813 JOY327805:JOY327813 JYU327805:JYU327813 KIQ327805:KIQ327813 KSM327805:KSM327813 LCI327805:LCI327813 LME327805:LME327813 LWA327805:LWA327813 MFW327805:MFW327813 MPS327805:MPS327813 MZO327805:MZO327813 NJK327805:NJK327813 NTG327805:NTG327813 ODC327805:ODC327813 OMY327805:OMY327813 OWU327805:OWU327813 PGQ327805:PGQ327813 PQM327805:PQM327813 QAI327805:QAI327813 QKE327805:QKE327813 QUA327805:QUA327813 RDW327805:RDW327813 RNS327805:RNS327813 RXO327805:RXO327813 SHK327805:SHK327813 SRG327805:SRG327813 TBC327805:TBC327813 TKY327805:TKY327813 TUU327805:TUU327813 UEQ327805:UEQ327813 UOM327805:UOM327813 UYI327805:UYI327813 VIE327805:VIE327813 VSA327805:VSA327813 WBW327805:WBW327813 WLS327805:WLS327813 WVO327805:WVO327813 F393342:G393350 JC393341:JC393349 SY393341:SY393349 ACU393341:ACU393349 AMQ393341:AMQ393349 AWM393341:AWM393349 BGI393341:BGI393349 BQE393341:BQE393349 CAA393341:CAA393349 CJW393341:CJW393349 CTS393341:CTS393349 DDO393341:DDO393349 DNK393341:DNK393349 DXG393341:DXG393349 EHC393341:EHC393349 EQY393341:EQY393349 FAU393341:FAU393349 FKQ393341:FKQ393349 FUM393341:FUM393349 GEI393341:GEI393349 GOE393341:GOE393349 GYA393341:GYA393349 HHW393341:HHW393349 HRS393341:HRS393349 IBO393341:IBO393349 ILK393341:ILK393349 IVG393341:IVG393349 JFC393341:JFC393349 JOY393341:JOY393349 JYU393341:JYU393349 KIQ393341:KIQ393349 KSM393341:KSM393349 LCI393341:LCI393349 LME393341:LME393349 LWA393341:LWA393349 MFW393341:MFW393349 MPS393341:MPS393349 MZO393341:MZO393349 NJK393341:NJK393349 NTG393341:NTG393349 ODC393341:ODC393349 OMY393341:OMY393349 OWU393341:OWU393349 PGQ393341:PGQ393349 PQM393341:PQM393349 QAI393341:QAI393349 QKE393341:QKE393349 QUA393341:QUA393349 RDW393341:RDW393349 RNS393341:RNS393349 RXO393341:RXO393349 SHK393341:SHK393349 SRG393341:SRG393349 TBC393341:TBC393349 TKY393341:TKY393349 TUU393341:TUU393349 UEQ393341:UEQ393349 UOM393341:UOM393349 UYI393341:UYI393349 VIE393341:VIE393349 VSA393341:VSA393349 WBW393341:WBW393349 WLS393341:WLS393349 WVO393341:WVO393349 F458878:G458886 JC458877:JC458885 SY458877:SY458885 ACU458877:ACU458885 AMQ458877:AMQ458885 AWM458877:AWM458885 BGI458877:BGI458885 BQE458877:BQE458885 CAA458877:CAA458885 CJW458877:CJW458885 CTS458877:CTS458885 DDO458877:DDO458885 DNK458877:DNK458885 DXG458877:DXG458885 EHC458877:EHC458885 EQY458877:EQY458885 FAU458877:FAU458885 FKQ458877:FKQ458885 FUM458877:FUM458885 GEI458877:GEI458885 GOE458877:GOE458885 GYA458877:GYA458885 HHW458877:HHW458885 HRS458877:HRS458885 IBO458877:IBO458885 ILK458877:ILK458885 IVG458877:IVG458885 JFC458877:JFC458885 JOY458877:JOY458885 JYU458877:JYU458885 KIQ458877:KIQ458885 KSM458877:KSM458885 LCI458877:LCI458885 LME458877:LME458885 LWA458877:LWA458885 MFW458877:MFW458885 MPS458877:MPS458885 MZO458877:MZO458885 NJK458877:NJK458885 NTG458877:NTG458885 ODC458877:ODC458885 OMY458877:OMY458885 OWU458877:OWU458885 PGQ458877:PGQ458885 PQM458877:PQM458885 QAI458877:QAI458885 QKE458877:QKE458885 QUA458877:QUA458885 RDW458877:RDW458885 RNS458877:RNS458885 RXO458877:RXO458885 SHK458877:SHK458885 SRG458877:SRG458885 TBC458877:TBC458885 TKY458877:TKY458885 TUU458877:TUU458885 UEQ458877:UEQ458885 UOM458877:UOM458885 UYI458877:UYI458885 VIE458877:VIE458885 VSA458877:VSA458885 WBW458877:WBW458885 WLS458877:WLS458885 WVO458877:WVO458885 F524414:G524422 JC524413:JC524421 SY524413:SY524421 ACU524413:ACU524421 AMQ524413:AMQ524421 AWM524413:AWM524421 BGI524413:BGI524421 BQE524413:BQE524421 CAA524413:CAA524421 CJW524413:CJW524421 CTS524413:CTS524421 DDO524413:DDO524421 DNK524413:DNK524421 DXG524413:DXG524421 EHC524413:EHC524421 EQY524413:EQY524421 FAU524413:FAU524421 FKQ524413:FKQ524421 FUM524413:FUM524421 GEI524413:GEI524421 GOE524413:GOE524421 GYA524413:GYA524421 HHW524413:HHW524421 HRS524413:HRS524421 IBO524413:IBO524421 ILK524413:ILK524421 IVG524413:IVG524421 JFC524413:JFC524421 JOY524413:JOY524421 JYU524413:JYU524421 KIQ524413:KIQ524421 KSM524413:KSM524421 LCI524413:LCI524421 LME524413:LME524421 LWA524413:LWA524421 MFW524413:MFW524421 MPS524413:MPS524421 MZO524413:MZO524421 NJK524413:NJK524421 NTG524413:NTG524421 ODC524413:ODC524421 OMY524413:OMY524421 OWU524413:OWU524421 PGQ524413:PGQ524421 PQM524413:PQM524421 QAI524413:QAI524421 QKE524413:QKE524421 QUA524413:QUA524421 RDW524413:RDW524421 RNS524413:RNS524421 RXO524413:RXO524421 SHK524413:SHK524421 SRG524413:SRG524421 TBC524413:TBC524421 TKY524413:TKY524421 TUU524413:TUU524421 UEQ524413:UEQ524421 UOM524413:UOM524421 UYI524413:UYI524421 VIE524413:VIE524421 VSA524413:VSA524421 WBW524413:WBW524421 WLS524413:WLS524421 WVO524413:WVO524421 F589950:G589958 JC589949:JC589957 SY589949:SY589957 ACU589949:ACU589957 AMQ589949:AMQ589957 AWM589949:AWM589957 BGI589949:BGI589957 BQE589949:BQE589957 CAA589949:CAA589957 CJW589949:CJW589957 CTS589949:CTS589957 DDO589949:DDO589957 DNK589949:DNK589957 DXG589949:DXG589957 EHC589949:EHC589957 EQY589949:EQY589957 FAU589949:FAU589957 FKQ589949:FKQ589957 FUM589949:FUM589957 GEI589949:GEI589957 GOE589949:GOE589957 GYA589949:GYA589957 HHW589949:HHW589957 HRS589949:HRS589957 IBO589949:IBO589957 ILK589949:ILK589957 IVG589949:IVG589957 JFC589949:JFC589957 JOY589949:JOY589957 JYU589949:JYU589957 KIQ589949:KIQ589957 KSM589949:KSM589957 LCI589949:LCI589957 LME589949:LME589957 LWA589949:LWA589957 MFW589949:MFW589957 MPS589949:MPS589957 MZO589949:MZO589957 NJK589949:NJK589957 NTG589949:NTG589957 ODC589949:ODC589957 OMY589949:OMY589957 OWU589949:OWU589957 PGQ589949:PGQ589957 PQM589949:PQM589957 QAI589949:QAI589957 QKE589949:QKE589957 QUA589949:QUA589957 RDW589949:RDW589957 RNS589949:RNS589957 RXO589949:RXO589957 SHK589949:SHK589957 SRG589949:SRG589957 TBC589949:TBC589957 TKY589949:TKY589957 TUU589949:TUU589957 UEQ589949:UEQ589957 UOM589949:UOM589957 UYI589949:UYI589957 VIE589949:VIE589957 VSA589949:VSA589957 WBW589949:WBW589957 WLS589949:WLS589957 WVO589949:WVO589957 F655486:G655494 JC655485:JC655493 SY655485:SY655493 ACU655485:ACU655493 AMQ655485:AMQ655493 AWM655485:AWM655493 BGI655485:BGI655493 BQE655485:BQE655493 CAA655485:CAA655493 CJW655485:CJW655493 CTS655485:CTS655493 DDO655485:DDO655493 DNK655485:DNK655493 DXG655485:DXG655493 EHC655485:EHC655493 EQY655485:EQY655493 FAU655485:FAU655493 FKQ655485:FKQ655493 FUM655485:FUM655493 GEI655485:GEI655493 GOE655485:GOE655493 GYA655485:GYA655493 HHW655485:HHW655493 HRS655485:HRS655493 IBO655485:IBO655493 ILK655485:ILK655493 IVG655485:IVG655493 JFC655485:JFC655493 JOY655485:JOY655493 JYU655485:JYU655493 KIQ655485:KIQ655493 KSM655485:KSM655493 LCI655485:LCI655493 LME655485:LME655493 LWA655485:LWA655493 MFW655485:MFW655493 MPS655485:MPS655493 MZO655485:MZO655493 NJK655485:NJK655493 NTG655485:NTG655493 ODC655485:ODC655493 OMY655485:OMY655493 OWU655485:OWU655493 PGQ655485:PGQ655493 PQM655485:PQM655493 QAI655485:QAI655493 QKE655485:QKE655493 QUA655485:QUA655493 RDW655485:RDW655493 RNS655485:RNS655493 RXO655485:RXO655493 SHK655485:SHK655493 SRG655485:SRG655493 TBC655485:TBC655493 TKY655485:TKY655493 TUU655485:TUU655493 UEQ655485:UEQ655493 UOM655485:UOM655493 UYI655485:UYI655493 VIE655485:VIE655493 VSA655485:VSA655493 WBW655485:WBW655493 WLS655485:WLS655493 WVO655485:WVO655493 F721022:G721030 JC721021:JC721029 SY721021:SY721029 ACU721021:ACU721029 AMQ721021:AMQ721029 AWM721021:AWM721029 BGI721021:BGI721029 BQE721021:BQE721029 CAA721021:CAA721029 CJW721021:CJW721029 CTS721021:CTS721029 DDO721021:DDO721029 DNK721021:DNK721029 DXG721021:DXG721029 EHC721021:EHC721029 EQY721021:EQY721029 FAU721021:FAU721029 FKQ721021:FKQ721029 FUM721021:FUM721029 GEI721021:GEI721029 GOE721021:GOE721029 GYA721021:GYA721029 HHW721021:HHW721029 HRS721021:HRS721029 IBO721021:IBO721029 ILK721021:ILK721029 IVG721021:IVG721029 JFC721021:JFC721029 JOY721021:JOY721029 JYU721021:JYU721029 KIQ721021:KIQ721029 KSM721021:KSM721029 LCI721021:LCI721029 LME721021:LME721029 LWA721021:LWA721029 MFW721021:MFW721029 MPS721021:MPS721029 MZO721021:MZO721029 NJK721021:NJK721029 NTG721021:NTG721029 ODC721021:ODC721029 OMY721021:OMY721029 OWU721021:OWU721029 PGQ721021:PGQ721029 PQM721021:PQM721029 QAI721021:QAI721029 QKE721021:QKE721029 QUA721021:QUA721029 RDW721021:RDW721029 RNS721021:RNS721029 RXO721021:RXO721029 SHK721021:SHK721029 SRG721021:SRG721029 TBC721021:TBC721029 TKY721021:TKY721029 TUU721021:TUU721029 UEQ721021:UEQ721029 UOM721021:UOM721029 UYI721021:UYI721029 VIE721021:VIE721029 VSA721021:VSA721029 WBW721021:WBW721029 WLS721021:WLS721029 WVO721021:WVO721029 F786558:G786566 JC786557:JC786565 SY786557:SY786565 ACU786557:ACU786565 AMQ786557:AMQ786565 AWM786557:AWM786565 BGI786557:BGI786565 BQE786557:BQE786565 CAA786557:CAA786565 CJW786557:CJW786565 CTS786557:CTS786565 DDO786557:DDO786565 DNK786557:DNK786565 DXG786557:DXG786565 EHC786557:EHC786565 EQY786557:EQY786565 FAU786557:FAU786565 FKQ786557:FKQ786565 FUM786557:FUM786565 GEI786557:GEI786565 GOE786557:GOE786565 GYA786557:GYA786565 HHW786557:HHW786565 HRS786557:HRS786565 IBO786557:IBO786565 ILK786557:ILK786565 IVG786557:IVG786565 JFC786557:JFC786565 JOY786557:JOY786565 JYU786557:JYU786565 KIQ786557:KIQ786565 KSM786557:KSM786565 LCI786557:LCI786565 LME786557:LME786565 LWA786557:LWA786565 MFW786557:MFW786565 MPS786557:MPS786565 MZO786557:MZO786565 NJK786557:NJK786565 NTG786557:NTG786565 ODC786557:ODC786565 OMY786557:OMY786565 OWU786557:OWU786565 PGQ786557:PGQ786565 PQM786557:PQM786565 QAI786557:QAI786565 QKE786557:QKE786565 QUA786557:QUA786565 RDW786557:RDW786565 RNS786557:RNS786565 RXO786557:RXO786565 SHK786557:SHK786565 SRG786557:SRG786565 TBC786557:TBC786565 TKY786557:TKY786565 TUU786557:TUU786565 UEQ786557:UEQ786565 UOM786557:UOM786565 UYI786557:UYI786565 VIE786557:VIE786565 VSA786557:VSA786565 WBW786557:WBW786565 WLS786557:WLS786565 WVO786557:WVO786565 F852094:G852102 JC852093:JC852101 SY852093:SY852101 ACU852093:ACU852101 AMQ852093:AMQ852101 AWM852093:AWM852101 BGI852093:BGI852101 BQE852093:BQE852101 CAA852093:CAA852101 CJW852093:CJW852101 CTS852093:CTS852101 DDO852093:DDO852101 DNK852093:DNK852101 DXG852093:DXG852101 EHC852093:EHC852101 EQY852093:EQY852101 FAU852093:FAU852101 FKQ852093:FKQ852101 FUM852093:FUM852101 GEI852093:GEI852101 GOE852093:GOE852101 GYA852093:GYA852101 HHW852093:HHW852101 HRS852093:HRS852101 IBO852093:IBO852101 ILK852093:ILK852101 IVG852093:IVG852101 JFC852093:JFC852101 JOY852093:JOY852101 JYU852093:JYU852101 KIQ852093:KIQ852101 KSM852093:KSM852101 LCI852093:LCI852101 LME852093:LME852101 LWA852093:LWA852101 MFW852093:MFW852101 MPS852093:MPS852101 MZO852093:MZO852101 NJK852093:NJK852101 NTG852093:NTG852101 ODC852093:ODC852101 OMY852093:OMY852101 OWU852093:OWU852101 PGQ852093:PGQ852101 PQM852093:PQM852101 QAI852093:QAI852101 QKE852093:QKE852101 QUA852093:QUA852101 RDW852093:RDW852101 RNS852093:RNS852101 RXO852093:RXO852101 SHK852093:SHK852101 SRG852093:SRG852101 TBC852093:TBC852101 TKY852093:TKY852101 TUU852093:TUU852101 UEQ852093:UEQ852101 UOM852093:UOM852101 UYI852093:UYI852101 VIE852093:VIE852101 VSA852093:VSA852101 WBW852093:WBW852101 WLS852093:WLS852101 WVO852093:WVO852101 F917630:G917638 JC917629:JC917637 SY917629:SY917637 ACU917629:ACU917637 AMQ917629:AMQ917637 AWM917629:AWM917637 BGI917629:BGI917637 BQE917629:BQE917637 CAA917629:CAA917637 CJW917629:CJW917637 CTS917629:CTS917637 DDO917629:DDO917637 DNK917629:DNK917637 DXG917629:DXG917637 EHC917629:EHC917637 EQY917629:EQY917637 FAU917629:FAU917637 FKQ917629:FKQ917637 FUM917629:FUM917637 GEI917629:GEI917637 GOE917629:GOE917637 GYA917629:GYA917637 HHW917629:HHW917637 HRS917629:HRS917637 IBO917629:IBO917637 ILK917629:ILK917637 IVG917629:IVG917637 JFC917629:JFC917637 JOY917629:JOY917637 JYU917629:JYU917637 KIQ917629:KIQ917637 KSM917629:KSM917637 LCI917629:LCI917637 LME917629:LME917637 LWA917629:LWA917637 MFW917629:MFW917637 MPS917629:MPS917637 MZO917629:MZO917637 NJK917629:NJK917637 NTG917629:NTG917637 ODC917629:ODC917637 OMY917629:OMY917637 OWU917629:OWU917637 PGQ917629:PGQ917637 PQM917629:PQM917637 QAI917629:QAI917637 QKE917629:QKE917637 QUA917629:QUA917637 RDW917629:RDW917637 RNS917629:RNS917637 RXO917629:RXO917637 SHK917629:SHK917637 SRG917629:SRG917637 TBC917629:TBC917637 TKY917629:TKY917637 TUU917629:TUU917637 UEQ917629:UEQ917637 UOM917629:UOM917637 UYI917629:UYI917637 VIE917629:VIE917637 VSA917629:VSA917637 WBW917629:WBW917637 WLS917629:WLS917637 WVO917629:WVO917637 F983166:G983174 JC983165:JC983173 SY983165:SY983173 ACU983165:ACU983173 AMQ983165:AMQ983173 AWM983165:AWM983173 BGI983165:BGI983173 BQE983165:BQE983173 CAA983165:CAA983173 CJW983165:CJW983173 CTS983165:CTS983173 DDO983165:DDO983173 DNK983165:DNK983173 DXG983165:DXG983173 EHC983165:EHC983173 EQY983165:EQY983173 FAU983165:FAU983173 FKQ983165:FKQ983173 FUM983165:FUM983173 GEI983165:GEI983173 GOE983165:GOE983173 GYA983165:GYA983173 HHW983165:HHW983173 HRS983165:HRS983173 IBO983165:IBO983173 ILK983165:ILK983173 IVG983165:IVG983173 JFC983165:JFC983173 JOY983165:JOY983173 JYU983165:JYU983173 KIQ983165:KIQ983173 KSM983165:KSM983173 LCI983165:LCI983173 LME983165:LME983173 LWA983165:LWA983173 MFW983165:MFW983173 MPS983165:MPS983173 MZO983165:MZO983173 NJK983165:NJK983173 NTG983165:NTG983173 ODC983165:ODC983173 OMY983165:OMY983173 OWU983165:OWU983173 PGQ983165:PGQ983173 PQM983165:PQM983173 QAI983165:QAI983173 QKE983165:QKE983173 QUA983165:QUA983173 RDW983165:RDW983173 RNS983165:RNS983173 RXO983165:RXO983173 SHK983165:SHK983173 SRG983165:SRG983173 TBC983165:TBC983173 TKY983165:TKY983173 TUU983165:TUU983173 UEQ983165:UEQ983173 UOM983165:UOM983173 UYI983165:UYI983173 VIE983165:VIE983173 VSA983165:VSA983173 WBW983165:WBW983173 WLS983165:WLS983173 WVO983165:WVO983173 F12:G60 JC63:JC98 SY63:SY98 ACU63:ACU98 AMQ63:AMQ98 AWM63:AWM98 BGI63:BGI98 BQE63:BQE98 CAA63:CAA98 CJW63:CJW98 CTS63:CTS98 DDO63:DDO98 DNK63:DNK98 DXG63:DXG98 EHC63:EHC98 EQY63:EQY98 FAU63:FAU98 FKQ63:FKQ98 FUM63:FUM98 GEI63:GEI98 GOE63:GOE98 GYA63:GYA98 HHW63:HHW98 HRS63:HRS98 IBO63:IBO98 ILK63:ILK98 IVG63:IVG98 JFC63:JFC98 JOY63:JOY98 JYU63:JYU98 KIQ63:KIQ98 KSM63:KSM98 LCI63:LCI98 LME63:LME98 LWA63:LWA98 MFW63:MFW98 MPS63:MPS98 MZO63:MZO98 NJK63:NJK98 NTG63:NTG98 ODC63:ODC98 OMY63:OMY98 OWU63:OWU98 PGQ63:PGQ98 PQM63:PQM98 QAI63:QAI98 QKE63:QKE98 QUA63:QUA98 RDW63:RDW98 RNS63:RNS98 RXO63:RXO98 SHK63:SHK98 SRG63:SRG98 TBC63:TBC98 TKY63:TKY98 TUU63:TUU98 UEQ63:UEQ98 UOM63:UOM98 UYI63:UYI98 VIE63:VIE98 VSA63:VSA98 WBW63:WBW98 WLS63:WLS98 WVO63:WVO98 F65673:G65681 JC65672:JC65680 SY65672:SY65680 ACU65672:ACU65680 AMQ65672:AMQ65680 AWM65672:AWM65680 BGI65672:BGI65680 BQE65672:BQE65680 CAA65672:CAA65680 CJW65672:CJW65680 CTS65672:CTS65680 DDO65672:DDO65680 DNK65672:DNK65680 DXG65672:DXG65680 EHC65672:EHC65680 EQY65672:EQY65680 FAU65672:FAU65680 FKQ65672:FKQ65680 FUM65672:FUM65680 GEI65672:GEI65680 GOE65672:GOE65680 GYA65672:GYA65680 HHW65672:HHW65680 HRS65672:HRS65680 IBO65672:IBO65680 ILK65672:ILK65680 IVG65672:IVG65680 JFC65672:JFC65680 JOY65672:JOY65680 JYU65672:JYU65680 KIQ65672:KIQ65680 KSM65672:KSM65680 LCI65672:LCI65680 LME65672:LME65680 LWA65672:LWA65680 MFW65672:MFW65680 MPS65672:MPS65680 MZO65672:MZO65680 NJK65672:NJK65680 NTG65672:NTG65680 ODC65672:ODC65680 OMY65672:OMY65680 OWU65672:OWU65680 PGQ65672:PGQ65680 PQM65672:PQM65680 QAI65672:QAI65680 QKE65672:QKE65680 QUA65672:QUA65680 RDW65672:RDW65680 RNS65672:RNS65680 RXO65672:RXO65680 SHK65672:SHK65680 SRG65672:SRG65680 TBC65672:TBC65680 TKY65672:TKY65680 TUU65672:TUU65680 UEQ65672:UEQ65680 UOM65672:UOM65680 UYI65672:UYI65680 VIE65672:VIE65680 VSA65672:VSA65680 WBW65672:WBW65680 WLS65672:WLS65680 WVO65672:WVO65680 F131209:G131217 JC131208:JC131216 SY131208:SY131216 ACU131208:ACU131216 AMQ131208:AMQ131216 AWM131208:AWM131216 BGI131208:BGI131216 BQE131208:BQE131216 CAA131208:CAA131216 CJW131208:CJW131216 CTS131208:CTS131216 DDO131208:DDO131216 DNK131208:DNK131216 DXG131208:DXG131216 EHC131208:EHC131216 EQY131208:EQY131216 FAU131208:FAU131216 FKQ131208:FKQ131216 FUM131208:FUM131216 GEI131208:GEI131216 GOE131208:GOE131216 GYA131208:GYA131216 HHW131208:HHW131216 HRS131208:HRS131216 IBO131208:IBO131216 ILK131208:ILK131216 IVG131208:IVG131216 JFC131208:JFC131216 JOY131208:JOY131216 JYU131208:JYU131216 KIQ131208:KIQ131216 KSM131208:KSM131216 LCI131208:LCI131216 LME131208:LME131216 LWA131208:LWA131216 MFW131208:MFW131216 MPS131208:MPS131216 MZO131208:MZO131216 NJK131208:NJK131216 NTG131208:NTG131216 ODC131208:ODC131216 OMY131208:OMY131216 OWU131208:OWU131216 PGQ131208:PGQ131216 PQM131208:PQM131216 QAI131208:QAI131216 QKE131208:QKE131216 QUA131208:QUA131216 RDW131208:RDW131216 RNS131208:RNS131216 RXO131208:RXO131216 SHK131208:SHK131216 SRG131208:SRG131216 TBC131208:TBC131216 TKY131208:TKY131216 TUU131208:TUU131216 UEQ131208:UEQ131216 UOM131208:UOM131216 UYI131208:UYI131216 VIE131208:VIE131216 VSA131208:VSA131216 WBW131208:WBW131216 WLS131208:WLS131216 WVO131208:WVO131216 F196745:G196753 JC196744:JC196752 SY196744:SY196752 ACU196744:ACU196752 AMQ196744:AMQ196752 AWM196744:AWM196752 BGI196744:BGI196752 BQE196744:BQE196752 CAA196744:CAA196752 CJW196744:CJW196752 CTS196744:CTS196752 DDO196744:DDO196752 DNK196744:DNK196752 DXG196744:DXG196752 EHC196744:EHC196752 EQY196744:EQY196752 FAU196744:FAU196752 FKQ196744:FKQ196752 FUM196744:FUM196752 GEI196744:GEI196752 GOE196744:GOE196752 GYA196744:GYA196752 HHW196744:HHW196752 HRS196744:HRS196752 IBO196744:IBO196752 ILK196744:ILK196752 IVG196744:IVG196752 JFC196744:JFC196752 JOY196744:JOY196752 JYU196744:JYU196752 KIQ196744:KIQ196752 KSM196744:KSM196752 LCI196744:LCI196752 LME196744:LME196752 LWA196744:LWA196752 MFW196744:MFW196752 MPS196744:MPS196752 MZO196744:MZO196752 NJK196744:NJK196752 NTG196744:NTG196752 ODC196744:ODC196752 OMY196744:OMY196752 OWU196744:OWU196752 PGQ196744:PGQ196752 PQM196744:PQM196752 QAI196744:QAI196752 QKE196744:QKE196752 QUA196744:QUA196752 RDW196744:RDW196752 RNS196744:RNS196752 RXO196744:RXO196752 SHK196744:SHK196752 SRG196744:SRG196752 TBC196744:TBC196752 TKY196744:TKY196752 TUU196744:TUU196752 UEQ196744:UEQ196752 UOM196744:UOM196752 UYI196744:UYI196752 VIE196744:VIE196752 VSA196744:VSA196752 WBW196744:WBW196752 WLS196744:WLS196752 WVO196744:WVO196752 F262281:G262289 JC262280:JC262288 SY262280:SY262288 ACU262280:ACU262288 AMQ262280:AMQ262288 AWM262280:AWM262288 BGI262280:BGI262288 BQE262280:BQE262288 CAA262280:CAA262288 CJW262280:CJW262288 CTS262280:CTS262288 DDO262280:DDO262288 DNK262280:DNK262288 DXG262280:DXG262288 EHC262280:EHC262288 EQY262280:EQY262288 FAU262280:FAU262288 FKQ262280:FKQ262288 FUM262280:FUM262288 GEI262280:GEI262288 GOE262280:GOE262288 GYA262280:GYA262288 HHW262280:HHW262288 HRS262280:HRS262288 IBO262280:IBO262288 ILK262280:ILK262288 IVG262280:IVG262288 JFC262280:JFC262288 JOY262280:JOY262288 JYU262280:JYU262288 KIQ262280:KIQ262288 KSM262280:KSM262288 LCI262280:LCI262288 LME262280:LME262288 LWA262280:LWA262288 MFW262280:MFW262288 MPS262280:MPS262288 MZO262280:MZO262288 NJK262280:NJK262288 NTG262280:NTG262288 ODC262280:ODC262288 OMY262280:OMY262288 OWU262280:OWU262288 PGQ262280:PGQ262288 PQM262280:PQM262288 QAI262280:QAI262288 QKE262280:QKE262288 QUA262280:QUA262288 RDW262280:RDW262288 RNS262280:RNS262288 RXO262280:RXO262288 SHK262280:SHK262288 SRG262280:SRG262288 TBC262280:TBC262288 TKY262280:TKY262288 TUU262280:TUU262288 UEQ262280:UEQ262288 UOM262280:UOM262288 UYI262280:UYI262288 VIE262280:VIE262288 VSA262280:VSA262288 WBW262280:WBW262288 WLS262280:WLS262288 WVO262280:WVO262288 F327817:G327825 JC327816:JC327824 SY327816:SY327824 ACU327816:ACU327824 AMQ327816:AMQ327824 AWM327816:AWM327824 BGI327816:BGI327824 BQE327816:BQE327824 CAA327816:CAA327824 CJW327816:CJW327824 CTS327816:CTS327824 DDO327816:DDO327824 DNK327816:DNK327824 DXG327816:DXG327824 EHC327816:EHC327824 EQY327816:EQY327824 FAU327816:FAU327824 FKQ327816:FKQ327824 FUM327816:FUM327824 GEI327816:GEI327824 GOE327816:GOE327824 GYA327816:GYA327824 HHW327816:HHW327824 HRS327816:HRS327824 IBO327816:IBO327824 ILK327816:ILK327824 IVG327816:IVG327824 JFC327816:JFC327824 JOY327816:JOY327824 JYU327816:JYU327824 KIQ327816:KIQ327824 KSM327816:KSM327824 LCI327816:LCI327824 LME327816:LME327824 LWA327816:LWA327824 MFW327816:MFW327824 MPS327816:MPS327824 MZO327816:MZO327824 NJK327816:NJK327824 NTG327816:NTG327824 ODC327816:ODC327824 OMY327816:OMY327824 OWU327816:OWU327824 PGQ327816:PGQ327824 PQM327816:PQM327824 QAI327816:QAI327824 QKE327816:QKE327824 QUA327816:QUA327824 RDW327816:RDW327824 RNS327816:RNS327824 RXO327816:RXO327824 SHK327816:SHK327824 SRG327816:SRG327824 TBC327816:TBC327824 TKY327816:TKY327824 TUU327816:TUU327824 UEQ327816:UEQ327824 UOM327816:UOM327824 UYI327816:UYI327824 VIE327816:VIE327824 VSA327816:VSA327824 WBW327816:WBW327824 WLS327816:WLS327824 WVO327816:WVO327824 F393353:G393361 JC393352:JC393360 SY393352:SY393360 ACU393352:ACU393360 AMQ393352:AMQ393360 AWM393352:AWM393360 BGI393352:BGI393360 BQE393352:BQE393360 CAA393352:CAA393360 CJW393352:CJW393360 CTS393352:CTS393360 DDO393352:DDO393360 DNK393352:DNK393360 DXG393352:DXG393360 EHC393352:EHC393360 EQY393352:EQY393360 FAU393352:FAU393360 FKQ393352:FKQ393360 FUM393352:FUM393360 GEI393352:GEI393360 GOE393352:GOE393360 GYA393352:GYA393360 HHW393352:HHW393360 HRS393352:HRS393360 IBO393352:IBO393360 ILK393352:ILK393360 IVG393352:IVG393360 JFC393352:JFC393360 JOY393352:JOY393360 JYU393352:JYU393360 KIQ393352:KIQ393360 KSM393352:KSM393360 LCI393352:LCI393360 LME393352:LME393360 LWA393352:LWA393360 MFW393352:MFW393360 MPS393352:MPS393360 MZO393352:MZO393360 NJK393352:NJK393360 NTG393352:NTG393360 ODC393352:ODC393360 OMY393352:OMY393360 OWU393352:OWU393360 PGQ393352:PGQ393360 PQM393352:PQM393360 QAI393352:QAI393360 QKE393352:QKE393360 QUA393352:QUA393360 RDW393352:RDW393360 RNS393352:RNS393360 RXO393352:RXO393360 SHK393352:SHK393360 SRG393352:SRG393360 TBC393352:TBC393360 TKY393352:TKY393360 TUU393352:TUU393360 UEQ393352:UEQ393360 UOM393352:UOM393360 UYI393352:UYI393360 VIE393352:VIE393360 VSA393352:VSA393360 WBW393352:WBW393360 WLS393352:WLS393360 WVO393352:WVO393360 F458889:G458897 JC458888:JC458896 SY458888:SY458896 ACU458888:ACU458896 AMQ458888:AMQ458896 AWM458888:AWM458896 BGI458888:BGI458896 BQE458888:BQE458896 CAA458888:CAA458896 CJW458888:CJW458896 CTS458888:CTS458896 DDO458888:DDO458896 DNK458888:DNK458896 DXG458888:DXG458896 EHC458888:EHC458896 EQY458888:EQY458896 FAU458888:FAU458896 FKQ458888:FKQ458896 FUM458888:FUM458896 GEI458888:GEI458896 GOE458888:GOE458896 GYA458888:GYA458896 HHW458888:HHW458896 HRS458888:HRS458896 IBO458888:IBO458896 ILK458888:ILK458896 IVG458888:IVG458896 JFC458888:JFC458896 JOY458888:JOY458896 JYU458888:JYU458896 KIQ458888:KIQ458896 KSM458888:KSM458896 LCI458888:LCI458896 LME458888:LME458896 LWA458888:LWA458896 MFW458888:MFW458896 MPS458888:MPS458896 MZO458888:MZO458896 NJK458888:NJK458896 NTG458888:NTG458896 ODC458888:ODC458896 OMY458888:OMY458896 OWU458888:OWU458896 PGQ458888:PGQ458896 PQM458888:PQM458896 QAI458888:QAI458896 QKE458888:QKE458896 QUA458888:QUA458896 RDW458888:RDW458896 RNS458888:RNS458896 RXO458888:RXO458896 SHK458888:SHK458896 SRG458888:SRG458896 TBC458888:TBC458896 TKY458888:TKY458896 TUU458888:TUU458896 UEQ458888:UEQ458896 UOM458888:UOM458896 UYI458888:UYI458896 VIE458888:VIE458896 VSA458888:VSA458896 WBW458888:WBW458896 WLS458888:WLS458896 WVO458888:WVO458896 F524425:G524433 JC524424:JC524432 SY524424:SY524432 ACU524424:ACU524432 AMQ524424:AMQ524432 AWM524424:AWM524432 BGI524424:BGI524432 BQE524424:BQE524432 CAA524424:CAA524432 CJW524424:CJW524432 CTS524424:CTS524432 DDO524424:DDO524432 DNK524424:DNK524432 DXG524424:DXG524432 EHC524424:EHC524432 EQY524424:EQY524432 FAU524424:FAU524432 FKQ524424:FKQ524432 FUM524424:FUM524432 GEI524424:GEI524432 GOE524424:GOE524432 GYA524424:GYA524432 HHW524424:HHW524432 HRS524424:HRS524432 IBO524424:IBO524432 ILK524424:ILK524432 IVG524424:IVG524432 JFC524424:JFC524432 JOY524424:JOY524432 JYU524424:JYU524432 KIQ524424:KIQ524432 KSM524424:KSM524432 LCI524424:LCI524432 LME524424:LME524432 LWA524424:LWA524432 MFW524424:MFW524432 MPS524424:MPS524432 MZO524424:MZO524432 NJK524424:NJK524432 NTG524424:NTG524432 ODC524424:ODC524432 OMY524424:OMY524432 OWU524424:OWU524432 PGQ524424:PGQ524432 PQM524424:PQM524432 QAI524424:QAI524432 QKE524424:QKE524432 QUA524424:QUA524432 RDW524424:RDW524432 RNS524424:RNS524432 RXO524424:RXO524432 SHK524424:SHK524432 SRG524424:SRG524432 TBC524424:TBC524432 TKY524424:TKY524432 TUU524424:TUU524432 UEQ524424:UEQ524432 UOM524424:UOM524432 UYI524424:UYI524432 VIE524424:VIE524432 VSA524424:VSA524432 WBW524424:WBW524432 WLS524424:WLS524432 WVO524424:WVO524432 F589961:G589969 JC589960:JC589968 SY589960:SY589968 ACU589960:ACU589968 AMQ589960:AMQ589968 AWM589960:AWM589968 BGI589960:BGI589968 BQE589960:BQE589968 CAA589960:CAA589968 CJW589960:CJW589968 CTS589960:CTS589968 DDO589960:DDO589968 DNK589960:DNK589968 DXG589960:DXG589968 EHC589960:EHC589968 EQY589960:EQY589968 FAU589960:FAU589968 FKQ589960:FKQ589968 FUM589960:FUM589968 GEI589960:GEI589968 GOE589960:GOE589968 GYA589960:GYA589968 HHW589960:HHW589968 HRS589960:HRS589968 IBO589960:IBO589968 ILK589960:ILK589968 IVG589960:IVG589968 JFC589960:JFC589968 JOY589960:JOY589968 JYU589960:JYU589968 KIQ589960:KIQ589968 KSM589960:KSM589968 LCI589960:LCI589968 LME589960:LME589968 LWA589960:LWA589968 MFW589960:MFW589968 MPS589960:MPS589968 MZO589960:MZO589968 NJK589960:NJK589968 NTG589960:NTG589968 ODC589960:ODC589968 OMY589960:OMY589968 OWU589960:OWU589968 PGQ589960:PGQ589968 PQM589960:PQM589968 QAI589960:QAI589968 QKE589960:QKE589968 QUA589960:QUA589968 RDW589960:RDW589968 RNS589960:RNS589968 RXO589960:RXO589968 SHK589960:SHK589968 SRG589960:SRG589968 TBC589960:TBC589968 TKY589960:TKY589968 TUU589960:TUU589968 UEQ589960:UEQ589968 UOM589960:UOM589968 UYI589960:UYI589968 VIE589960:VIE589968 VSA589960:VSA589968 WBW589960:WBW589968 WLS589960:WLS589968 WVO589960:WVO589968 F655497:G655505 JC655496:JC655504 SY655496:SY655504 ACU655496:ACU655504 AMQ655496:AMQ655504 AWM655496:AWM655504 BGI655496:BGI655504 BQE655496:BQE655504 CAA655496:CAA655504 CJW655496:CJW655504 CTS655496:CTS655504 DDO655496:DDO655504 DNK655496:DNK655504 DXG655496:DXG655504 EHC655496:EHC655504 EQY655496:EQY655504 FAU655496:FAU655504 FKQ655496:FKQ655504 FUM655496:FUM655504 GEI655496:GEI655504 GOE655496:GOE655504 GYA655496:GYA655504 HHW655496:HHW655504 HRS655496:HRS655504 IBO655496:IBO655504 ILK655496:ILK655504 IVG655496:IVG655504 JFC655496:JFC655504 JOY655496:JOY655504 JYU655496:JYU655504 KIQ655496:KIQ655504 KSM655496:KSM655504 LCI655496:LCI655504 LME655496:LME655504 LWA655496:LWA655504 MFW655496:MFW655504 MPS655496:MPS655504 MZO655496:MZO655504 NJK655496:NJK655504 NTG655496:NTG655504 ODC655496:ODC655504 OMY655496:OMY655504 OWU655496:OWU655504 PGQ655496:PGQ655504 PQM655496:PQM655504 QAI655496:QAI655504 QKE655496:QKE655504 QUA655496:QUA655504 RDW655496:RDW655504 RNS655496:RNS655504 RXO655496:RXO655504 SHK655496:SHK655504 SRG655496:SRG655504 TBC655496:TBC655504 TKY655496:TKY655504 TUU655496:TUU655504 UEQ655496:UEQ655504 UOM655496:UOM655504 UYI655496:UYI655504 VIE655496:VIE655504 VSA655496:VSA655504 WBW655496:WBW655504 WLS655496:WLS655504 WVO655496:WVO655504 F721033:G721041 JC721032:JC721040 SY721032:SY721040 ACU721032:ACU721040 AMQ721032:AMQ721040 AWM721032:AWM721040 BGI721032:BGI721040 BQE721032:BQE721040 CAA721032:CAA721040 CJW721032:CJW721040 CTS721032:CTS721040 DDO721032:DDO721040 DNK721032:DNK721040 DXG721032:DXG721040 EHC721032:EHC721040 EQY721032:EQY721040 FAU721032:FAU721040 FKQ721032:FKQ721040 FUM721032:FUM721040 GEI721032:GEI721040 GOE721032:GOE721040 GYA721032:GYA721040 HHW721032:HHW721040 HRS721032:HRS721040 IBO721032:IBO721040 ILK721032:ILK721040 IVG721032:IVG721040 JFC721032:JFC721040 JOY721032:JOY721040 JYU721032:JYU721040 KIQ721032:KIQ721040 KSM721032:KSM721040 LCI721032:LCI721040 LME721032:LME721040 LWA721032:LWA721040 MFW721032:MFW721040 MPS721032:MPS721040 MZO721032:MZO721040 NJK721032:NJK721040 NTG721032:NTG721040 ODC721032:ODC721040 OMY721032:OMY721040 OWU721032:OWU721040 PGQ721032:PGQ721040 PQM721032:PQM721040 QAI721032:QAI721040 QKE721032:QKE721040 QUA721032:QUA721040 RDW721032:RDW721040 RNS721032:RNS721040 RXO721032:RXO721040 SHK721032:SHK721040 SRG721032:SRG721040 TBC721032:TBC721040 TKY721032:TKY721040 TUU721032:TUU721040 UEQ721032:UEQ721040 UOM721032:UOM721040 UYI721032:UYI721040 VIE721032:VIE721040 VSA721032:VSA721040 WBW721032:WBW721040 WLS721032:WLS721040 WVO721032:WVO721040 F786569:G786577 JC786568:JC786576 SY786568:SY786576 ACU786568:ACU786576 AMQ786568:AMQ786576 AWM786568:AWM786576 BGI786568:BGI786576 BQE786568:BQE786576 CAA786568:CAA786576 CJW786568:CJW786576 CTS786568:CTS786576 DDO786568:DDO786576 DNK786568:DNK786576 DXG786568:DXG786576 EHC786568:EHC786576 EQY786568:EQY786576 FAU786568:FAU786576 FKQ786568:FKQ786576 FUM786568:FUM786576 GEI786568:GEI786576 GOE786568:GOE786576 GYA786568:GYA786576 HHW786568:HHW786576 HRS786568:HRS786576 IBO786568:IBO786576 ILK786568:ILK786576 IVG786568:IVG786576 JFC786568:JFC786576 JOY786568:JOY786576 JYU786568:JYU786576 KIQ786568:KIQ786576 KSM786568:KSM786576 LCI786568:LCI786576 LME786568:LME786576 LWA786568:LWA786576 MFW786568:MFW786576 MPS786568:MPS786576 MZO786568:MZO786576 NJK786568:NJK786576 NTG786568:NTG786576 ODC786568:ODC786576 OMY786568:OMY786576 OWU786568:OWU786576 PGQ786568:PGQ786576 PQM786568:PQM786576 QAI786568:QAI786576 QKE786568:QKE786576 QUA786568:QUA786576 RDW786568:RDW786576 RNS786568:RNS786576 RXO786568:RXO786576 SHK786568:SHK786576 SRG786568:SRG786576 TBC786568:TBC786576 TKY786568:TKY786576 TUU786568:TUU786576 UEQ786568:UEQ786576 UOM786568:UOM786576 UYI786568:UYI786576 VIE786568:VIE786576 VSA786568:VSA786576 WBW786568:WBW786576 WLS786568:WLS786576 WVO786568:WVO786576 F852105:G852113 JC852104:JC852112 SY852104:SY852112 ACU852104:ACU852112 AMQ852104:AMQ852112 AWM852104:AWM852112 BGI852104:BGI852112 BQE852104:BQE852112 CAA852104:CAA852112 CJW852104:CJW852112 CTS852104:CTS852112 DDO852104:DDO852112 DNK852104:DNK852112 DXG852104:DXG852112 EHC852104:EHC852112 EQY852104:EQY852112 FAU852104:FAU852112 FKQ852104:FKQ852112 FUM852104:FUM852112 GEI852104:GEI852112 GOE852104:GOE852112 GYA852104:GYA852112 HHW852104:HHW852112 HRS852104:HRS852112 IBO852104:IBO852112 ILK852104:ILK852112 IVG852104:IVG852112 JFC852104:JFC852112 JOY852104:JOY852112 JYU852104:JYU852112 KIQ852104:KIQ852112 KSM852104:KSM852112 LCI852104:LCI852112 LME852104:LME852112 LWA852104:LWA852112 MFW852104:MFW852112 MPS852104:MPS852112 MZO852104:MZO852112 NJK852104:NJK852112 NTG852104:NTG852112 ODC852104:ODC852112 OMY852104:OMY852112 OWU852104:OWU852112 PGQ852104:PGQ852112 PQM852104:PQM852112 QAI852104:QAI852112 QKE852104:QKE852112 QUA852104:QUA852112 RDW852104:RDW852112 RNS852104:RNS852112 RXO852104:RXO852112 SHK852104:SHK852112 SRG852104:SRG852112 TBC852104:TBC852112 TKY852104:TKY852112 TUU852104:TUU852112 UEQ852104:UEQ852112 UOM852104:UOM852112 UYI852104:UYI852112 VIE852104:VIE852112 VSA852104:VSA852112 WBW852104:WBW852112 WLS852104:WLS852112 WVO852104:WVO852112 F917641:G917649 JC917640:JC917648 SY917640:SY917648 ACU917640:ACU917648 AMQ917640:AMQ917648 AWM917640:AWM917648 BGI917640:BGI917648 BQE917640:BQE917648 CAA917640:CAA917648 CJW917640:CJW917648 CTS917640:CTS917648 DDO917640:DDO917648 DNK917640:DNK917648 DXG917640:DXG917648 EHC917640:EHC917648 EQY917640:EQY917648 FAU917640:FAU917648 FKQ917640:FKQ917648 FUM917640:FUM917648 GEI917640:GEI917648 GOE917640:GOE917648 GYA917640:GYA917648 HHW917640:HHW917648 HRS917640:HRS917648 IBO917640:IBO917648 ILK917640:ILK917648 IVG917640:IVG917648 JFC917640:JFC917648 JOY917640:JOY917648 JYU917640:JYU917648 KIQ917640:KIQ917648 KSM917640:KSM917648 LCI917640:LCI917648 LME917640:LME917648 LWA917640:LWA917648 MFW917640:MFW917648 MPS917640:MPS917648 MZO917640:MZO917648 NJK917640:NJK917648 NTG917640:NTG917648 ODC917640:ODC917648 OMY917640:OMY917648 OWU917640:OWU917648 PGQ917640:PGQ917648 PQM917640:PQM917648 QAI917640:QAI917648 QKE917640:QKE917648 QUA917640:QUA917648 RDW917640:RDW917648 RNS917640:RNS917648 RXO917640:RXO917648 SHK917640:SHK917648 SRG917640:SRG917648 TBC917640:TBC917648 TKY917640:TKY917648 TUU917640:TUU917648 UEQ917640:UEQ917648 UOM917640:UOM917648 UYI917640:UYI917648 VIE917640:VIE917648 VSA917640:VSA917648 WBW917640:WBW917648 WLS917640:WLS917648 WVO917640:WVO917648 F983177:G983185 JC983176:JC983184 SY983176:SY983184 ACU983176:ACU983184 AMQ983176:AMQ983184 AWM983176:AWM983184 BGI983176:BGI983184 BQE983176:BQE983184 CAA983176:CAA983184 CJW983176:CJW983184 CTS983176:CTS983184 DDO983176:DDO983184 DNK983176:DNK983184 DXG983176:DXG983184 EHC983176:EHC983184 EQY983176:EQY983184 FAU983176:FAU983184 FKQ983176:FKQ983184 FUM983176:FUM983184 GEI983176:GEI983184 GOE983176:GOE983184 GYA983176:GYA983184 HHW983176:HHW983184 HRS983176:HRS983184 IBO983176:IBO983184 ILK983176:ILK983184 IVG983176:IVG983184 JFC983176:JFC983184 JOY983176:JOY983184 JYU983176:JYU983184 KIQ983176:KIQ983184 KSM983176:KSM983184 LCI983176:LCI983184 LME983176:LME983184 LWA983176:LWA983184 MFW983176:MFW983184 MPS983176:MPS983184 MZO983176:MZO983184 NJK983176:NJK983184 NTG983176:NTG983184 ODC983176:ODC983184 OMY983176:OMY983184 OWU983176:OWU983184 PGQ983176:PGQ983184 PQM983176:PQM983184 QAI983176:QAI983184 QKE983176:QKE983184 QUA983176:QUA983184 RDW983176:RDW983184 RNS983176:RNS983184 RXO983176:RXO983184 SHK983176:SHK983184 SRG983176:SRG983184 TBC983176:TBC983184 TKY983176:TKY983184 TUU983176:TUU983184 UEQ983176:UEQ983184 UOM983176:UOM983184 UYI983176:UYI983184 VIE983176:VIE983184 VSA983176:VSA983184 WBW983176:WBW983184 WLS983176:WLS983184 F63:G98" xr:uid="{00000000-0002-0000-0500-000004000000}"/>
    <dataValidation allowBlank="1" showInputMessage="1" showErrorMessage="1" prompt="diligencie la dedicación del personal relacionado." sqref="WVK983176:WVK983184 IY12:IY60 SU12:SU60 ACQ12:ACQ60 AMM12:AMM60 AWI12:AWI60 BGE12:BGE60 BQA12:BQA60 BZW12:BZW60 CJS12:CJS60 CTO12:CTO60 DDK12:DDK60 DNG12:DNG60 DXC12:DXC60 EGY12:EGY60 EQU12:EQU60 FAQ12:FAQ60 FKM12:FKM60 FUI12:FUI60 GEE12:GEE60 GOA12:GOA60 GXW12:GXW60 HHS12:HHS60 HRO12:HRO60 IBK12:IBK60 ILG12:ILG60 IVC12:IVC60 JEY12:JEY60 JOU12:JOU60 JYQ12:JYQ60 KIM12:KIM60 KSI12:KSI60 LCE12:LCE60 LMA12:LMA60 LVW12:LVW60 MFS12:MFS60 MPO12:MPO60 MZK12:MZK60 NJG12:NJG60 NTC12:NTC60 OCY12:OCY60 OMU12:OMU60 OWQ12:OWQ60 PGM12:PGM60 PQI12:PQI60 QAE12:QAE60 QKA12:QKA60 QTW12:QTW60 RDS12:RDS60 RNO12:RNO60 RXK12:RXK60 SHG12:SHG60 SRC12:SRC60 TAY12:TAY60 TKU12:TKU60 TUQ12:TUQ60 UEM12:UEM60 UOI12:UOI60 UYE12:UYE60 VIA12:VIA60 VRW12:VRW60 WBS12:WBS60 WLO12:WLO60 WVK12:WVK60 C65662:C65670 IY65661:IY65669 SU65661:SU65669 ACQ65661:ACQ65669 AMM65661:AMM65669 AWI65661:AWI65669 BGE65661:BGE65669 BQA65661:BQA65669 BZW65661:BZW65669 CJS65661:CJS65669 CTO65661:CTO65669 DDK65661:DDK65669 DNG65661:DNG65669 DXC65661:DXC65669 EGY65661:EGY65669 EQU65661:EQU65669 FAQ65661:FAQ65669 FKM65661:FKM65669 FUI65661:FUI65669 GEE65661:GEE65669 GOA65661:GOA65669 GXW65661:GXW65669 HHS65661:HHS65669 HRO65661:HRO65669 IBK65661:IBK65669 ILG65661:ILG65669 IVC65661:IVC65669 JEY65661:JEY65669 JOU65661:JOU65669 JYQ65661:JYQ65669 KIM65661:KIM65669 KSI65661:KSI65669 LCE65661:LCE65669 LMA65661:LMA65669 LVW65661:LVW65669 MFS65661:MFS65669 MPO65661:MPO65669 MZK65661:MZK65669 NJG65661:NJG65669 NTC65661:NTC65669 OCY65661:OCY65669 OMU65661:OMU65669 OWQ65661:OWQ65669 PGM65661:PGM65669 PQI65661:PQI65669 QAE65661:QAE65669 QKA65661:QKA65669 QTW65661:QTW65669 RDS65661:RDS65669 RNO65661:RNO65669 RXK65661:RXK65669 SHG65661:SHG65669 SRC65661:SRC65669 TAY65661:TAY65669 TKU65661:TKU65669 TUQ65661:TUQ65669 UEM65661:UEM65669 UOI65661:UOI65669 UYE65661:UYE65669 VIA65661:VIA65669 VRW65661:VRW65669 WBS65661:WBS65669 WLO65661:WLO65669 WVK65661:WVK65669 C131198:C131206 IY131197:IY131205 SU131197:SU131205 ACQ131197:ACQ131205 AMM131197:AMM131205 AWI131197:AWI131205 BGE131197:BGE131205 BQA131197:BQA131205 BZW131197:BZW131205 CJS131197:CJS131205 CTO131197:CTO131205 DDK131197:DDK131205 DNG131197:DNG131205 DXC131197:DXC131205 EGY131197:EGY131205 EQU131197:EQU131205 FAQ131197:FAQ131205 FKM131197:FKM131205 FUI131197:FUI131205 GEE131197:GEE131205 GOA131197:GOA131205 GXW131197:GXW131205 HHS131197:HHS131205 HRO131197:HRO131205 IBK131197:IBK131205 ILG131197:ILG131205 IVC131197:IVC131205 JEY131197:JEY131205 JOU131197:JOU131205 JYQ131197:JYQ131205 KIM131197:KIM131205 KSI131197:KSI131205 LCE131197:LCE131205 LMA131197:LMA131205 LVW131197:LVW131205 MFS131197:MFS131205 MPO131197:MPO131205 MZK131197:MZK131205 NJG131197:NJG131205 NTC131197:NTC131205 OCY131197:OCY131205 OMU131197:OMU131205 OWQ131197:OWQ131205 PGM131197:PGM131205 PQI131197:PQI131205 QAE131197:QAE131205 QKA131197:QKA131205 QTW131197:QTW131205 RDS131197:RDS131205 RNO131197:RNO131205 RXK131197:RXK131205 SHG131197:SHG131205 SRC131197:SRC131205 TAY131197:TAY131205 TKU131197:TKU131205 TUQ131197:TUQ131205 UEM131197:UEM131205 UOI131197:UOI131205 UYE131197:UYE131205 VIA131197:VIA131205 VRW131197:VRW131205 WBS131197:WBS131205 WLO131197:WLO131205 WVK131197:WVK131205 C196734:C196742 IY196733:IY196741 SU196733:SU196741 ACQ196733:ACQ196741 AMM196733:AMM196741 AWI196733:AWI196741 BGE196733:BGE196741 BQA196733:BQA196741 BZW196733:BZW196741 CJS196733:CJS196741 CTO196733:CTO196741 DDK196733:DDK196741 DNG196733:DNG196741 DXC196733:DXC196741 EGY196733:EGY196741 EQU196733:EQU196741 FAQ196733:FAQ196741 FKM196733:FKM196741 FUI196733:FUI196741 GEE196733:GEE196741 GOA196733:GOA196741 GXW196733:GXW196741 HHS196733:HHS196741 HRO196733:HRO196741 IBK196733:IBK196741 ILG196733:ILG196741 IVC196733:IVC196741 JEY196733:JEY196741 JOU196733:JOU196741 JYQ196733:JYQ196741 KIM196733:KIM196741 KSI196733:KSI196741 LCE196733:LCE196741 LMA196733:LMA196741 LVW196733:LVW196741 MFS196733:MFS196741 MPO196733:MPO196741 MZK196733:MZK196741 NJG196733:NJG196741 NTC196733:NTC196741 OCY196733:OCY196741 OMU196733:OMU196741 OWQ196733:OWQ196741 PGM196733:PGM196741 PQI196733:PQI196741 QAE196733:QAE196741 QKA196733:QKA196741 QTW196733:QTW196741 RDS196733:RDS196741 RNO196733:RNO196741 RXK196733:RXK196741 SHG196733:SHG196741 SRC196733:SRC196741 TAY196733:TAY196741 TKU196733:TKU196741 TUQ196733:TUQ196741 UEM196733:UEM196741 UOI196733:UOI196741 UYE196733:UYE196741 VIA196733:VIA196741 VRW196733:VRW196741 WBS196733:WBS196741 WLO196733:WLO196741 WVK196733:WVK196741 C262270:C262278 IY262269:IY262277 SU262269:SU262277 ACQ262269:ACQ262277 AMM262269:AMM262277 AWI262269:AWI262277 BGE262269:BGE262277 BQA262269:BQA262277 BZW262269:BZW262277 CJS262269:CJS262277 CTO262269:CTO262277 DDK262269:DDK262277 DNG262269:DNG262277 DXC262269:DXC262277 EGY262269:EGY262277 EQU262269:EQU262277 FAQ262269:FAQ262277 FKM262269:FKM262277 FUI262269:FUI262277 GEE262269:GEE262277 GOA262269:GOA262277 GXW262269:GXW262277 HHS262269:HHS262277 HRO262269:HRO262277 IBK262269:IBK262277 ILG262269:ILG262277 IVC262269:IVC262277 JEY262269:JEY262277 JOU262269:JOU262277 JYQ262269:JYQ262277 KIM262269:KIM262277 KSI262269:KSI262277 LCE262269:LCE262277 LMA262269:LMA262277 LVW262269:LVW262277 MFS262269:MFS262277 MPO262269:MPO262277 MZK262269:MZK262277 NJG262269:NJG262277 NTC262269:NTC262277 OCY262269:OCY262277 OMU262269:OMU262277 OWQ262269:OWQ262277 PGM262269:PGM262277 PQI262269:PQI262277 QAE262269:QAE262277 QKA262269:QKA262277 QTW262269:QTW262277 RDS262269:RDS262277 RNO262269:RNO262277 RXK262269:RXK262277 SHG262269:SHG262277 SRC262269:SRC262277 TAY262269:TAY262277 TKU262269:TKU262277 TUQ262269:TUQ262277 UEM262269:UEM262277 UOI262269:UOI262277 UYE262269:UYE262277 VIA262269:VIA262277 VRW262269:VRW262277 WBS262269:WBS262277 WLO262269:WLO262277 WVK262269:WVK262277 C327806:C327814 IY327805:IY327813 SU327805:SU327813 ACQ327805:ACQ327813 AMM327805:AMM327813 AWI327805:AWI327813 BGE327805:BGE327813 BQA327805:BQA327813 BZW327805:BZW327813 CJS327805:CJS327813 CTO327805:CTO327813 DDK327805:DDK327813 DNG327805:DNG327813 DXC327805:DXC327813 EGY327805:EGY327813 EQU327805:EQU327813 FAQ327805:FAQ327813 FKM327805:FKM327813 FUI327805:FUI327813 GEE327805:GEE327813 GOA327805:GOA327813 GXW327805:GXW327813 HHS327805:HHS327813 HRO327805:HRO327813 IBK327805:IBK327813 ILG327805:ILG327813 IVC327805:IVC327813 JEY327805:JEY327813 JOU327805:JOU327813 JYQ327805:JYQ327813 KIM327805:KIM327813 KSI327805:KSI327813 LCE327805:LCE327813 LMA327805:LMA327813 LVW327805:LVW327813 MFS327805:MFS327813 MPO327805:MPO327813 MZK327805:MZK327813 NJG327805:NJG327813 NTC327805:NTC327813 OCY327805:OCY327813 OMU327805:OMU327813 OWQ327805:OWQ327813 PGM327805:PGM327813 PQI327805:PQI327813 QAE327805:QAE327813 QKA327805:QKA327813 QTW327805:QTW327813 RDS327805:RDS327813 RNO327805:RNO327813 RXK327805:RXK327813 SHG327805:SHG327813 SRC327805:SRC327813 TAY327805:TAY327813 TKU327805:TKU327813 TUQ327805:TUQ327813 UEM327805:UEM327813 UOI327805:UOI327813 UYE327805:UYE327813 VIA327805:VIA327813 VRW327805:VRW327813 WBS327805:WBS327813 WLO327805:WLO327813 WVK327805:WVK327813 C393342:C393350 IY393341:IY393349 SU393341:SU393349 ACQ393341:ACQ393349 AMM393341:AMM393349 AWI393341:AWI393349 BGE393341:BGE393349 BQA393341:BQA393349 BZW393341:BZW393349 CJS393341:CJS393349 CTO393341:CTO393349 DDK393341:DDK393349 DNG393341:DNG393349 DXC393341:DXC393349 EGY393341:EGY393349 EQU393341:EQU393349 FAQ393341:FAQ393349 FKM393341:FKM393349 FUI393341:FUI393349 GEE393341:GEE393349 GOA393341:GOA393349 GXW393341:GXW393349 HHS393341:HHS393349 HRO393341:HRO393349 IBK393341:IBK393349 ILG393341:ILG393349 IVC393341:IVC393349 JEY393341:JEY393349 JOU393341:JOU393349 JYQ393341:JYQ393349 KIM393341:KIM393349 KSI393341:KSI393349 LCE393341:LCE393349 LMA393341:LMA393349 LVW393341:LVW393349 MFS393341:MFS393349 MPO393341:MPO393349 MZK393341:MZK393349 NJG393341:NJG393349 NTC393341:NTC393349 OCY393341:OCY393349 OMU393341:OMU393349 OWQ393341:OWQ393349 PGM393341:PGM393349 PQI393341:PQI393349 QAE393341:QAE393349 QKA393341:QKA393349 QTW393341:QTW393349 RDS393341:RDS393349 RNO393341:RNO393349 RXK393341:RXK393349 SHG393341:SHG393349 SRC393341:SRC393349 TAY393341:TAY393349 TKU393341:TKU393349 TUQ393341:TUQ393349 UEM393341:UEM393349 UOI393341:UOI393349 UYE393341:UYE393349 VIA393341:VIA393349 VRW393341:VRW393349 WBS393341:WBS393349 WLO393341:WLO393349 WVK393341:WVK393349 C458878:C458886 IY458877:IY458885 SU458877:SU458885 ACQ458877:ACQ458885 AMM458877:AMM458885 AWI458877:AWI458885 BGE458877:BGE458885 BQA458877:BQA458885 BZW458877:BZW458885 CJS458877:CJS458885 CTO458877:CTO458885 DDK458877:DDK458885 DNG458877:DNG458885 DXC458877:DXC458885 EGY458877:EGY458885 EQU458877:EQU458885 FAQ458877:FAQ458885 FKM458877:FKM458885 FUI458877:FUI458885 GEE458877:GEE458885 GOA458877:GOA458885 GXW458877:GXW458885 HHS458877:HHS458885 HRO458877:HRO458885 IBK458877:IBK458885 ILG458877:ILG458885 IVC458877:IVC458885 JEY458877:JEY458885 JOU458877:JOU458885 JYQ458877:JYQ458885 KIM458877:KIM458885 KSI458877:KSI458885 LCE458877:LCE458885 LMA458877:LMA458885 LVW458877:LVW458885 MFS458877:MFS458885 MPO458877:MPO458885 MZK458877:MZK458885 NJG458877:NJG458885 NTC458877:NTC458885 OCY458877:OCY458885 OMU458877:OMU458885 OWQ458877:OWQ458885 PGM458877:PGM458885 PQI458877:PQI458885 QAE458877:QAE458885 QKA458877:QKA458885 QTW458877:QTW458885 RDS458877:RDS458885 RNO458877:RNO458885 RXK458877:RXK458885 SHG458877:SHG458885 SRC458877:SRC458885 TAY458877:TAY458885 TKU458877:TKU458885 TUQ458877:TUQ458885 UEM458877:UEM458885 UOI458877:UOI458885 UYE458877:UYE458885 VIA458877:VIA458885 VRW458877:VRW458885 WBS458877:WBS458885 WLO458877:WLO458885 WVK458877:WVK458885 C524414:C524422 IY524413:IY524421 SU524413:SU524421 ACQ524413:ACQ524421 AMM524413:AMM524421 AWI524413:AWI524421 BGE524413:BGE524421 BQA524413:BQA524421 BZW524413:BZW524421 CJS524413:CJS524421 CTO524413:CTO524421 DDK524413:DDK524421 DNG524413:DNG524421 DXC524413:DXC524421 EGY524413:EGY524421 EQU524413:EQU524421 FAQ524413:FAQ524421 FKM524413:FKM524421 FUI524413:FUI524421 GEE524413:GEE524421 GOA524413:GOA524421 GXW524413:GXW524421 HHS524413:HHS524421 HRO524413:HRO524421 IBK524413:IBK524421 ILG524413:ILG524421 IVC524413:IVC524421 JEY524413:JEY524421 JOU524413:JOU524421 JYQ524413:JYQ524421 KIM524413:KIM524421 KSI524413:KSI524421 LCE524413:LCE524421 LMA524413:LMA524421 LVW524413:LVW524421 MFS524413:MFS524421 MPO524413:MPO524421 MZK524413:MZK524421 NJG524413:NJG524421 NTC524413:NTC524421 OCY524413:OCY524421 OMU524413:OMU524421 OWQ524413:OWQ524421 PGM524413:PGM524421 PQI524413:PQI524421 QAE524413:QAE524421 QKA524413:QKA524421 QTW524413:QTW524421 RDS524413:RDS524421 RNO524413:RNO524421 RXK524413:RXK524421 SHG524413:SHG524421 SRC524413:SRC524421 TAY524413:TAY524421 TKU524413:TKU524421 TUQ524413:TUQ524421 UEM524413:UEM524421 UOI524413:UOI524421 UYE524413:UYE524421 VIA524413:VIA524421 VRW524413:VRW524421 WBS524413:WBS524421 WLO524413:WLO524421 WVK524413:WVK524421 C589950:C589958 IY589949:IY589957 SU589949:SU589957 ACQ589949:ACQ589957 AMM589949:AMM589957 AWI589949:AWI589957 BGE589949:BGE589957 BQA589949:BQA589957 BZW589949:BZW589957 CJS589949:CJS589957 CTO589949:CTO589957 DDK589949:DDK589957 DNG589949:DNG589957 DXC589949:DXC589957 EGY589949:EGY589957 EQU589949:EQU589957 FAQ589949:FAQ589957 FKM589949:FKM589957 FUI589949:FUI589957 GEE589949:GEE589957 GOA589949:GOA589957 GXW589949:GXW589957 HHS589949:HHS589957 HRO589949:HRO589957 IBK589949:IBK589957 ILG589949:ILG589957 IVC589949:IVC589957 JEY589949:JEY589957 JOU589949:JOU589957 JYQ589949:JYQ589957 KIM589949:KIM589957 KSI589949:KSI589957 LCE589949:LCE589957 LMA589949:LMA589957 LVW589949:LVW589957 MFS589949:MFS589957 MPO589949:MPO589957 MZK589949:MZK589957 NJG589949:NJG589957 NTC589949:NTC589957 OCY589949:OCY589957 OMU589949:OMU589957 OWQ589949:OWQ589957 PGM589949:PGM589957 PQI589949:PQI589957 QAE589949:QAE589957 QKA589949:QKA589957 QTW589949:QTW589957 RDS589949:RDS589957 RNO589949:RNO589957 RXK589949:RXK589957 SHG589949:SHG589957 SRC589949:SRC589957 TAY589949:TAY589957 TKU589949:TKU589957 TUQ589949:TUQ589957 UEM589949:UEM589957 UOI589949:UOI589957 UYE589949:UYE589957 VIA589949:VIA589957 VRW589949:VRW589957 WBS589949:WBS589957 WLO589949:WLO589957 WVK589949:WVK589957 C655486:C655494 IY655485:IY655493 SU655485:SU655493 ACQ655485:ACQ655493 AMM655485:AMM655493 AWI655485:AWI655493 BGE655485:BGE655493 BQA655485:BQA655493 BZW655485:BZW655493 CJS655485:CJS655493 CTO655485:CTO655493 DDK655485:DDK655493 DNG655485:DNG655493 DXC655485:DXC655493 EGY655485:EGY655493 EQU655485:EQU655493 FAQ655485:FAQ655493 FKM655485:FKM655493 FUI655485:FUI655493 GEE655485:GEE655493 GOA655485:GOA655493 GXW655485:GXW655493 HHS655485:HHS655493 HRO655485:HRO655493 IBK655485:IBK655493 ILG655485:ILG655493 IVC655485:IVC655493 JEY655485:JEY655493 JOU655485:JOU655493 JYQ655485:JYQ655493 KIM655485:KIM655493 KSI655485:KSI655493 LCE655485:LCE655493 LMA655485:LMA655493 LVW655485:LVW655493 MFS655485:MFS655493 MPO655485:MPO655493 MZK655485:MZK655493 NJG655485:NJG655493 NTC655485:NTC655493 OCY655485:OCY655493 OMU655485:OMU655493 OWQ655485:OWQ655493 PGM655485:PGM655493 PQI655485:PQI655493 QAE655485:QAE655493 QKA655485:QKA655493 QTW655485:QTW655493 RDS655485:RDS655493 RNO655485:RNO655493 RXK655485:RXK655493 SHG655485:SHG655493 SRC655485:SRC655493 TAY655485:TAY655493 TKU655485:TKU655493 TUQ655485:TUQ655493 UEM655485:UEM655493 UOI655485:UOI655493 UYE655485:UYE655493 VIA655485:VIA655493 VRW655485:VRW655493 WBS655485:WBS655493 WLO655485:WLO655493 WVK655485:WVK655493 C721022:C721030 IY721021:IY721029 SU721021:SU721029 ACQ721021:ACQ721029 AMM721021:AMM721029 AWI721021:AWI721029 BGE721021:BGE721029 BQA721021:BQA721029 BZW721021:BZW721029 CJS721021:CJS721029 CTO721021:CTO721029 DDK721021:DDK721029 DNG721021:DNG721029 DXC721021:DXC721029 EGY721021:EGY721029 EQU721021:EQU721029 FAQ721021:FAQ721029 FKM721021:FKM721029 FUI721021:FUI721029 GEE721021:GEE721029 GOA721021:GOA721029 GXW721021:GXW721029 HHS721021:HHS721029 HRO721021:HRO721029 IBK721021:IBK721029 ILG721021:ILG721029 IVC721021:IVC721029 JEY721021:JEY721029 JOU721021:JOU721029 JYQ721021:JYQ721029 KIM721021:KIM721029 KSI721021:KSI721029 LCE721021:LCE721029 LMA721021:LMA721029 LVW721021:LVW721029 MFS721021:MFS721029 MPO721021:MPO721029 MZK721021:MZK721029 NJG721021:NJG721029 NTC721021:NTC721029 OCY721021:OCY721029 OMU721021:OMU721029 OWQ721021:OWQ721029 PGM721021:PGM721029 PQI721021:PQI721029 QAE721021:QAE721029 QKA721021:QKA721029 QTW721021:QTW721029 RDS721021:RDS721029 RNO721021:RNO721029 RXK721021:RXK721029 SHG721021:SHG721029 SRC721021:SRC721029 TAY721021:TAY721029 TKU721021:TKU721029 TUQ721021:TUQ721029 UEM721021:UEM721029 UOI721021:UOI721029 UYE721021:UYE721029 VIA721021:VIA721029 VRW721021:VRW721029 WBS721021:WBS721029 WLO721021:WLO721029 WVK721021:WVK721029 C786558:C786566 IY786557:IY786565 SU786557:SU786565 ACQ786557:ACQ786565 AMM786557:AMM786565 AWI786557:AWI786565 BGE786557:BGE786565 BQA786557:BQA786565 BZW786557:BZW786565 CJS786557:CJS786565 CTO786557:CTO786565 DDK786557:DDK786565 DNG786557:DNG786565 DXC786557:DXC786565 EGY786557:EGY786565 EQU786557:EQU786565 FAQ786557:FAQ786565 FKM786557:FKM786565 FUI786557:FUI786565 GEE786557:GEE786565 GOA786557:GOA786565 GXW786557:GXW786565 HHS786557:HHS786565 HRO786557:HRO786565 IBK786557:IBK786565 ILG786557:ILG786565 IVC786557:IVC786565 JEY786557:JEY786565 JOU786557:JOU786565 JYQ786557:JYQ786565 KIM786557:KIM786565 KSI786557:KSI786565 LCE786557:LCE786565 LMA786557:LMA786565 LVW786557:LVW786565 MFS786557:MFS786565 MPO786557:MPO786565 MZK786557:MZK786565 NJG786557:NJG786565 NTC786557:NTC786565 OCY786557:OCY786565 OMU786557:OMU786565 OWQ786557:OWQ786565 PGM786557:PGM786565 PQI786557:PQI786565 QAE786557:QAE786565 QKA786557:QKA786565 QTW786557:QTW786565 RDS786557:RDS786565 RNO786557:RNO786565 RXK786557:RXK786565 SHG786557:SHG786565 SRC786557:SRC786565 TAY786557:TAY786565 TKU786557:TKU786565 TUQ786557:TUQ786565 UEM786557:UEM786565 UOI786557:UOI786565 UYE786557:UYE786565 VIA786557:VIA786565 VRW786557:VRW786565 WBS786557:WBS786565 WLO786557:WLO786565 WVK786557:WVK786565 C852094:C852102 IY852093:IY852101 SU852093:SU852101 ACQ852093:ACQ852101 AMM852093:AMM852101 AWI852093:AWI852101 BGE852093:BGE852101 BQA852093:BQA852101 BZW852093:BZW852101 CJS852093:CJS852101 CTO852093:CTO852101 DDK852093:DDK852101 DNG852093:DNG852101 DXC852093:DXC852101 EGY852093:EGY852101 EQU852093:EQU852101 FAQ852093:FAQ852101 FKM852093:FKM852101 FUI852093:FUI852101 GEE852093:GEE852101 GOA852093:GOA852101 GXW852093:GXW852101 HHS852093:HHS852101 HRO852093:HRO852101 IBK852093:IBK852101 ILG852093:ILG852101 IVC852093:IVC852101 JEY852093:JEY852101 JOU852093:JOU852101 JYQ852093:JYQ852101 KIM852093:KIM852101 KSI852093:KSI852101 LCE852093:LCE852101 LMA852093:LMA852101 LVW852093:LVW852101 MFS852093:MFS852101 MPO852093:MPO852101 MZK852093:MZK852101 NJG852093:NJG852101 NTC852093:NTC852101 OCY852093:OCY852101 OMU852093:OMU852101 OWQ852093:OWQ852101 PGM852093:PGM852101 PQI852093:PQI852101 QAE852093:QAE852101 QKA852093:QKA852101 QTW852093:QTW852101 RDS852093:RDS852101 RNO852093:RNO852101 RXK852093:RXK852101 SHG852093:SHG852101 SRC852093:SRC852101 TAY852093:TAY852101 TKU852093:TKU852101 TUQ852093:TUQ852101 UEM852093:UEM852101 UOI852093:UOI852101 UYE852093:UYE852101 VIA852093:VIA852101 VRW852093:VRW852101 WBS852093:WBS852101 WLO852093:WLO852101 WVK852093:WVK852101 C917630:C917638 IY917629:IY917637 SU917629:SU917637 ACQ917629:ACQ917637 AMM917629:AMM917637 AWI917629:AWI917637 BGE917629:BGE917637 BQA917629:BQA917637 BZW917629:BZW917637 CJS917629:CJS917637 CTO917629:CTO917637 DDK917629:DDK917637 DNG917629:DNG917637 DXC917629:DXC917637 EGY917629:EGY917637 EQU917629:EQU917637 FAQ917629:FAQ917637 FKM917629:FKM917637 FUI917629:FUI917637 GEE917629:GEE917637 GOA917629:GOA917637 GXW917629:GXW917637 HHS917629:HHS917637 HRO917629:HRO917637 IBK917629:IBK917637 ILG917629:ILG917637 IVC917629:IVC917637 JEY917629:JEY917637 JOU917629:JOU917637 JYQ917629:JYQ917637 KIM917629:KIM917637 KSI917629:KSI917637 LCE917629:LCE917637 LMA917629:LMA917637 LVW917629:LVW917637 MFS917629:MFS917637 MPO917629:MPO917637 MZK917629:MZK917637 NJG917629:NJG917637 NTC917629:NTC917637 OCY917629:OCY917637 OMU917629:OMU917637 OWQ917629:OWQ917637 PGM917629:PGM917637 PQI917629:PQI917637 QAE917629:QAE917637 QKA917629:QKA917637 QTW917629:QTW917637 RDS917629:RDS917637 RNO917629:RNO917637 RXK917629:RXK917637 SHG917629:SHG917637 SRC917629:SRC917637 TAY917629:TAY917637 TKU917629:TKU917637 TUQ917629:TUQ917637 UEM917629:UEM917637 UOI917629:UOI917637 UYE917629:UYE917637 VIA917629:VIA917637 VRW917629:VRW917637 WBS917629:WBS917637 WLO917629:WLO917637 WVK917629:WVK917637 C983166:C983174 IY983165:IY983173 SU983165:SU983173 ACQ983165:ACQ983173 AMM983165:AMM983173 AWI983165:AWI983173 BGE983165:BGE983173 BQA983165:BQA983173 BZW983165:BZW983173 CJS983165:CJS983173 CTO983165:CTO983173 DDK983165:DDK983173 DNG983165:DNG983173 DXC983165:DXC983173 EGY983165:EGY983173 EQU983165:EQU983173 FAQ983165:FAQ983173 FKM983165:FKM983173 FUI983165:FUI983173 GEE983165:GEE983173 GOA983165:GOA983173 GXW983165:GXW983173 HHS983165:HHS983173 HRO983165:HRO983173 IBK983165:IBK983173 ILG983165:ILG983173 IVC983165:IVC983173 JEY983165:JEY983173 JOU983165:JOU983173 JYQ983165:JYQ983173 KIM983165:KIM983173 KSI983165:KSI983173 LCE983165:LCE983173 LMA983165:LMA983173 LVW983165:LVW983173 MFS983165:MFS983173 MPO983165:MPO983173 MZK983165:MZK983173 NJG983165:NJG983173 NTC983165:NTC983173 OCY983165:OCY983173 OMU983165:OMU983173 OWQ983165:OWQ983173 PGM983165:PGM983173 PQI983165:PQI983173 QAE983165:QAE983173 QKA983165:QKA983173 QTW983165:QTW983173 RDS983165:RDS983173 RNO983165:RNO983173 RXK983165:RXK983173 SHG983165:SHG983173 SRC983165:SRC983173 TAY983165:TAY983173 TKU983165:TKU983173 TUQ983165:TUQ983173 UEM983165:UEM983173 UOI983165:UOI983173 UYE983165:UYE983173 VIA983165:VIA983173 VRW983165:VRW983173 WBS983165:WBS983173 WLO983165:WLO983173 WVK983165:WVK983173 C12:C60 IY63:IY98 SU63:SU98 ACQ63:ACQ98 AMM63:AMM98 AWI63:AWI98 BGE63:BGE98 BQA63:BQA98 BZW63:BZW98 CJS63:CJS98 CTO63:CTO98 DDK63:DDK98 DNG63:DNG98 DXC63:DXC98 EGY63:EGY98 EQU63:EQU98 FAQ63:FAQ98 FKM63:FKM98 FUI63:FUI98 GEE63:GEE98 GOA63:GOA98 GXW63:GXW98 HHS63:HHS98 HRO63:HRO98 IBK63:IBK98 ILG63:ILG98 IVC63:IVC98 JEY63:JEY98 JOU63:JOU98 JYQ63:JYQ98 KIM63:KIM98 KSI63:KSI98 LCE63:LCE98 LMA63:LMA98 LVW63:LVW98 MFS63:MFS98 MPO63:MPO98 MZK63:MZK98 NJG63:NJG98 NTC63:NTC98 OCY63:OCY98 OMU63:OMU98 OWQ63:OWQ98 PGM63:PGM98 PQI63:PQI98 QAE63:QAE98 QKA63:QKA98 QTW63:QTW98 RDS63:RDS98 RNO63:RNO98 RXK63:RXK98 SHG63:SHG98 SRC63:SRC98 TAY63:TAY98 TKU63:TKU98 TUQ63:TUQ98 UEM63:UEM98 UOI63:UOI98 UYE63:UYE98 VIA63:VIA98 VRW63:VRW98 WBS63:WBS98 WLO63:WLO98 WVK63:WVK98 C65673:C65681 IY65672:IY65680 SU65672:SU65680 ACQ65672:ACQ65680 AMM65672:AMM65680 AWI65672:AWI65680 BGE65672:BGE65680 BQA65672:BQA65680 BZW65672:BZW65680 CJS65672:CJS65680 CTO65672:CTO65680 DDK65672:DDK65680 DNG65672:DNG65680 DXC65672:DXC65680 EGY65672:EGY65680 EQU65672:EQU65680 FAQ65672:FAQ65680 FKM65672:FKM65680 FUI65672:FUI65680 GEE65672:GEE65680 GOA65672:GOA65680 GXW65672:GXW65680 HHS65672:HHS65680 HRO65672:HRO65680 IBK65672:IBK65680 ILG65672:ILG65680 IVC65672:IVC65680 JEY65672:JEY65680 JOU65672:JOU65680 JYQ65672:JYQ65680 KIM65672:KIM65680 KSI65672:KSI65680 LCE65672:LCE65680 LMA65672:LMA65680 LVW65672:LVW65680 MFS65672:MFS65680 MPO65672:MPO65680 MZK65672:MZK65680 NJG65672:NJG65680 NTC65672:NTC65680 OCY65672:OCY65680 OMU65672:OMU65680 OWQ65672:OWQ65680 PGM65672:PGM65680 PQI65672:PQI65680 QAE65672:QAE65680 QKA65672:QKA65680 QTW65672:QTW65680 RDS65672:RDS65680 RNO65672:RNO65680 RXK65672:RXK65680 SHG65672:SHG65680 SRC65672:SRC65680 TAY65672:TAY65680 TKU65672:TKU65680 TUQ65672:TUQ65680 UEM65672:UEM65680 UOI65672:UOI65680 UYE65672:UYE65680 VIA65672:VIA65680 VRW65672:VRW65680 WBS65672:WBS65680 WLO65672:WLO65680 WVK65672:WVK65680 C131209:C131217 IY131208:IY131216 SU131208:SU131216 ACQ131208:ACQ131216 AMM131208:AMM131216 AWI131208:AWI131216 BGE131208:BGE131216 BQA131208:BQA131216 BZW131208:BZW131216 CJS131208:CJS131216 CTO131208:CTO131216 DDK131208:DDK131216 DNG131208:DNG131216 DXC131208:DXC131216 EGY131208:EGY131216 EQU131208:EQU131216 FAQ131208:FAQ131216 FKM131208:FKM131216 FUI131208:FUI131216 GEE131208:GEE131216 GOA131208:GOA131216 GXW131208:GXW131216 HHS131208:HHS131216 HRO131208:HRO131216 IBK131208:IBK131216 ILG131208:ILG131216 IVC131208:IVC131216 JEY131208:JEY131216 JOU131208:JOU131216 JYQ131208:JYQ131216 KIM131208:KIM131216 KSI131208:KSI131216 LCE131208:LCE131216 LMA131208:LMA131216 LVW131208:LVW131216 MFS131208:MFS131216 MPO131208:MPO131216 MZK131208:MZK131216 NJG131208:NJG131216 NTC131208:NTC131216 OCY131208:OCY131216 OMU131208:OMU131216 OWQ131208:OWQ131216 PGM131208:PGM131216 PQI131208:PQI131216 QAE131208:QAE131216 QKA131208:QKA131216 QTW131208:QTW131216 RDS131208:RDS131216 RNO131208:RNO131216 RXK131208:RXK131216 SHG131208:SHG131216 SRC131208:SRC131216 TAY131208:TAY131216 TKU131208:TKU131216 TUQ131208:TUQ131216 UEM131208:UEM131216 UOI131208:UOI131216 UYE131208:UYE131216 VIA131208:VIA131216 VRW131208:VRW131216 WBS131208:WBS131216 WLO131208:WLO131216 WVK131208:WVK131216 C196745:C196753 IY196744:IY196752 SU196744:SU196752 ACQ196744:ACQ196752 AMM196744:AMM196752 AWI196744:AWI196752 BGE196744:BGE196752 BQA196744:BQA196752 BZW196744:BZW196752 CJS196744:CJS196752 CTO196744:CTO196752 DDK196744:DDK196752 DNG196744:DNG196752 DXC196744:DXC196752 EGY196744:EGY196752 EQU196744:EQU196752 FAQ196744:FAQ196752 FKM196744:FKM196752 FUI196744:FUI196752 GEE196744:GEE196752 GOA196744:GOA196752 GXW196744:GXW196752 HHS196744:HHS196752 HRO196744:HRO196752 IBK196744:IBK196752 ILG196744:ILG196752 IVC196744:IVC196752 JEY196744:JEY196752 JOU196744:JOU196752 JYQ196744:JYQ196752 KIM196744:KIM196752 KSI196744:KSI196752 LCE196744:LCE196752 LMA196744:LMA196752 LVW196744:LVW196752 MFS196744:MFS196752 MPO196744:MPO196752 MZK196744:MZK196752 NJG196744:NJG196752 NTC196744:NTC196752 OCY196744:OCY196752 OMU196744:OMU196752 OWQ196744:OWQ196752 PGM196744:PGM196752 PQI196744:PQI196752 QAE196744:QAE196752 QKA196744:QKA196752 QTW196744:QTW196752 RDS196744:RDS196752 RNO196744:RNO196752 RXK196744:RXK196752 SHG196744:SHG196752 SRC196744:SRC196752 TAY196744:TAY196752 TKU196744:TKU196752 TUQ196744:TUQ196752 UEM196744:UEM196752 UOI196744:UOI196752 UYE196744:UYE196752 VIA196744:VIA196752 VRW196744:VRW196752 WBS196744:WBS196752 WLO196744:WLO196752 WVK196744:WVK196752 C262281:C262289 IY262280:IY262288 SU262280:SU262288 ACQ262280:ACQ262288 AMM262280:AMM262288 AWI262280:AWI262288 BGE262280:BGE262288 BQA262280:BQA262288 BZW262280:BZW262288 CJS262280:CJS262288 CTO262280:CTO262288 DDK262280:DDK262288 DNG262280:DNG262288 DXC262280:DXC262288 EGY262280:EGY262288 EQU262280:EQU262288 FAQ262280:FAQ262288 FKM262280:FKM262288 FUI262280:FUI262288 GEE262280:GEE262288 GOA262280:GOA262288 GXW262280:GXW262288 HHS262280:HHS262288 HRO262280:HRO262288 IBK262280:IBK262288 ILG262280:ILG262288 IVC262280:IVC262288 JEY262280:JEY262288 JOU262280:JOU262288 JYQ262280:JYQ262288 KIM262280:KIM262288 KSI262280:KSI262288 LCE262280:LCE262288 LMA262280:LMA262288 LVW262280:LVW262288 MFS262280:MFS262288 MPO262280:MPO262288 MZK262280:MZK262288 NJG262280:NJG262288 NTC262280:NTC262288 OCY262280:OCY262288 OMU262280:OMU262288 OWQ262280:OWQ262288 PGM262280:PGM262288 PQI262280:PQI262288 QAE262280:QAE262288 QKA262280:QKA262288 QTW262280:QTW262288 RDS262280:RDS262288 RNO262280:RNO262288 RXK262280:RXK262288 SHG262280:SHG262288 SRC262280:SRC262288 TAY262280:TAY262288 TKU262280:TKU262288 TUQ262280:TUQ262288 UEM262280:UEM262288 UOI262280:UOI262288 UYE262280:UYE262288 VIA262280:VIA262288 VRW262280:VRW262288 WBS262280:WBS262288 WLO262280:WLO262288 WVK262280:WVK262288 C327817:C327825 IY327816:IY327824 SU327816:SU327824 ACQ327816:ACQ327824 AMM327816:AMM327824 AWI327816:AWI327824 BGE327816:BGE327824 BQA327816:BQA327824 BZW327816:BZW327824 CJS327816:CJS327824 CTO327816:CTO327824 DDK327816:DDK327824 DNG327816:DNG327824 DXC327816:DXC327824 EGY327816:EGY327824 EQU327816:EQU327824 FAQ327816:FAQ327824 FKM327816:FKM327824 FUI327816:FUI327824 GEE327816:GEE327824 GOA327816:GOA327824 GXW327816:GXW327824 HHS327816:HHS327824 HRO327816:HRO327824 IBK327816:IBK327824 ILG327816:ILG327824 IVC327816:IVC327824 JEY327816:JEY327824 JOU327816:JOU327824 JYQ327816:JYQ327824 KIM327816:KIM327824 KSI327816:KSI327824 LCE327816:LCE327824 LMA327816:LMA327824 LVW327816:LVW327824 MFS327816:MFS327824 MPO327816:MPO327824 MZK327816:MZK327824 NJG327816:NJG327824 NTC327816:NTC327824 OCY327816:OCY327824 OMU327816:OMU327824 OWQ327816:OWQ327824 PGM327816:PGM327824 PQI327816:PQI327824 QAE327816:QAE327824 QKA327816:QKA327824 QTW327816:QTW327824 RDS327816:RDS327824 RNO327816:RNO327824 RXK327816:RXK327824 SHG327816:SHG327824 SRC327816:SRC327824 TAY327816:TAY327824 TKU327816:TKU327824 TUQ327816:TUQ327824 UEM327816:UEM327824 UOI327816:UOI327824 UYE327816:UYE327824 VIA327816:VIA327824 VRW327816:VRW327824 WBS327816:WBS327824 WLO327816:WLO327824 WVK327816:WVK327824 C393353:C393361 IY393352:IY393360 SU393352:SU393360 ACQ393352:ACQ393360 AMM393352:AMM393360 AWI393352:AWI393360 BGE393352:BGE393360 BQA393352:BQA393360 BZW393352:BZW393360 CJS393352:CJS393360 CTO393352:CTO393360 DDK393352:DDK393360 DNG393352:DNG393360 DXC393352:DXC393360 EGY393352:EGY393360 EQU393352:EQU393360 FAQ393352:FAQ393360 FKM393352:FKM393360 FUI393352:FUI393360 GEE393352:GEE393360 GOA393352:GOA393360 GXW393352:GXW393360 HHS393352:HHS393360 HRO393352:HRO393360 IBK393352:IBK393360 ILG393352:ILG393360 IVC393352:IVC393360 JEY393352:JEY393360 JOU393352:JOU393360 JYQ393352:JYQ393360 KIM393352:KIM393360 KSI393352:KSI393360 LCE393352:LCE393360 LMA393352:LMA393360 LVW393352:LVW393360 MFS393352:MFS393360 MPO393352:MPO393360 MZK393352:MZK393360 NJG393352:NJG393360 NTC393352:NTC393360 OCY393352:OCY393360 OMU393352:OMU393360 OWQ393352:OWQ393360 PGM393352:PGM393360 PQI393352:PQI393360 QAE393352:QAE393360 QKA393352:QKA393360 QTW393352:QTW393360 RDS393352:RDS393360 RNO393352:RNO393360 RXK393352:RXK393360 SHG393352:SHG393360 SRC393352:SRC393360 TAY393352:TAY393360 TKU393352:TKU393360 TUQ393352:TUQ393360 UEM393352:UEM393360 UOI393352:UOI393360 UYE393352:UYE393360 VIA393352:VIA393360 VRW393352:VRW393360 WBS393352:WBS393360 WLO393352:WLO393360 WVK393352:WVK393360 C458889:C458897 IY458888:IY458896 SU458888:SU458896 ACQ458888:ACQ458896 AMM458888:AMM458896 AWI458888:AWI458896 BGE458888:BGE458896 BQA458888:BQA458896 BZW458888:BZW458896 CJS458888:CJS458896 CTO458888:CTO458896 DDK458888:DDK458896 DNG458888:DNG458896 DXC458888:DXC458896 EGY458888:EGY458896 EQU458888:EQU458896 FAQ458888:FAQ458896 FKM458888:FKM458896 FUI458888:FUI458896 GEE458888:GEE458896 GOA458888:GOA458896 GXW458888:GXW458896 HHS458888:HHS458896 HRO458888:HRO458896 IBK458888:IBK458896 ILG458888:ILG458896 IVC458888:IVC458896 JEY458888:JEY458896 JOU458888:JOU458896 JYQ458888:JYQ458896 KIM458888:KIM458896 KSI458888:KSI458896 LCE458888:LCE458896 LMA458888:LMA458896 LVW458888:LVW458896 MFS458888:MFS458896 MPO458888:MPO458896 MZK458888:MZK458896 NJG458888:NJG458896 NTC458888:NTC458896 OCY458888:OCY458896 OMU458888:OMU458896 OWQ458888:OWQ458896 PGM458888:PGM458896 PQI458888:PQI458896 QAE458888:QAE458896 QKA458888:QKA458896 QTW458888:QTW458896 RDS458888:RDS458896 RNO458888:RNO458896 RXK458888:RXK458896 SHG458888:SHG458896 SRC458888:SRC458896 TAY458888:TAY458896 TKU458888:TKU458896 TUQ458888:TUQ458896 UEM458888:UEM458896 UOI458888:UOI458896 UYE458888:UYE458896 VIA458888:VIA458896 VRW458888:VRW458896 WBS458888:WBS458896 WLO458888:WLO458896 WVK458888:WVK458896 C524425:C524433 IY524424:IY524432 SU524424:SU524432 ACQ524424:ACQ524432 AMM524424:AMM524432 AWI524424:AWI524432 BGE524424:BGE524432 BQA524424:BQA524432 BZW524424:BZW524432 CJS524424:CJS524432 CTO524424:CTO524432 DDK524424:DDK524432 DNG524424:DNG524432 DXC524424:DXC524432 EGY524424:EGY524432 EQU524424:EQU524432 FAQ524424:FAQ524432 FKM524424:FKM524432 FUI524424:FUI524432 GEE524424:GEE524432 GOA524424:GOA524432 GXW524424:GXW524432 HHS524424:HHS524432 HRO524424:HRO524432 IBK524424:IBK524432 ILG524424:ILG524432 IVC524424:IVC524432 JEY524424:JEY524432 JOU524424:JOU524432 JYQ524424:JYQ524432 KIM524424:KIM524432 KSI524424:KSI524432 LCE524424:LCE524432 LMA524424:LMA524432 LVW524424:LVW524432 MFS524424:MFS524432 MPO524424:MPO524432 MZK524424:MZK524432 NJG524424:NJG524432 NTC524424:NTC524432 OCY524424:OCY524432 OMU524424:OMU524432 OWQ524424:OWQ524432 PGM524424:PGM524432 PQI524424:PQI524432 QAE524424:QAE524432 QKA524424:QKA524432 QTW524424:QTW524432 RDS524424:RDS524432 RNO524424:RNO524432 RXK524424:RXK524432 SHG524424:SHG524432 SRC524424:SRC524432 TAY524424:TAY524432 TKU524424:TKU524432 TUQ524424:TUQ524432 UEM524424:UEM524432 UOI524424:UOI524432 UYE524424:UYE524432 VIA524424:VIA524432 VRW524424:VRW524432 WBS524424:WBS524432 WLO524424:WLO524432 WVK524424:WVK524432 C589961:C589969 IY589960:IY589968 SU589960:SU589968 ACQ589960:ACQ589968 AMM589960:AMM589968 AWI589960:AWI589968 BGE589960:BGE589968 BQA589960:BQA589968 BZW589960:BZW589968 CJS589960:CJS589968 CTO589960:CTO589968 DDK589960:DDK589968 DNG589960:DNG589968 DXC589960:DXC589968 EGY589960:EGY589968 EQU589960:EQU589968 FAQ589960:FAQ589968 FKM589960:FKM589968 FUI589960:FUI589968 GEE589960:GEE589968 GOA589960:GOA589968 GXW589960:GXW589968 HHS589960:HHS589968 HRO589960:HRO589968 IBK589960:IBK589968 ILG589960:ILG589968 IVC589960:IVC589968 JEY589960:JEY589968 JOU589960:JOU589968 JYQ589960:JYQ589968 KIM589960:KIM589968 KSI589960:KSI589968 LCE589960:LCE589968 LMA589960:LMA589968 LVW589960:LVW589968 MFS589960:MFS589968 MPO589960:MPO589968 MZK589960:MZK589968 NJG589960:NJG589968 NTC589960:NTC589968 OCY589960:OCY589968 OMU589960:OMU589968 OWQ589960:OWQ589968 PGM589960:PGM589968 PQI589960:PQI589968 QAE589960:QAE589968 QKA589960:QKA589968 QTW589960:QTW589968 RDS589960:RDS589968 RNO589960:RNO589968 RXK589960:RXK589968 SHG589960:SHG589968 SRC589960:SRC589968 TAY589960:TAY589968 TKU589960:TKU589968 TUQ589960:TUQ589968 UEM589960:UEM589968 UOI589960:UOI589968 UYE589960:UYE589968 VIA589960:VIA589968 VRW589960:VRW589968 WBS589960:WBS589968 WLO589960:WLO589968 WVK589960:WVK589968 C655497:C655505 IY655496:IY655504 SU655496:SU655504 ACQ655496:ACQ655504 AMM655496:AMM655504 AWI655496:AWI655504 BGE655496:BGE655504 BQA655496:BQA655504 BZW655496:BZW655504 CJS655496:CJS655504 CTO655496:CTO655504 DDK655496:DDK655504 DNG655496:DNG655504 DXC655496:DXC655504 EGY655496:EGY655504 EQU655496:EQU655504 FAQ655496:FAQ655504 FKM655496:FKM655504 FUI655496:FUI655504 GEE655496:GEE655504 GOA655496:GOA655504 GXW655496:GXW655504 HHS655496:HHS655504 HRO655496:HRO655504 IBK655496:IBK655504 ILG655496:ILG655504 IVC655496:IVC655504 JEY655496:JEY655504 JOU655496:JOU655504 JYQ655496:JYQ655504 KIM655496:KIM655504 KSI655496:KSI655504 LCE655496:LCE655504 LMA655496:LMA655504 LVW655496:LVW655504 MFS655496:MFS655504 MPO655496:MPO655504 MZK655496:MZK655504 NJG655496:NJG655504 NTC655496:NTC655504 OCY655496:OCY655504 OMU655496:OMU655504 OWQ655496:OWQ655504 PGM655496:PGM655504 PQI655496:PQI655504 QAE655496:QAE655504 QKA655496:QKA655504 QTW655496:QTW655504 RDS655496:RDS655504 RNO655496:RNO655504 RXK655496:RXK655504 SHG655496:SHG655504 SRC655496:SRC655504 TAY655496:TAY655504 TKU655496:TKU655504 TUQ655496:TUQ655504 UEM655496:UEM655504 UOI655496:UOI655504 UYE655496:UYE655504 VIA655496:VIA655504 VRW655496:VRW655504 WBS655496:WBS655504 WLO655496:WLO655504 WVK655496:WVK655504 C721033:C721041 IY721032:IY721040 SU721032:SU721040 ACQ721032:ACQ721040 AMM721032:AMM721040 AWI721032:AWI721040 BGE721032:BGE721040 BQA721032:BQA721040 BZW721032:BZW721040 CJS721032:CJS721040 CTO721032:CTO721040 DDK721032:DDK721040 DNG721032:DNG721040 DXC721032:DXC721040 EGY721032:EGY721040 EQU721032:EQU721040 FAQ721032:FAQ721040 FKM721032:FKM721040 FUI721032:FUI721040 GEE721032:GEE721040 GOA721032:GOA721040 GXW721032:GXW721040 HHS721032:HHS721040 HRO721032:HRO721040 IBK721032:IBK721040 ILG721032:ILG721040 IVC721032:IVC721040 JEY721032:JEY721040 JOU721032:JOU721040 JYQ721032:JYQ721040 KIM721032:KIM721040 KSI721032:KSI721040 LCE721032:LCE721040 LMA721032:LMA721040 LVW721032:LVW721040 MFS721032:MFS721040 MPO721032:MPO721040 MZK721032:MZK721040 NJG721032:NJG721040 NTC721032:NTC721040 OCY721032:OCY721040 OMU721032:OMU721040 OWQ721032:OWQ721040 PGM721032:PGM721040 PQI721032:PQI721040 QAE721032:QAE721040 QKA721032:QKA721040 QTW721032:QTW721040 RDS721032:RDS721040 RNO721032:RNO721040 RXK721032:RXK721040 SHG721032:SHG721040 SRC721032:SRC721040 TAY721032:TAY721040 TKU721032:TKU721040 TUQ721032:TUQ721040 UEM721032:UEM721040 UOI721032:UOI721040 UYE721032:UYE721040 VIA721032:VIA721040 VRW721032:VRW721040 WBS721032:WBS721040 WLO721032:WLO721040 WVK721032:WVK721040 C786569:C786577 IY786568:IY786576 SU786568:SU786576 ACQ786568:ACQ786576 AMM786568:AMM786576 AWI786568:AWI786576 BGE786568:BGE786576 BQA786568:BQA786576 BZW786568:BZW786576 CJS786568:CJS786576 CTO786568:CTO786576 DDK786568:DDK786576 DNG786568:DNG786576 DXC786568:DXC786576 EGY786568:EGY786576 EQU786568:EQU786576 FAQ786568:FAQ786576 FKM786568:FKM786576 FUI786568:FUI786576 GEE786568:GEE786576 GOA786568:GOA786576 GXW786568:GXW786576 HHS786568:HHS786576 HRO786568:HRO786576 IBK786568:IBK786576 ILG786568:ILG786576 IVC786568:IVC786576 JEY786568:JEY786576 JOU786568:JOU786576 JYQ786568:JYQ786576 KIM786568:KIM786576 KSI786568:KSI786576 LCE786568:LCE786576 LMA786568:LMA786576 LVW786568:LVW786576 MFS786568:MFS786576 MPO786568:MPO786576 MZK786568:MZK786576 NJG786568:NJG786576 NTC786568:NTC786576 OCY786568:OCY786576 OMU786568:OMU786576 OWQ786568:OWQ786576 PGM786568:PGM786576 PQI786568:PQI786576 QAE786568:QAE786576 QKA786568:QKA786576 QTW786568:QTW786576 RDS786568:RDS786576 RNO786568:RNO786576 RXK786568:RXK786576 SHG786568:SHG786576 SRC786568:SRC786576 TAY786568:TAY786576 TKU786568:TKU786576 TUQ786568:TUQ786576 UEM786568:UEM786576 UOI786568:UOI786576 UYE786568:UYE786576 VIA786568:VIA786576 VRW786568:VRW786576 WBS786568:WBS786576 WLO786568:WLO786576 WVK786568:WVK786576 C852105:C852113 IY852104:IY852112 SU852104:SU852112 ACQ852104:ACQ852112 AMM852104:AMM852112 AWI852104:AWI852112 BGE852104:BGE852112 BQA852104:BQA852112 BZW852104:BZW852112 CJS852104:CJS852112 CTO852104:CTO852112 DDK852104:DDK852112 DNG852104:DNG852112 DXC852104:DXC852112 EGY852104:EGY852112 EQU852104:EQU852112 FAQ852104:FAQ852112 FKM852104:FKM852112 FUI852104:FUI852112 GEE852104:GEE852112 GOA852104:GOA852112 GXW852104:GXW852112 HHS852104:HHS852112 HRO852104:HRO852112 IBK852104:IBK852112 ILG852104:ILG852112 IVC852104:IVC852112 JEY852104:JEY852112 JOU852104:JOU852112 JYQ852104:JYQ852112 KIM852104:KIM852112 KSI852104:KSI852112 LCE852104:LCE852112 LMA852104:LMA852112 LVW852104:LVW852112 MFS852104:MFS852112 MPO852104:MPO852112 MZK852104:MZK852112 NJG852104:NJG852112 NTC852104:NTC852112 OCY852104:OCY852112 OMU852104:OMU852112 OWQ852104:OWQ852112 PGM852104:PGM852112 PQI852104:PQI852112 QAE852104:QAE852112 QKA852104:QKA852112 QTW852104:QTW852112 RDS852104:RDS852112 RNO852104:RNO852112 RXK852104:RXK852112 SHG852104:SHG852112 SRC852104:SRC852112 TAY852104:TAY852112 TKU852104:TKU852112 TUQ852104:TUQ852112 UEM852104:UEM852112 UOI852104:UOI852112 UYE852104:UYE852112 VIA852104:VIA852112 VRW852104:VRW852112 WBS852104:WBS852112 WLO852104:WLO852112 WVK852104:WVK852112 C917641:C917649 IY917640:IY917648 SU917640:SU917648 ACQ917640:ACQ917648 AMM917640:AMM917648 AWI917640:AWI917648 BGE917640:BGE917648 BQA917640:BQA917648 BZW917640:BZW917648 CJS917640:CJS917648 CTO917640:CTO917648 DDK917640:DDK917648 DNG917640:DNG917648 DXC917640:DXC917648 EGY917640:EGY917648 EQU917640:EQU917648 FAQ917640:FAQ917648 FKM917640:FKM917648 FUI917640:FUI917648 GEE917640:GEE917648 GOA917640:GOA917648 GXW917640:GXW917648 HHS917640:HHS917648 HRO917640:HRO917648 IBK917640:IBK917648 ILG917640:ILG917648 IVC917640:IVC917648 JEY917640:JEY917648 JOU917640:JOU917648 JYQ917640:JYQ917648 KIM917640:KIM917648 KSI917640:KSI917648 LCE917640:LCE917648 LMA917640:LMA917648 LVW917640:LVW917648 MFS917640:MFS917648 MPO917640:MPO917648 MZK917640:MZK917648 NJG917640:NJG917648 NTC917640:NTC917648 OCY917640:OCY917648 OMU917640:OMU917648 OWQ917640:OWQ917648 PGM917640:PGM917648 PQI917640:PQI917648 QAE917640:QAE917648 QKA917640:QKA917648 QTW917640:QTW917648 RDS917640:RDS917648 RNO917640:RNO917648 RXK917640:RXK917648 SHG917640:SHG917648 SRC917640:SRC917648 TAY917640:TAY917648 TKU917640:TKU917648 TUQ917640:TUQ917648 UEM917640:UEM917648 UOI917640:UOI917648 UYE917640:UYE917648 VIA917640:VIA917648 VRW917640:VRW917648 WBS917640:WBS917648 WLO917640:WLO917648 WVK917640:WVK917648 C983177:C983185 IY983176:IY983184 SU983176:SU983184 ACQ983176:ACQ983184 AMM983176:AMM983184 AWI983176:AWI983184 BGE983176:BGE983184 BQA983176:BQA983184 BZW983176:BZW983184 CJS983176:CJS983184 CTO983176:CTO983184 DDK983176:DDK983184 DNG983176:DNG983184 DXC983176:DXC983184 EGY983176:EGY983184 EQU983176:EQU983184 FAQ983176:FAQ983184 FKM983176:FKM983184 FUI983176:FUI983184 GEE983176:GEE983184 GOA983176:GOA983184 GXW983176:GXW983184 HHS983176:HHS983184 HRO983176:HRO983184 IBK983176:IBK983184 ILG983176:ILG983184 IVC983176:IVC983184 JEY983176:JEY983184 JOU983176:JOU983184 JYQ983176:JYQ983184 KIM983176:KIM983184 KSI983176:KSI983184 LCE983176:LCE983184 LMA983176:LMA983184 LVW983176:LVW983184 MFS983176:MFS983184 MPO983176:MPO983184 MZK983176:MZK983184 NJG983176:NJG983184 NTC983176:NTC983184 OCY983176:OCY983184 OMU983176:OMU983184 OWQ983176:OWQ983184 PGM983176:PGM983184 PQI983176:PQI983184 QAE983176:QAE983184 QKA983176:QKA983184 QTW983176:QTW983184 RDS983176:RDS983184 RNO983176:RNO983184 RXK983176:RXK983184 SHG983176:SHG983184 SRC983176:SRC983184 TAY983176:TAY983184 TKU983176:TKU983184 TUQ983176:TUQ983184 UEM983176:UEM983184 UOI983176:UOI983184 UYE983176:UYE983184 VIA983176:VIA983184 VRW983176:VRW983184 WBS983176:WBS983184 WLO983176:WLO983184 C63:C98" xr:uid="{00000000-0002-0000-0500-000005000000}"/>
    <dataValidation type="list" allowBlank="1" showInputMessage="1" showErrorMessage="1" sqref="H154" xr:uid="{00000000-0002-0000-0500-000006000000}">
      <formula1>"Si, No"</formula1>
    </dataValidation>
    <dataValidation type="list" allowBlank="1" showInputMessage="1" showErrorMessage="1" sqref="E173:E192" xr:uid="{00000000-0002-0000-0500-000007000000}">
      <formula1>"Si,No"</formula1>
    </dataValidation>
  </dataValidations>
  <hyperlinks>
    <hyperlink ref="U1" location="ins" display="Instructivo" xr:uid="{00000000-0004-0000-0500-000000000000}"/>
    <hyperlink ref="A169" location="gtosadm" display="Ir a estimar gastos de administración" xr:uid="{00000000-0004-0000-0500-000001000000}"/>
    <hyperlink ref="C169" location="IVA" display="Info IVA" xr:uid="{00000000-0004-0000-0500-000002000000}"/>
  </hyperlinks>
  <printOptions horizontalCentered="1"/>
  <pageMargins left="0" right="0" top="0" bottom="0" header="0" footer="0"/>
  <pageSetup scale="42"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xWindow="266" yWindow="562" count="1">
        <x14:dataValidation type="list" allowBlank="1" showInputMessage="1" showErrorMessage="1" xr:uid="{00000000-0002-0000-0500-000008000000}">
          <x14:formula1>
            <xm:f>Honorarios!$A$9:$A$15</xm:f>
          </x14:formula1>
          <xm:sqref>A12:A42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BE05F-EEEA-4F2E-9BB7-7655AEBA7BDF}">
  <sheetPr>
    <tabColor theme="5" tint="0.39997558519241921"/>
    <pageSetUpPr fitToPage="1"/>
  </sheetPr>
  <dimension ref="A1:Q167"/>
  <sheetViews>
    <sheetView showGridLines="0" topLeftCell="A136" zoomScale="70" zoomScaleNormal="70" zoomScaleSheetLayoutView="80" zoomScalePageLayoutView="90" workbookViewId="0">
      <selection activeCell="A148" sqref="A148"/>
    </sheetView>
  </sheetViews>
  <sheetFormatPr defaultColWidth="15.1640625" defaultRowHeight="20.100000000000001" customHeight="1"/>
  <cols>
    <col min="1" max="1" width="85.83203125" style="64" bestFit="1" customWidth="1"/>
    <col min="2" max="2" width="19.33203125" style="64" customWidth="1"/>
    <col min="3" max="3" width="17.6640625" style="64" customWidth="1"/>
    <col min="4" max="4" width="20.33203125" style="64" customWidth="1"/>
    <col min="5" max="5" width="17.1640625" style="64" customWidth="1"/>
    <col min="6" max="6" width="18.5" style="64" customWidth="1"/>
    <col min="7" max="7" width="13.83203125" style="64" customWidth="1"/>
    <col min="8" max="8" width="20" style="64" customWidth="1"/>
    <col min="9" max="9" width="12.83203125" style="64" customWidth="1"/>
    <col min="10" max="10" width="15.1640625" style="64"/>
    <col min="11" max="11" width="16.1640625" style="64" customWidth="1"/>
    <col min="12" max="15" width="15.1640625" style="64"/>
    <col min="16" max="16" width="15.5" style="64" bestFit="1" customWidth="1"/>
    <col min="17" max="239" width="15.1640625" style="64"/>
    <col min="240" max="240" width="2.83203125" style="64" customWidth="1"/>
    <col min="241" max="241" width="26.33203125" style="64" customWidth="1"/>
    <col min="242" max="242" width="11.83203125" style="64" customWidth="1"/>
    <col min="243" max="243" width="17.6640625" style="64" customWidth="1"/>
    <col min="244" max="245" width="12.83203125" style="64" bestFit="1" customWidth="1"/>
    <col min="246" max="246" width="15.1640625" style="64"/>
    <col min="247" max="247" width="17.6640625" style="64" customWidth="1"/>
    <col min="248" max="248" width="15.5" style="64" customWidth="1"/>
    <col min="249" max="495" width="15.1640625" style="64"/>
    <col min="496" max="496" width="2.83203125" style="64" customWidth="1"/>
    <col min="497" max="497" width="26.33203125" style="64" customWidth="1"/>
    <col min="498" max="498" width="11.83203125" style="64" customWidth="1"/>
    <col min="499" max="499" width="17.6640625" style="64" customWidth="1"/>
    <col min="500" max="501" width="12.83203125" style="64" bestFit="1" customWidth="1"/>
    <col min="502" max="502" width="15.1640625" style="64"/>
    <col min="503" max="503" width="17.6640625" style="64" customWidth="1"/>
    <col min="504" max="504" width="15.5" style="64" customWidth="1"/>
    <col min="505" max="751" width="15.1640625" style="64"/>
    <col min="752" max="752" width="2.83203125" style="64" customWidth="1"/>
    <col min="753" max="753" width="26.33203125" style="64" customWidth="1"/>
    <col min="754" max="754" width="11.83203125" style="64" customWidth="1"/>
    <col min="755" max="755" width="17.6640625" style="64" customWidth="1"/>
    <col min="756" max="757" width="12.83203125" style="64" bestFit="1" customWidth="1"/>
    <col min="758" max="758" width="15.1640625" style="64"/>
    <col min="759" max="759" width="17.6640625" style="64" customWidth="1"/>
    <col min="760" max="760" width="15.5" style="64" customWidth="1"/>
    <col min="761" max="1007" width="15.1640625" style="64"/>
    <col min="1008" max="1008" width="2.83203125" style="64" customWidth="1"/>
    <col min="1009" max="1009" width="26.33203125" style="64" customWidth="1"/>
    <col min="1010" max="1010" width="11.83203125" style="64" customWidth="1"/>
    <col min="1011" max="1011" width="17.6640625" style="64" customWidth="1"/>
    <col min="1012" max="1013" width="12.83203125" style="64" bestFit="1" customWidth="1"/>
    <col min="1014" max="1014" width="15.1640625" style="64"/>
    <col min="1015" max="1015" width="17.6640625" style="64" customWidth="1"/>
    <col min="1016" max="1016" width="15.5" style="64" customWidth="1"/>
    <col min="1017" max="1263" width="15.1640625" style="64"/>
    <col min="1264" max="1264" width="2.83203125" style="64" customWidth="1"/>
    <col min="1265" max="1265" width="26.33203125" style="64" customWidth="1"/>
    <col min="1266" max="1266" width="11.83203125" style="64" customWidth="1"/>
    <col min="1267" max="1267" width="17.6640625" style="64" customWidth="1"/>
    <col min="1268" max="1269" width="12.83203125" style="64" bestFit="1" customWidth="1"/>
    <col min="1270" max="1270" width="15.1640625" style="64"/>
    <col min="1271" max="1271" width="17.6640625" style="64" customWidth="1"/>
    <col min="1272" max="1272" width="15.5" style="64" customWidth="1"/>
    <col min="1273" max="1519" width="15.1640625" style="64"/>
    <col min="1520" max="1520" width="2.83203125" style="64" customWidth="1"/>
    <col min="1521" max="1521" width="26.33203125" style="64" customWidth="1"/>
    <col min="1522" max="1522" width="11.83203125" style="64" customWidth="1"/>
    <col min="1523" max="1523" width="17.6640625" style="64" customWidth="1"/>
    <col min="1524" max="1525" width="12.83203125" style="64" bestFit="1" customWidth="1"/>
    <col min="1526" max="1526" width="15.1640625" style="64"/>
    <col min="1527" max="1527" width="17.6640625" style="64" customWidth="1"/>
    <col min="1528" max="1528" width="15.5" style="64" customWidth="1"/>
    <col min="1529" max="1775" width="15.1640625" style="64"/>
    <col min="1776" max="1776" width="2.83203125" style="64" customWidth="1"/>
    <col min="1777" max="1777" width="26.33203125" style="64" customWidth="1"/>
    <col min="1778" max="1778" width="11.83203125" style="64" customWidth="1"/>
    <col min="1779" max="1779" width="17.6640625" style="64" customWidth="1"/>
    <col min="1780" max="1781" width="12.83203125" style="64" bestFit="1" customWidth="1"/>
    <col min="1782" max="1782" width="15.1640625" style="64"/>
    <col min="1783" max="1783" width="17.6640625" style="64" customWidth="1"/>
    <col min="1784" max="1784" width="15.5" style="64" customWidth="1"/>
    <col min="1785" max="2031" width="15.1640625" style="64"/>
    <col min="2032" max="2032" width="2.83203125" style="64" customWidth="1"/>
    <col min="2033" max="2033" width="26.33203125" style="64" customWidth="1"/>
    <col min="2034" max="2034" width="11.83203125" style="64" customWidth="1"/>
    <col min="2035" max="2035" width="17.6640625" style="64" customWidth="1"/>
    <col min="2036" max="2037" width="12.83203125" style="64" bestFit="1" customWidth="1"/>
    <col min="2038" max="2038" width="15.1640625" style="64"/>
    <col min="2039" max="2039" width="17.6640625" style="64" customWidth="1"/>
    <col min="2040" max="2040" width="15.5" style="64" customWidth="1"/>
    <col min="2041" max="2287" width="15.1640625" style="64"/>
    <col min="2288" max="2288" width="2.83203125" style="64" customWidth="1"/>
    <col min="2289" max="2289" width="26.33203125" style="64" customWidth="1"/>
    <col min="2290" max="2290" width="11.83203125" style="64" customWidth="1"/>
    <col min="2291" max="2291" width="17.6640625" style="64" customWidth="1"/>
    <col min="2292" max="2293" width="12.83203125" style="64" bestFit="1" customWidth="1"/>
    <col min="2294" max="2294" width="15.1640625" style="64"/>
    <col min="2295" max="2295" width="17.6640625" style="64" customWidth="1"/>
    <col min="2296" max="2296" width="15.5" style="64" customWidth="1"/>
    <col min="2297" max="2543" width="15.1640625" style="64"/>
    <col min="2544" max="2544" width="2.83203125" style="64" customWidth="1"/>
    <col min="2545" max="2545" width="26.33203125" style="64" customWidth="1"/>
    <col min="2546" max="2546" width="11.83203125" style="64" customWidth="1"/>
    <col min="2547" max="2547" width="17.6640625" style="64" customWidth="1"/>
    <col min="2548" max="2549" width="12.83203125" style="64" bestFit="1" customWidth="1"/>
    <col min="2550" max="2550" width="15.1640625" style="64"/>
    <col min="2551" max="2551" width="17.6640625" style="64" customWidth="1"/>
    <col min="2552" max="2552" width="15.5" style="64" customWidth="1"/>
    <col min="2553" max="2799" width="15.1640625" style="64"/>
    <col min="2800" max="2800" width="2.83203125" style="64" customWidth="1"/>
    <col min="2801" max="2801" width="26.33203125" style="64" customWidth="1"/>
    <col min="2802" max="2802" width="11.83203125" style="64" customWidth="1"/>
    <col min="2803" max="2803" width="17.6640625" style="64" customWidth="1"/>
    <col min="2804" max="2805" width="12.83203125" style="64" bestFit="1" customWidth="1"/>
    <col min="2806" max="2806" width="15.1640625" style="64"/>
    <col min="2807" max="2807" width="17.6640625" style="64" customWidth="1"/>
    <col min="2808" max="2808" width="15.5" style="64" customWidth="1"/>
    <col min="2809" max="3055" width="15.1640625" style="64"/>
    <col min="3056" max="3056" width="2.83203125" style="64" customWidth="1"/>
    <col min="3057" max="3057" width="26.33203125" style="64" customWidth="1"/>
    <col min="3058" max="3058" width="11.83203125" style="64" customWidth="1"/>
    <col min="3059" max="3059" width="17.6640625" style="64" customWidth="1"/>
    <col min="3060" max="3061" width="12.83203125" style="64" bestFit="1" customWidth="1"/>
    <col min="3062" max="3062" width="15.1640625" style="64"/>
    <col min="3063" max="3063" width="17.6640625" style="64" customWidth="1"/>
    <col min="3064" max="3064" width="15.5" style="64" customWidth="1"/>
    <col min="3065" max="3311" width="15.1640625" style="64"/>
    <col min="3312" max="3312" width="2.83203125" style="64" customWidth="1"/>
    <col min="3313" max="3313" width="26.33203125" style="64" customWidth="1"/>
    <col min="3314" max="3314" width="11.83203125" style="64" customWidth="1"/>
    <col min="3315" max="3315" width="17.6640625" style="64" customWidth="1"/>
    <col min="3316" max="3317" width="12.83203125" style="64" bestFit="1" customWidth="1"/>
    <col min="3318" max="3318" width="15.1640625" style="64"/>
    <col min="3319" max="3319" width="17.6640625" style="64" customWidth="1"/>
    <col min="3320" max="3320" width="15.5" style="64" customWidth="1"/>
    <col min="3321" max="3567" width="15.1640625" style="64"/>
    <col min="3568" max="3568" width="2.83203125" style="64" customWidth="1"/>
    <col min="3569" max="3569" width="26.33203125" style="64" customWidth="1"/>
    <col min="3570" max="3570" width="11.83203125" style="64" customWidth="1"/>
    <col min="3571" max="3571" width="17.6640625" style="64" customWidth="1"/>
    <col min="3572" max="3573" width="12.83203125" style="64" bestFit="1" customWidth="1"/>
    <col min="3574" max="3574" width="15.1640625" style="64"/>
    <col min="3575" max="3575" width="17.6640625" style="64" customWidth="1"/>
    <col min="3576" max="3576" width="15.5" style="64" customWidth="1"/>
    <col min="3577" max="3823" width="15.1640625" style="64"/>
    <col min="3824" max="3824" width="2.83203125" style="64" customWidth="1"/>
    <col min="3825" max="3825" width="26.33203125" style="64" customWidth="1"/>
    <col min="3826" max="3826" width="11.83203125" style="64" customWidth="1"/>
    <col min="3827" max="3827" width="17.6640625" style="64" customWidth="1"/>
    <col min="3828" max="3829" width="12.83203125" style="64" bestFit="1" customWidth="1"/>
    <col min="3830" max="3830" width="15.1640625" style="64"/>
    <col min="3831" max="3831" width="17.6640625" style="64" customWidth="1"/>
    <col min="3832" max="3832" width="15.5" style="64" customWidth="1"/>
    <col min="3833" max="4079" width="15.1640625" style="64"/>
    <col min="4080" max="4080" width="2.83203125" style="64" customWidth="1"/>
    <col min="4081" max="4081" width="26.33203125" style="64" customWidth="1"/>
    <col min="4082" max="4082" width="11.83203125" style="64" customWidth="1"/>
    <col min="4083" max="4083" width="17.6640625" style="64" customWidth="1"/>
    <col min="4084" max="4085" width="12.83203125" style="64" bestFit="1" customWidth="1"/>
    <col min="4086" max="4086" width="15.1640625" style="64"/>
    <col min="4087" max="4087" width="17.6640625" style="64" customWidth="1"/>
    <col min="4088" max="4088" width="15.5" style="64" customWidth="1"/>
    <col min="4089" max="4335" width="15.1640625" style="64"/>
    <col min="4336" max="4336" width="2.83203125" style="64" customWidth="1"/>
    <col min="4337" max="4337" width="26.33203125" style="64" customWidth="1"/>
    <col min="4338" max="4338" width="11.83203125" style="64" customWidth="1"/>
    <col min="4339" max="4339" width="17.6640625" style="64" customWidth="1"/>
    <col min="4340" max="4341" width="12.83203125" style="64" bestFit="1" customWidth="1"/>
    <col min="4342" max="4342" width="15.1640625" style="64"/>
    <col min="4343" max="4343" width="17.6640625" style="64" customWidth="1"/>
    <col min="4344" max="4344" width="15.5" style="64" customWidth="1"/>
    <col min="4345" max="4591" width="15.1640625" style="64"/>
    <col min="4592" max="4592" width="2.83203125" style="64" customWidth="1"/>
    <col min="4593" max="4593" width="26.33203125" style="64" customWidth="1"/>
    <col min="4594" max="4594" width="11.83203125" style="64" customWidth="1"/>
    <col min="4595" max="4595" width="17.6640625" style="64" customWidth="1"/>
    <col min="4596" max="4597" width="12.83203125" style="64" bestFit="1" customWidth="1"/>
    <col min="4598" max="4598" width="15.1640625" style="64"/>
    <col min="4599" max="4599" width="17.6640625" style="64" customWidth="1"/>
    <col min="4600" max="4600" width="15.5" style="64" customWidth="1"/>
    <col min="4601" max="4847" width="15.1640625" style="64"/>
    <col min="4848" max="4848" width="2.83203125" style="64" customWidth="1"/>
    <col min="4849" max="4849" width="26.33203125" style="64" customWidth="1"/>
    <col min="4850" max="4850" width="11.83203125" style="64" customWidth="1"/>
    <col min="4851" max="4851" width="17.6640625" style="64" customWidth="1"/>
    <col min="4852" max="4853" width="12.83203125" style="64" bestFit="1" customWidth="1"/>
    <col min="4854" max="4854" width="15.1640625" style="64"/>
    <col min="4855" max="4855" width="17.6640625" style="64" customWidth="1"/>
    <col min="4856" max="4856" width="15.5" style="64" customWidth="1"/>
    <col min="4857" max="5103" width="15.1640625" style="64"/>
    <col min="5104" max="5104" width="2.83203125" style="64" customWidth="1"/>
    <col min="5105" max="5105" width="26.33203125" style="64" customWidth="1"/>
    <col min="5106" max="5106" width="11.83203125" style="64" customWidth="1"/>
    <col min="5107" max="5107" width="17.6640625" style="64" customWidth="1"/>
    <col min="5108" max="5109" width="12.83203125" style="64" bestFit="1" customWidth="1"/>
    <col min="5110" max="5110" width="15.1640625" style="64"/>
    <col min="5111" max="5111" width="17.6640625" style="64" customWidth="1"/>
    <col min="5112" max="5112" width="15.5" style="64" customWidth="1"/>
    <col min="5113" max="5359" width="15.1640625" style="64"/>
    <col min="5360" max="5360" width="2.83203125" style="64" customWidth="1"/>
    <col min="5361" max="5361" width="26.33203125" style="64" customWidth="1"/>
    <col min="5362" max="5362" width="11.83203125" style="64" customWidth="1"/>
    <col min="5363" max="5363" width="17.6640625" style="64" customWidth="1"/>
    <col min="5364" max="5365" width="12.83203125" style="64" bestFit="1" customWidth="1"/>
    <col min="5366" max="5366" width="15.1640625" style="64"/>
    <col min="5367" max="5367" width="17.6640625" style="64" customWidth="1"/>
    <col min="5368" max="5368" width="15.5" style="64" customWidth="1"/>
    <col min="5369" max="5615" width="15.1640625" style="64"/>
    <col min="5616" max="5616" width="2.83203125" style="64" customWidth="1"/>
    <col min="5617" max="5617" width="26.33203125" style="64" customWidth="1"/>
    <col min="5618" max="5618" width="11.83203125" style="64" customWidth="1"/>
    <col min="5619" max="5619" width="17.6640625" style="64" customWidth="1"/>
    <col min="5620" max="5621" width="12.83203125" style="64" bestFit="1" customWidth="1"/>
    <col min="5622" max="5622" width="15.1640625" style="64"/>
    <col min="5623" max="5623" width="17.6640625" style="64" customWidth="1"/>
    <col min="5624" max="5624" width="15.5" style="64" customWidth="1"/>
    <col min="5625" max="5871" width="15.1640625" style="64"/>
    <col min="5872" max="5872" width="2.83203125" style="64" customWidth="1"/>
    <col min="5873" max="5873" width="26.33203125" style="64" customWidth="1"/>
    <col min="5874" max="5874" width="11.83203125" style="64" customWidth="1"/>
    <col min="5875" max="5875" width="17.6640625" style="64" customWidth="1"/>
    <col min="5876" max="5877" width="12.83203125" style="64" bestFit="1" customWidth="1"/>
    <col min="5878" max="5878" width="15.1640625" style="64"/>
    <col min="5879" max="5879" width="17.6640625" style="64" customWidth="1"/>
    <col min="5880" max="5880" width="15.5" style="64" customWidth="1"/>
    <col min="5881" max="6127" width="15.1640625" style="64"/>
    <col min="6128" max="6128" width="2.83203125" style="64" customWidth="1"/>
    <col min="6129" max="6129" width="26.33203125" style="64" customWidth="1"/>
    <col min="6130" max="6130" width="11.83203125" style="64" customWidth="1"/>
    <col min="6131" max="6131" width="17.6640625" style="64" customWidth="1"/>
    <col min="6132" max="6133" width="12.83203125" style="64" bestFit="1" customWidth="1"/>
    <col min="6134" max="6134" width="15.1640625" style="64"/>
    <col min="6135" max="6135" width="17.6640625" style="64" customWidth="1"/>
    <col min="6136" max="6136" width="15.5" style="64" customWidth="1"/>
    <col min="6137" max="6383" width="15.1640625" style="64"/>
    <col min="6384" max="6384" width="2.83203125" style="64" customWidth="1"/>
    <col min="6385" max="6385" width="26.33203125" style="64" customWidth="1"/>
    <col min="6386" max="6386" width="11.83203125" style="64" customWidth="1"/>
    <col min="6387" max="6387" width="17.6640625" style="64" customWidth="1"/>
    <col min="6388" max="6389" width="12.83203125" style="64" bestFit="1" customWidth="1"/>
    <col min="6390" max="6390" width="15.1640625" style="64"/>
    <col min="6391" max="6391" width="17.6640625" style="64" customWidth="1"/>
    <col min="6392" max="6392" width="15.5" style="64" customWidth="1"/>
    <col min="6393" max="6639" width="15.1640625" style="64"/>
    <col min="6640" max="6640" width="2.83203125" style="64" customWidth="1"/>
    <col min="6641" max="6641" width="26.33203125" style="64" customWidth="1"/>
    <col min="6642" max="6642" width="11.83203125" style="64" customWidth="1"/>
    <col min="6643" max="6643" width="17.6640625" style="64" customWidth="1"/>
    <col min="6644" max="6645" width="12.83203125" style="64" bestFit="1" customWidth="1"/>
    <col min="6646" max="6646" width="15.1640625" style="64"/>
    <col min="6647" max="6647" width="17.6640625" style="64" customWidth="1"/>
    <col min="6648" max="6648" width="15.5" style="64" customWidth="1"/>
    <col min="6649" max="6895" width="15.1640625" style="64"/>
    <col min="6896" max="6896" width="2.83203125" style="64" customWidth="1"/>
    <col min="6897" max="6897" width="26.33203125" style="64" customWidth="1"/>
    <col min="6898" max="6898" width="11.83203125" style="64" customWidth="1"/>
    <col min="6899" max="6899" width="17.6640625" style="64" customWidth="1"/>
    <col min="6900" max="6901" width="12.83203125" style="64" bestFit="1" customWidth="1"/>
    <col min="6902" max="6902" width="15.1640625" style="64"/>
    <col min="6903" max="6903" width="17.6640625" style="64" customWidth="1"/>
    <col min="6904" max="6904" width="15.5" style="64" customWidth="1"/>
    <col min="6905" max="7151" width="15.1640625" style="64"/>
    <col min="7152" max="7152" width="2.83203125" style="64" customWidth="1"/>
    <col min="7153" max="7153" width="26.33203125" style="64" customWidth="1"/>
    <col min="7154" max="7154" width="11.83203125" style="64" customWidth="1"/>
    <col min="7155" max="7155" width="17.6640625" style="64" customWidth="1"/>
    <col min="7156" max="7157" width="12.83203125" style="64" bestFit="1" customWidth="1"/>
    <col min="7158" max="7158" width="15.1640625" style="64"/>
    <col min="7159" max="7159" width="17.6640625" style="64" customWidth="1"/>
    <col min="7160" max="7160" width="15.5" style="64" customWidth="1"/>
    <col min="7161" max="7407" width="15.1640625" style="64"/>
    <col min="7408" max="7408" width="2.83203125" style="64" customWidth="1"/>
    <col min="7409" max="7409" width="26.33203125" style="64" customWidth="1"/>
    <col min="7410" max="7410" width="11.83203125" style="64" customWidth="1"/>
    <col min="7411" max="7411" width="17.6640625" style="64" customWidth="1"/>
    <col min="7412" max="7413" width="12.83203125" style="64" bestFit="1" customWidth="1"/>
    <col min="7414" max="7414" width="15.1640625" style="64"/>
    <col min="7415" max="7415" width="17.6640625" style="64" customWidth="1"/>
    <col min="7416" max="7416" width="15.5" style="64" customWidth="1"/>
    <col min="7417" max="7663" width="15.1640625" style="64"/>
    <col min="7664" max="7664" width="2.83203125" style="64" customWidth="1"/>
    <col min="7665" max="7665" width="26.33203125" style="64" customWidth="1"/>
    <col min="7666" max="7666" width="11.83203125" style="64" customWidth="1"/>
    <col min="7667" max="7667" width="17.6640625" style="64" customWidth="1"/>
    <col min="7668" max="7669" width="12.83203125" style="64" bestFit="1" customWidth="1"/>
    <col min="7670" max="7670" width="15.1640625" style="64"/>
    <col min="7671" max="7671" width="17.6640625" style="64" customWidth="1"/>
    <col min="7672" max="7672" width="15.5" style="64" customWidth="1"/>
    <col min="7673" max="7919" width="15.1640625" style="64"/>
    <col min="7920" max="7920" width="2.83203125" style="64" customWidth="1"/>
    <col min="7921" max="7921" width="26.33203125" style="64" customWidth="1"/>
    <col min="7922" max="7922" width="11.83203125" style="64" customWidth="1"/>
    <col min="7923" max="7923" width="17.6640625" style="64" customWidth="1"/>
    <col min="7924" max="7925" width="12.83203125" style="64" bestFit="1" customWidth="1"/>
    <col min="7926" max="7926" width="15.1640625" style="64"/>
    <col min="7927" max="7927" width="17.6640625" style="64" customWidth="1"/>
    <col min="7928" max="7928" width="15.5" style="64" customWidth="1"/>
    <col min="7929" max="8175" width="15.1640625" style="64"/>
    <col min="8176" max="8176" width="2.83203125" style="64" customWidth="1"/>
    <col min="8177" max="8177" width="26.33203125" style="64" customWidth="1"/>
    <col min="8178" max="8178" width="11.83203125" style="64" customWidth="1"/>
    <col min="8179" max="8179" width="17.6640625" style="64" customWidth="1"/>
    <col min="8180" max="8181" width="12.83203125" style="64" bestFit="1" customWidth="1"/>
    <col min="8182" max="8182" width="15.1640625" style="64"/>
    <col min="8183" max="8183" width="17.6640625" style="64" customWidth="1"/>
    <col min="8184" max="8184" width="15.5" style="64" customWidth="1"/>
    <col min="8185" max="8431" width="15.1640625" style="64"/>
    <col min="8432" max="8432" width="2.83203125" style="64" customWidth="1"/>
    <col min="8433" max="8433" width="26.33203125" style="64" customWidth="1"/>
    <col min="8434" max="8434" width="11.83203125" style="64" customWidth="1"/>
    <col min="8435" max="8435" width="17.6640625" style="64" customWidth="1"/>
    <col min="8436" max="8437" width="12.83203125" style="64" bestFit="1" customWidth="1"/>
    <col min="8438" max="8438" width="15.1640625" style="64"/>
    <col min="8439" max="8439" width="17.6640625" style="64" customWidth="1"/>
    <col min="8440" max="8440" width="15.5" style="64" customWidth="1"/>
    <col min="8441" max="8687" width="15.1640625" style="64"/>
    <col min="8688" max="8688" width="2.83203125" style="64" customWidth="1"/>
    <col min="8689" max="8689" width="26.33203125" style="64" customWidth="1"/>
    <col min="8690" max="8690" width="11.83203125" style="64" customWidth="1"/>
    <col min="8691" max="8691" width="17.6640625" style="64" customWidth="1"/>
    <col min="8692" max="8693" width="12.83203125" style="64" bestFit="1" customWidth="1"/>
    <col min="8694" max="8694" width="15.1640625" style="64"/>
    <col min="8695" max="8695" width="17.6640625" style="64" customWidth="1"/>
    <col min="8696" max="8696" width="15.5" style="64" customWidth="1"/>
    <col min="8697" max="8943" width="15.1640625" style="64"/>
    <col min="8944" max="8944" width="2.83203125" style="64" customWidth="1"/>
    <col min="8945" max="8945" width="26.33203125" style="64" customWidth="1"/>
    <col min="8946" max="8946" width="11.83203125" style="64" customWidth="1"/>
    <col min="8947" max="8947" width="17.6640625" style="64" customWidth="1"/>
    <col min="8948" max="8949" width="12.83203125" style="64" bestFit="1" customWidth="1"/>
    <col min="8950" max="8950" width="15.1640625" style="64"/>
    <col min="8951" max="8951" width="17.6640625" style="64" customWidth="1"/>
    <col min="8952" max="8952" width="15.5" style="64" customWidth="1"/>
    <col min="8953" max="9199" width="15.1640625" style="64"/>
    <col min="9200" max="9200" width="2.83203125" style="64" customWidth="1"/>
    <col min="9201" max="9201" width="26.33203125" style="64" customWidth="1"/>
    <col min="9202" max="9202" width="11.83203125" style="64" customWidth="1"/>
    <col min="9203" max="9203" width="17.6640625" style="64" customWidth="1"/>
    <col min="9204" max="9205" width="12.83203125" style="64" bestFit="1" customWidth="1"/>
    <col min="9206" max="9206" width="15.1640625" style="64"/>
    <col min="9207" max="9207" width="17.6640625" style="64" customWidth="1"/>
    <col min="9208" max="9208" width="15.5" style="64" customWidth="1"/>
    <col min="9209" max="9455" width="15.1640625" style="64"/>
    <col min="9456" max="9456" width="2.83203125" style="64" customWidth="1"/>
    <col min="9457" max="9457" width="26.33203125" style="64" customWidth="1"/>
    <col min="9458" max="9458" width="11.83203125" style="64" customWidth="1"/>
    <col min="9459" max="9459" width="17.6640625" style="64" customWidth="1"/>
    <col min="9460" max="9461" width="12.83203125" style="64" bestFit="1" customWidth="1"/>
    <col min="9462" max="9462" width="15.1640625" style="64"/>
    <col min="9463" max="9463" width="17.6640625" style="64" customWidth="1"/>
    <col min="9464" max="9464" width="15.5" style="64" customWidth="1"/>
    <col min="9465" max="9711" width="15.1640625" style="64"/>
    <col min="9712" max="9712" width="2.83203125" style="64" customWidth="1"/>
    <col min="9713" max="9713" width="26.33203125" style="64" customWidth="1"/>
    <col min="9714" max="9714" width="11.83203125" style="64" customWidth="1"/>
    <col min="9715" max="9715" width="17.6640625" style="64" customWidth="1"/>
    <col min="9716" max="9717" width="12.83203125" style="64" bestFit="1" customWidth="1"/>
    <col min="9718" max="9718" width="15.1640625" style="64"/>
    <col min="9719" max="9719" width="17.6640625" style="64" customWidth="1"/>
    <col min="9720" max="9720" width="15.5" style="64" customWidth="1"/>
    <col min="9721" max="9967" width="15.1640625" style="64"/>
    <col min="9968" max="9968" width="2.83203125" style="64" customWidth="1"/>
    <col min="9969" max="9969" width="26.33203125" style="64" customWidth="1"/>
    <col min="9970" max="9970" width="11.83203125" style="64" customWidth="1"/>
    <col min="9971" max="9971" width="17.6640625" style="64" customWidth="1"/>
    <col min="9972" max="9973" width="12.83203125" style="64" bestFit="1" customWidth="1"/>
    <col min="9974" max="9974" width="15.1640625" style="64"/>
    <col min="9975" max="9975" width="17.6640625" style="64" customWidth="1"/>
    <col min="9976" max="9976" width="15.5" style="64" customWidth="1"/>
    <col min="9977" max="10223" width="15.1640625" style="64"/>
    <col min="10224" max="10224" width="2.83203125" style="64" customWidth="1"/>
    <col min="10225" max="10225" width="26.33203125" style="64" customWidth="1"/>
    <col min="10226" max="10226" width="11.83203125" style="64" customWidth="1"/>
    <col min="10227" max="10227" width="17.6640625" style="64" customWidth="1"/>
    <col min="10228" max="10229" width="12.83203125" style="64" bestFit="1" customWidth="1"/>
    <col min="10230" max="10230" width="15.1640625" style="64"/>
    <col min="10231" max="10231" width="17.6640625" style="64" customWidth="1"/>
    <col min="10232" max="10232" width="15.5" style="64" customWidth="1"/>
    <col min="10233" max="10479" width="15.1640625" style="64"/>
    <col min="10480" max="10480" width="2.83203125" style="64" customWidth="1"/>
    <col min="10481" max="10481" width="26.33203125" style="64" customWidth="1"/>
    <col min="10482" max="10482" width="11.83203125" style="64" customWidth="1"/>
    <col min="10483" max="10483" width="17.6640625" style="64" customWidth="1"/>
    <col min="10484" max="10485" width="12.83203125" style="64" bestFit="1" customWidth="1"/>
    <col min="10486" max="10486" width="15.1640625" style="64"/>
    <col min="10487" max="10487" width="17.6640625" style="64" customWidth="1"/>
    <col min="10488" max="10488" width="15.5" style="64" customWidth="1"/>
    <col min="10489" max="10735" width="15.1640625" style="64"/>
    <col min="10736" max="10736" width="2.83203125" style="64" customWidth="1"/>
    <col min="10737" max="10737" width="26.33203125" style="64" customWidth="1"/>
    <col min="10738" max="10738" width="11.83203125" style="64" customWidth="1"/>
    <col min="10739" max="10739" width="17.6640625" style="64" customWidth="1"/>
    <col min="10740" max="10741" width="12.83203125" style="64" bestFit="1" customWidth="1"/>
    <col min="10742" max="10742" width="15.1640625" style="64"/>
    <col min="10743" max="10743" width="17.6640625" style="64" customWidth="1"/>
    <col min="10744" max="10744" width="15.5" style="64" customWidth="1"/>
    <col min="10745" max="10991" width="15.1640625" style="64"/>
    <col min="10992" max="10992" width="2.83203125" style="64" customWidth="1"/>
    <col min="10993" max="10993" width="26.33203125" style="64" customWidth="1"/>
    <col min="10994" max="10994" width="11.83203125" style="64" customWidth="1"/>
    <col min="10995" max="10995" width="17.6640625" style="64" customWidth="1"/>
    <col min="10996" max="10997" width="12.83203125" style="64" bestFit="1" customWidth="1"/>
    <col min="10998" max="10998" width="15.1640625" style="64"/>
    <col min="10999" max="10999" width="17.6640625" style="64" customWidth="1"/>
    <col min="11000" max="11000" width="15.5" style="64" customWidth="1"/>
    <col min="11001" max="11247" width="15.1640625" style="64"/>
    <col min="11248" max="11248" width="2.83203125" style="64" customWidth="1"/>
    <col min="11249" max="11249" width="26.33203125" style="64" customWidth="1"/>
    <col min="11250" max="11250" width="11.83203125" style="64" customWidth="1"/>
    <col min="11251" max="11251" width="17.6640625" style="64" customWidth="1"/>
    <col min="11252" max="11253" width="12.83203125" style="64" bestFit="1" customWidth="1"/>
    <col min="11254" max="11254" width="15.1640625" style="64"/>
    <col min="11255" max="11255" width="17.6640625" style="64" customWidth="1"/>
    <col min="11256" max="11256" width="15.5" style="64" customWidth="1"/>
    <col min="11257" max="11503" width="15.1640625" style="64"/>
    <col min="11504" max="11504" width="2.83203125" style="64" customWidth="1"/>
    <col min="11505" max="11505" width="26.33203125" style="64" customWidth="1"/>
    <col min="11506" max="11506" width="11.83203125" style="64" customWidth="1"/>
    <col min="11507" max="11507" width="17.6640625" style="64" customWidth="1"/>
    <col min="11508" max="11509" width="12.83203125" style="64" bestFit="1" customWidth="1"/>
    <col min="11510" max="11510" width="15.1640625" style="64"/>
    <col min="11511" max="11511" width="17.6640625" style="64" customWidth="1"/>
    <col min="11512" max="11512" width="15.5" style="64" customWidth="1"/>
    <col min="11513" max="11759" width="15.1640625" style="64"/>
    <col min="11760" max="11760" width="2.83203125" style="64" customWidth="1"/>
    <col min="11761" max="11761" width="26.33203125" style="64" customWidth="1"/>
    <col min="11762" max="11762" width="11.83203125" style="64" customWidth="1"/>
    <col min="11763" max="11763" width="17.6640625" style="64" customWidth="1"/>
    <col min="11764" max="11765" width="12.83203125" style="64" bestFit="1" customWidth="1"/>
    <col min="11766" max="11766" width="15.1640625" style="64"/>
    <col min="11767" max="11767" width="17.6640625" style="64" customWidth="1"/>
    <col min="11768" max="11768" width="15.5" style="64" customWidth="1"/>
    <col min="11769" max="12015" width="15.1640625" style="64"/>
    <col min="12016" max="12016" width="2.83203125" style="64" customWidth="1"/>
    <col min="12017" max="12017" width="26.33203125" style="64" customWidth="1"/>
    <col min="12018" max="12018" width="11.83203125" style="64" customWidth="1"/>
    <col min="12019" max="12019" width="17.6640625" style="64" customWidth="1"/>
    <col min="12020" max="12021" width="12.83203125" style="64" bestFit="1" customWidth="1"/>
    <col min="12022" max="12022" width="15.1640625" style="64"/>
    <col min="12023" max="12023" width="17.6640625" style="64" customWidth="1"/>
    <col min="12024" max="12024" width="15.5" style="64" customWidth="1"/>
    <col min="12025" max="12271" width="15.1640625" style="64"/>
    <col min="12272" max="12272" width="2.83203125" style="64" customWidth="1"/>
    <col min="12273" max="12273" width="26.33203125" style="64" customWidth="1"/>
    <col min="12274" max="12274" width="11.83203125" style="64" customWidth="1"/>
    <col min="12275" max="12275" width="17.6640625" style="64" customWidth="1"/>
    <col min="12276" max="12277" width="12.83203125" style="64" bestFit="1" customWidth="1"/>
    <col min="12278" max="12278" width="15.1640625" style="64"/>
    <col min="12279" max="12279" width="17.6640625" style="64" customWidth="1"/>
    <col min="12280" max="12280" width="15.5" style="64" customWidth="1"/>
    <col min="12281" max="12527" width="15.1640625" style="64"/>
    <col min="12528" max="12528" width="2.83203125" style="64" customWidth="1"/>
    <col min="12529" max="12529" width="26.33203125" style="64" customWidth="1"/>
    <col min="12530" max="12530" width="11.83203125" style="64" customWidth="1"/>
    <col min="12531" max="12531" width="17.6640625" style="64" customWidth="1"/>
    <col min="12532" max="12533" width="12.83203125" style="64" bestFit="1" customWidth="1"/>
    <col min="12534" max="12534" width="15.1640625" style="64"/>
    <col min="12535" max="12535" width="17.6640625" style="64" customWidth="1"/>
    <col min="12536" max="12536" width="15.5" style="64" customWidth="1"/>
    <col min="12537" max="12783" width="15.1640625" style="64"/>
    <col min="12784" max="12784" width="2.83203125" style="64" customWidth="1"/>
    <col min="12785" max="12785" width="26.33203125" style="64" customWidth="1"/>
    <col min="12786" max="12786" width="11.83203125" style="64" customWidth="1"/>
    <col min="12787" max="12787" width="17.6640625" style="64" customWidth="1"/>
    <col min="12788" max="12789" width="12.83203125" style="64" bestFit="1" customWidth="1"/>
    <col min="12790" max="12790" width="15.1640625" style="64"/>
    <col min="12791" max="12791" width="17.6640625" style="64" customWidth="1"/>
    <col min="12792" max="12792" width="15.5" style="64" customWidth="1"/>
    <col min="12793" max="13039" width="15.1640625" style="64"/>
    <col min="13040" max="13040" width="2.83203125" style="64" customWidth="1"/>
    <col min="13041" max="13041" width="26.33203125" style="64" customWidth="1"/>
    <col min="13042" max="13042" width="11.83203125" style="64" customWidth="1"/>
    <col min="13043" max="13043" width="17.6640625" style="64" customWidth="1"/>
    <col min="13044" max="13045" width="12.83203125" style="64" bestFit="1" customWidth="1"/>
    <col min="13046" max="13046" width="15.1640625" style="64"/>
    <col min="13047" max="13047" width="17.6640625" style="64" customWidth="1"/>
    <col min="13048" max="13048" width="15.5" style="64" customWidth="1"/>
    <col min="13049" max="13295" width="15.1640625" style="64"/>
    <col min="13296" max="13296" width="2.83203125" style="64" customWidth="1"/>
    <col min="13297" max="13297" width="26.33203125" style="64" customWidth="1"/>
    <col min="13298" max="13298" width="11.83203125" style="64" customWidth="1"/>
    <col min="13299" max="13299" width="17.6640625" style="64" customWidth="1"/>
    <col min="13300" max="13301" width="12.83203125" style="64" bestFit="1" customWidth="1"/>
    <col min="13302" max="13302" width="15.1640625" style="64"/>
    <col min="13303" max="13303" width="17.6640625" style="64" customWidth="1"/>
    <col min="13304" max="13304" width="15.5" style="64" customWidth="1"/>
    <col min="13305" max="13551" width="15.1640625" style="64"/>
    <col min="13552" max="13552" width="2.83203125" style="64" customWidth="1"/>
    <col min="13553" max="13553" width="26.33203125" style="64" customWidth="1"/>
    <col min="13554" max="13554" width="11.83203125" style="64" customWidth="1"/>
    <col min="13555" max="13555" width="17.6640625" style="64" customWidth="1"/>
    <col min="13556" max="13557" width="12.83203125" style="64" bestFit="1" customWidth="1"/>
    <col min="13558" max="13558" width="15.1640625" style="64"/>
    <col min="13559" max="13559" width="17.6640625" style="64" customWidth="1"/>
    <col min="13560" max="13560" width="15.5" style="64" customWidth="1"/>
    <col min="13561" max="13807" width="15.1640625" style="64"/>
    <col min="13808" max="13808" width="2.83203125" style="64" customWidth="1"/>
    <col min="13809" max="13809" width="26.33203125" style="64" customWidth="1"/>
    <col min="13810" max="13810" width="11.83203125" style="64" customWidth="1"/>
    <col min="13811" max="13811" width="17.6640625" style="64" customWidth="1"/>
    <col min="13812" max="13813" width="12.83203125" style="64" bestFit="1" customWidth="1"/>
    <col min="13814" max="13814" width="15.1640625" style="64"/>
    <col min="13815" max="13815" width="17.6640625" style="64" customWidth="1"/>
    <col min="13816" max="13816" width="15.5" style="64" customWidth="1"/>
    <col min="13817" max="14063" width="15.1640625" style="64"/>
    <col min="14064" max="14064" width="2.83203125" style="64" customWidth="1"/>
    <col min="14065" max="14065" width="26.33203125" style="64" customWidth="1"/>
    <col min="14066" max="14066" width="11.83203125" style="64" customWidth="1"/>
    <col min="14067" max="14067" width="17.6640625" style="64" customWidth="1"/>
    <col min="14068" max="14069" width="12.83203125" style="64" bestFit="1" customWidth="1"/>
    <col min="14070" max="14070" width="15.1640625" style="64"/>
    <col min="14071" max="14071" width="17.6640625" style="64" customWidth="1"/>
    <col min="14072" max="14072" width="15.5" style="64" customWidth="1"/>
    <col min="14073" max="14319" width="15.1640625" style="64"/>
    <col min="14320" max="14320" width="2.83203125" style="64" customWidth="1"/>
    <col min="14321" max="14321" width="26.33203125" style="64" customWidth="1"/>
    <col min="14322" max="14322" width="11.83203125" style="64" customWidth="1"/>
    <col min="14323" max="14323" width="17.6640625" style="64" customWidth="1"/>
    <col min="14324" max="14325" width="12.83203125" style="64" bestFit="1" customWidth="1"/>
    <col min="14326" max="14326" width="15.1640625" style="64"/>
    <col min="14327" max="14327" width="17.6640625" style="64" customWidth="1"/>
    <col min="14328" max="14328" width="15.5" style="64" customWidth="1"/>
    <col min="14329" max="14575" width="15.1640625" style="64"/>
    <col min="14576" max="14576" width="2.83203125" style="64" customWidth="1"/>
    <col min="14577" max="14577" width="26.33203125" style="64" customWidth="1"/>
    <col min="14578" max="14578" width="11.83203125" style="64" customWidth="1"/>
    <col min="14579" max="14579" width="17.6640625" style="64" customWidth="1"/>
    <col min="14580" max="14581" width="12.83203125" style="64" bestFit="1" customWidth="1"/>
    <col min="14582" max="14582" width="15.1640625" style="64"/>
    <col min="14583" max="14583" width="17.6640625" style="64" customWidth="1"/>
    <col min="14584" max="14584" width="15.5" style="64" customWidth="1"/>
    <col min="14585" max="14831" width="15.1640625" style="64"/>
    <col min="14832" max="14832" width="2.83203125" style="64" customWidth="1"/>
    <col min="14833" max="14833" width="26.33203125" style="64" customWidth="1"/>
    <col min="14834" max="14834" width="11.83203125" style="64" customWidth="1"/>
    <col min="14835" max="14835" width="17.6640625" style="64" customWidth="1"/>
    <col min="14836" max="14837" width="12.83203125" style="64" bestFit="1" customWidth="1"/>
    <col min="14838" max="14838" width="15.1640625" style="64"/>
    <col min="14839" max="14839" width="17.6640625" style="64" customWidth="1"/>
    <col min="14840" max="14840" width="15.5" style="64" customWidth="1"/>
    <col min="14841" max="15087" width="15.1640625" style="64"/>
    <col min="15088" max="15088" width="2.83203125" style="64" customWidth="1"/>
    <col min="15089" max="15089" width="26.33203125" style="64" customWidth="1"/>
    <col min="15090" max="15090" width="11.83203125" style="64" customWidth="1"/>
    <col min="15091" max="15091" width="17.6640625" style="64" customWidth="1"/>
    <col min="15092" max="15093" width="12.83203125" style="64" bestFit="1" customWidth="1"/>
    <col min="15094" max="15094" width="15.1640625" style="64"/>
    <col min="15095" max="15095" width="17.6640625" style="64" customWidth="1"/>
    <col min="15096" max="15096" width="15.5" style="64" customWidth="1"/>
    <col min="15097" max="15343" width="15.1640625" style="64"/>
    <col min="15344" max="15344" width="2.83203125" style="64" customWidth="1"/>
    <col min="15345" max="15345" width="26.33203125" style="64" customWidth="1"/>
    <col min="15346" max="15346" width="11.83203125" style="64" customWidth="1"/>
    <col min="15347" max="15347" width="17.6640625" style="64" customWidth="1"/>
    <col min="15348" max="15349" width="12.83203125" style="64" bestFit="1" customWidth="1"/>
    <col min="15350" max="15350" width="15.1640625" style="64"/>
    <col min="15351" max="15351" width="17.6640625" style="64" customWidth="1"/>
    <col min="15352" max="15352" width="15.5" style="64" customWidth="1"/>
    <col min="15353" max="15599" width="15.1640625" style="64"/>
    <col min="15600" max="15600" width="2.83203125" style="64" customWidth="1"/>
    <col min="15601" max="15601" width="26.33203125" style="64" customWidth="1"/>
    <col min="15602" max="15602" width="11.83203125" style="64" customWidth="1"/>
    <col min="15603" max="15603" width="17.6640625" style="64" customWidth="1"/>
    <col min="15604" max="15605" width="12.83203125" style="64" bestFit="1" customWidth="1"/>
    <col min="15606" max="15606" width="15.1640625" style="64"/>
    <col min="15607" max="15607" width="17.6640625" style="64" customWidth="1"/>
    <col min="15608" max="15608" width="15.5" style="64" customWidth="1"/>
    <col min="15609" max="15855" width="15.1640625" style="64"/>
    <col min="15856" max="15856" width="2.83203125" style="64" customWidth="1"/>
    <col min="15857" max="15857" width="26.33203125" style="64" customWidth="1"/>
    <col min="15858" max="15858" width="11.83203125" style="64" customWidth="1"/>
    <col min="15859" max="15859" width="17.6640625" style="64" customWidth="1"/>
    <col min="15860" max="15861" width="12.83203125" style="64" bestFit="1" customWidth="1"/>
    <col min="15862" max="15862" width="15.1640625" style="64"/>
    <col min="15863" max="15863" width="17.6640625" style="64" customWidth="1"/>
    <col min="15864" max="15864" width="15.5" style="64" customWidth="1"/>
    <col min="15865" max="16111" width="15.1640625" style="64"/>
    <col min="16112" max="16112" width="2.83203125" style="64" customWidth="1"/>
    <col min="16113" max="16113" width="26.33203125" style="64" customWidth="1"/>
    <col min="16114" max="16114" width="11.83203125" style="64" customWidth="1"/>
    <col min="16115" max="16115" width="17.6640625" style="64" customWidth="1"/>
    <col min="16116" max="16117" width="12.83203125" style="64" bestFit="1" customWidth="1"/>
    <col min="16118" max="16118" width="15.1640625" style="64"/>
    <col min="16119" max="16119" width="17.6640625" style="64" customWidth="1"/>
    <col min="16120" max="16120" width="15.5" style="64" customWidth="1"/>
    <col min="16121" max="16384" width="15.1640625" style="64"/>
  </cols>
  <sheetData>
    <row r="1" spans="1:17" ht="20.100000000000001" customHeight="1">
      <c r="A1" s="1072"/>
      <c r="B1" s="1073"/>
      <c r="C1" s="1078" t="s">
        <v>0</v>
      </c>
      <c r="D1" s="1078"/>
      <c r="E1" s="1078"/>
      <c r="F1" s="1078"/>
      <c r="G1" s="1078"/>
      <c r="H1" s="1078"/>
      <c r="I1" s="1078"/>
      <c r="J1" s="1078"/>
      <c r="K1" s="1078"/>
      <c r="L1" s="1078"/>
      <c r="M1" s="1078"/>
      <c r="N1" s="1078"/>
      <c r="O1" s="1079"/>
      <c r="P1" s="366" t="s">
        <v>104</v>
      </c>
      <c r="Q1" s="65"/>
    </row>
    <row r="2" spans="1:17" ht="20.100000000000001" customHeight="1">
      <c r="A2" s="1074"/>
      <c r="B2" s="1075"/>
      <c r="C2" s="1080" t="s">
        <v>388</v>
      </c>
      <c r="D2" s="1080"/>
      <c r="E2" s="1080"/>
      <c r="F2" s="1080"/>
      <c r="G2" s="1080"/>
      <c r="H2" s="1080"/>
      <c r="I2" s="1080"/>
      <c r="J2" s="1080"/>
      <c r="K2" s="1080"/>
      <c r="L2" s="1080"/>
      <c r="M2" s="1080"/>
      <c r="N2" s="1080"/>
      <c r="O2" s="1081"/>
    </row>
    <row r="3" spans="1:17" ht="20.100000000000001" customHeight="1" thickBot="1">
      <c r="A3" s="1076"/>
      <c r="B3" s="1077"/>
      <c r="C3" s="1082" t="s">
        <v>2</v>
      </c>
      <c r="D3" s="1082"/>
      <c r="E3" s="1082"/>
      <c r="F3" s="1082"/>
      <c r="G3" s="1082"/>
      <c r="H3" s="1083" t="s">
        <v>106</v>
      </c>
      <c r="I3" s="1084"/>
      <c r="J3" s="1084"/>
      <c r="K3" s="1084"/>
      <c r="L3" s="1084"/>
      <c r="M3" s="1084"/>
      <c r="N3" s="1084"/>
      <c r="O3" s="1085"/>
    </row>
    <row r="4" spans="1:17" ht="20.100000000000001" customHeight="1" thickBot="1">
      <c r="A4" s="1086"/>
      <c r="B4" s="1086"/>
      <c r="C4" s="1086"/>
      <c r="D4" s="1086"/>
      <c r="E4" s="1086"/>
      <c r="F4" s="1086"/>
      <c r="G4" s="1086"/>
      <c r="H4" s="1086"/>
      <c r="I4" s="1086"/>
    </row>
    <row r="5" spans="1:17" ht="19.5" customHeight="1" thickBot="1">
      <c r="A5" s="990" t="s">
        <v>107</v>
      </c>
      <c r="B5" s="990"/>
      <c r="C5" s="1090" t="str">
        <f>'Plan Ejecución'!C5:AD5</f>
        <v>CONTRATACIÓN DIRECTA</v>
      </c>
      <c r="D5" s="1091"/>
      <c r="E5" s="1091"/>
      <c r="F5" s="1091"/>
      <c r="G5" s="1091"/>
      <c r="H5" s="1091"/>
      <c r="I5" s="1091"/>
      <c r="J5" s="1091"/>
      <c r="K5" s="1091"/>
      <c r="L5" s="1091"/>
      <c r="M5" s="1091"/>
      <c r="N5" s="1091"/>
      <c r="O5" s="1092"/>
    </row>
    <row r="6" spans="1:17" ht="28.5" customHeight="1" thickBot="1">
      <c r="A6" s="990" t="s">
        <v>109</v>
      </c>
      <c r="B6" s="990"/>
      <c r="C6" s="1090" t="str">
        <f>'Plan Ejecución'!C6:AD6</f>
        <v xml:space="preserve"> "“SOPORTE, MANTENIMIENTO Y ACTUALIZACIÓN DEL VISOR GEOGRÁFICO – AÑO 2025"</v>
      </c>
      <c r="D6" s="1091"/>
      <c r="E6" s="1091"/>
      <c r="F6" s="1091"/>
      <c r="G6" s="1091"/>
      <c r="H6" s="1091"/>
      <c r="I6" s="1091"/>
      <c r="J6" s="1091"/>
      <c r="K6" s="1091"/>
      <c r="L6" s="1091"/>
      <c r="M6" s="1091"/>
      <c r="N6" s="1091"/>
      <c r="O6" s="1092"/>
    </row>
    <row r="7" spans="1:17" ht="20.100000000000001" customHeight="1" thickBot="1">
      <c r="D7" s="72"/>
      <c r="E7" s="72"/>
      <c r="F7" s="72"/>
      <c r="G7" s="72"/>
      <c r="H7" s="72"/>
    </row>
    <row r="8" spans="1:17" ht="19.5" customHeight="1">
      <c r="A8" s="1069" t="s">
        <v>389</v>
      </c>
      <c r="B8" s="1070"/>
      <c r="C8" s="1070"/>
      <c r="D8" s="1070"/>
      <c r="E8" s="1070"/>
      <c r="F8" s="1070"/>
      <c r="G8" s="1070"/>
      <c r="H8" s="1070"/>
      <c r="I8" s="1071"/>
      <c r="J8" s="1093" t="s">
        <v>390</v>
      </c>
      <c r="K8" s="1094"/>
      <c r="L8" s="1094"/>
      <c r="M8" s="1094"/>
      <c r="N8" s="1094"/>
      <c r="O8" s="1095"/>
    </row>
    <row r="9" spans="1:17" ht="27.75" customHeight="1">
      <c r="A9" s="375" t="s">
        <v>391</v>
      </c>
      <c r="B9" s="109" t="s">
        <v>392</v>
      </c>
      <c r="C9" s="109" t="s">
        <v>393</v>
      </c>
      <c r="D9" s="109" t="s">
        <v>122</v>
      </c>
      <c r="E9" s="109" t="s">
        <v>394</v>
      </c>
      <c r="F9" s="109" t="s">
        <v>395</v>
      </c>
      <c r="G9" s="109" t="s">
        <v>396</v>
      </c>
      <c r="H9" s="109" t="s">
        <v>397</v>
      </c>
      <c r="I9" s="110" t="s">
        <v>398</v>
      </c>
      <c r="J9" s="420" t="s">
        <v>152</v>
      </c>
      <c r="K9" s="421" t="s">
        <v>185</v>
      </c>
      <c r="L9" s="421" t="s">
        <v>218</v>
      </c>
      <c r="M9" s="421" t="s">
        <v>251</v>
      </c>
      <c r="N9" s="421" t="s">
        <v>282</v>
      </c>
      <c r="O9" s="422" t="s">
        <v>313</v>
      </c>
    </row>
    <row r="10" spans="1:17" ht="20.100000000000001" customHeight="1">
      <c r="A10" s="1087" t="s">
        <v>399</v>
      </c>
      <c r="B10" s="1088"/>
      <c r="C10" s="1088"/>
      <c r="D10" s="1088"/>
      <c r="E10" s="1088"/>
      <c r="F10" s="1088"/>
      <c r="G10" s="1088"/>
      <c r="H10" s="1088"/>
      <c r="I10" s="1089"/>
      <c r="J10" s="394"/>
      <c r="K10" s="392"/>
      <c r="L10" s="392"/>
      <c r="M10" s="392"/>
      <c r="N10" s="392"/>
      <c r="O10" s="419"/>
    </row>
    <row r="11" spans="1:17" ht="20.100000000000001" customHeight="1">
      <c r="A11" s="10"/>
      <c r="B11" s="625"/>
      <c r="C11" s="5"/>
      <c r="D11" s="4"/>
      <c r="E11" s="689"/>
      <c r="F11" s="11" t="str">
        <f>IFERROR(VLOOKUP(A11,Honorarios!$A$9:$D$15,2,FALSE),"")</f>
        <v/>
      </c>
      <c r="G11" s="626" t="str">
        <f>IFERROR(((VLOOKUP(A11,Honorarios!$A$9:$D$15,3,FALSE))),"")</f>
        <v/>
      </c>
      <c r="H11" s="111">
        <f>IFERROR(B11*C11*E11*F11*G11,0)</f>
        <v>0</v>
      </c>
      <c r="I11" s="131">
        <f>IFERROR(H11/$H$80,0)</f>
        <v>0</v>
      </c>
      <c r="J11" s="690"/>
      <c r="K11" s="392"/>
      <c r="L11" s="691"/>
      <c r="M11" s="392"/>
      <c r="N11" s="392"/>
      <c r="O11" s="419"/>
      <c r="P11" s="833">
        <f>H11-SUM(J11:O11)</f>
        <v>0</v>
      </c>
    </row>
    <row r="12" spans="1:17" ht="20.100000000000001" customHeight="1">
      <c r="A12" s="10"/>
      <c r="B12" s="625"/>
      <c r="C12" s="5"/>
      <c r="D12" s="4"/>
      <c r="E12" s="689"/>
      <c r="F12" s="11" t="str">
        <f>IFERROR(VLOOKUP(A12,Honorarios!$A$9:$D$15,2,FALSE),"")</f>
        <v/>
      </c>
      <c r="G12" s="626" t="str">
        <f>IFERROR(((VLOOKUP(A12,Honorarios!$A$9:$D$15,3,FALSE))),"")</f>
        <v/>
      </c>
      <c r="H12" s="111">
        <f t="shared" ref="H12:H51" si="0">IFERROR(B12*C12*E12*F12*G12,0)</f>
        <v>0</v>
      </c>
      <c r="I12" s="131">
        <f t="shared" ref="I12:I51" si="1">IFERROR(H12/$H$80,0)</f>
        <v>0</v>
      </c>
      <c r="J12" s="394"/>
      <c r="K12" s="691"/>
      <c r="L12" s="691"/>
      <c r="M12" s="392"/>
      <c r="N12" s="392"/>
      <c r="O12" s="419"/>
      <c r="P12" s="833">
        <f t="shared" ref="P12:P51" si="2">H12-SUM(J12:O12)</f>
        <v>0</v>
      </c>
    </row>
    <row r="13" spans="1:17" ht="20.100000000000001" customHeight="1">
      <c r="A13" s="10"/>
      <c r="B13" s="625"/>
      <c r="C13" s="5"/>
      <c r="D13" s="4"/>
      <c r="E13" s="689"/>
      <c r="F13" s="11" t="str">
        <f>IFERROR(VLOOKUP(A13,Honorarios!$A$9:$D$15,2,FALSE),"")</f>
        <v/>
      </c>
      <c r="G13" s="626" t="str">
        <f>IFERROR(((VLOOKUP(A13,Honorarios!$A$9:$D$15,3,FALSE))),"")</f>
        <v/>
      </c>
      <c r="H13" s="111">
        <f t="shared" si="0"/>
        <v>0</v>
      </c>
      <c r="I13" s="131">
        <f t="shared" si="1"/>
        <v>0</v>
      </c>
      <c r="J13" s="394"/>
      <c r="K13" s="691"/>
      <c r="L13" s="691"/>
      <c r="M13" s="392"/>
      <c r="N13" s="392"/>
      <c r="O13" s="419"/>
      <c r="P13" s="833">
        <f t="shared" si="2"/>
        <v>0</v>
      </c>
    </row>
    <row r="14" spans="1:17" ht="20.100000000000001" customHeight="1">
      <c r="A14" s="10"/>
      <c r="B14" s="625"/>
      <c r="C14" s="5"/>
      <c r="D14" s="4"/>
      <c r="E14" s="689"/>
      <c r="F14" s="11" t="str">
        <f>IFERROR(VLOOKUP(A14,Honorarios!$A$9:$D$15,2,FALSE),"")</f>
        <v/>
      </c>
      <c r="G14" s="626" t="str">
        <f>IFERROR(((VLOOKUP(A14,Honorarios!$A$9:$D$15,3,FALSE))),"")</f>
        <v/>
      </c>
      <c r="H14" s="111">
        <f t="shared" si="0"/>
        <v>0</v>
      </c>
      <c r="I14" s="131">
        <f t="shared" si="1"/>
        <v>0</v>
      </c>
      <c r="J14" s="394"/>
      <c r="K14" s="691"/>
      <c r="L14" s="691"/>
      <c r="M14" s="392"/>
      <c r="N14" s="392"/>
      <c r="O14" s="419"/>
      <c r="P14" s="833">
        <f t="shared" si="2"/>
        <v>0</v>
      </c>
    </row>
    <row r="15" spans="1:17" ht="20.100000000000001" customHeight="1">
      <c r="A15" s="10"/>
      <c r="B15" s="625"/>
      <c r="C15" s="5"/>
      <c r="D15" s="4"/>
      <c r="E15" s="689"/>
      <c r="F15" s="11" t="str">
        <f>IFERROR(VLOOKUP(A15,Honorarios!$A$9:$D$15,2,FALSE),"")</f>
        <v/>
      </c>
      <c r="G15" s="626" t="str">
        <f>IFERROR(((VLOOKUP(A15,Honorarios!$A$9:$D$15,3,FALSE))),"")</f>
        <v/>
      </c>
      <c r="H15" s="111">
        <f t="shared" si="0"/>
        <v>0</v>
      </c>
      <c r="I15" s="131">
        <f t="shared" si="1"/>
        <v>0</v>
      </c>
      <c r="J15" s="394"/>
      <c r="K15" s="691"/>
      <c r="L15" s="691"/>
      <c r="M15" s="392"/>
      <c r="N15" s="392"/>
      <c r="O15" s="419"/>
      <c r="P15" s="833">
        <f t="shared" si="2"/>
        <v>0</v>
      </c>
    </row>
    <row r="16" spans="1:17" ht="20.100000000000001" hidden="1" customHeight="1">
      <c r="A16" s="10"/>
      <c r="B16" s="625"/>
      <c r="C16" s="5"/>
      <c r="D16" s="4"/>
      <c r="E16" s="689"/>
      <c r="F16" s="11" t="str">
        <f>IFERROR(VLOOKUP(A16,Honorarios!$A$9:$D$15,2,FALSE),"")</f>
        <v/>
      </c>
      <c r="G16" s="626" t="str">
        <f>IFERROR(((VLOOKUP(A16,Honorarios!$A$9:$D$15,3,FALSE))),"")</f>
        <v/>
      </c>
      <c r="H16" s="111">
        <f t="shared" si="0"/>
        <v>0</v>
      </c>
      <c r="I16" s="131">
        <f t="shared" si="1"/>
        <v>0</v>
      </c>
      <c r="J16" s="394"/>
      <c r="K16" s="691"/>
      <c r="L16" s="691"/>
      <c r="M16" s="392"/>
      <c r="N16" s="392"/>
      <c r="O16" s="419"/>
      <c r="P16" s="833">
        <f t="shared" si="2"/>
        <v>0</v>
      </c>
    </row>
    <row r="17" spans="1:16" ht="20.100000000000001" hidden="1" customHeight="1">
      <c r="A17" s="10"/>
      <c r="B17" s="625"/>
      <c r="C17" s="5"/>
      <c r="D17" s="4"/>
      <c r="E17" s="689"/>
      <c r="F17" s="11" t="str">
        <f>IFERROR(VLOOKUP(A17,Honorarios!$A$9:$D$15,2,FALSE),"")</f>
        <v/>
      </c>
      <c r="G17" s="626" t="str">
        <f>IFERROR(((VLOOKUP(A17,Honorarios!$A$9:$D$15,3,FALSE))),"")</f>
        <v/>
      </c>
      <c r="H17" s="111">
        <f t="shared" si="0"/>
        <v>0</v>
      </c>
      <c r="I17" s="131">
        <f t="shared" si="1"/>
        <v>0</v>
      </c>
      <c r="J17" s="394"/>
      <c r="K17" s="691"/>
      <c r="L17" s="691"/>
      <c r="M17" s="392"/>
      <c r="N17" s="392"/>
      <c r="O17" s="419"/>
      <c r="P17" s="833">
        <f t="shared" si="2"/>
        <v>0</v>
      </c>
    </row>
    <row r="18" spans="1:16" ht="20.100000000000001" hidden="1" customHeight="1">
      <c r="A18" s="10"/>
      <c r="B18" s="625"/>
      <c r="C18" s="5"/>
      <c r="D18" s="4"/>
      <c r="E18" s="689"/>
      <c r="F18" s="11" t="str">
        <f>IFERROR(VLOOKUP(A18,Honorarios!$A$9:$D$15,2,FALSE),"")</f>
        <v/>
      </c>
      <c r="G18" s="626" t="str">
        <f>IFERROR(((VLOOKUP(A18,Honorarios!$A$9:$D$15,3,FALSE))),"")</f>
        <v/>
      </c>
      <c r="H18" s="111">
        <f t="shared" si="0"/>
        <v>0</v>
      </c>
      <c r="I18" s="131">
        <f t="shared" si="1"/>
        <v>0</v>
      </c>
      <c r="J18" s="394"/>
      <c r="K18" s="691"/>
      <c r="L18" s="691"/>
      <c r="M18" s="392"/>
      <c r="N18" s="392"/>
      <c r="O18" s="419"/>
      <c r="P18" s="833">
        <f t="shared" si="2"/>
        <v>0</v>
      </c>
    </row>
    <row r="19" spans="1:16" ht="20.100000000000001" hidden="1" customHeight="1">
      <c r="A19" s="10"/>
      <c r="B19" s="625"/>
      <c r="C19" s="5"/>
      <c r="D19" s="4"/>
      <c r="E19" s="689"/>
      <c r="F19" s="11" t="str">
        <f>IFERROR(VLOOKUP(A19,Honorarios!$A$9:$D$15,2,FALSE),"")</f>
        <v/>
      </c>
      <c r="G19" s="626" t="str">
        <f>IFERROR(((VLOOKUP(A19,Honorarios!$A$9:$D$15,3,FALSE))),"")</f>
        <v/>
      </c>
      <c r="H19" s="111">
        <f t="shared" si="0"/>
        <v>0</v>
      </c>
      <c r="I19" s="131">
        <f t="shared" si="1"/>
        <v>0</v>
      </c>
      <c r="J19" s="394"/>
      <c r="K19" s="691"/>
      <c r="L19" s="691"/>
      <c r="M19" s="392"/>
      <c r="N19" s="392"/>
      <c r="O19" s="419"/>
      <c r="P19" s="833">
        <f t="shared" si="2"/>
        <v>0</v>
      </c>
    </row>
    <row r="20" spans="1:16" ht="20.100000000000001" hidden="1" customHeight="1">
      <c r="A20" s="10"/>
      <c r="B20" s="625"/>
      <c r="C20" s="5"/>
      <c r="D20" s="4"/>
      <c r="E20" s="689"/>
      <c r="F20" s="11" t="str">
        <f>IFERROR(VLOOKUP(A20,Honorarios!$A$9:$D$15,2,FALSE),"")</f>
        <v/>
      </c>
      <c r="G20" s="626" t="str">
        <f>IFERROR(((VLOOKUP(A20,Honorarios!$A$9:$D$15,3,FALSE))),"")</f>
        <v/>
      </c>
      <c r="H20" s="111">
        <f t="shared" si="0"/>
        <v>0</v>
      </c>
      <c r="I20" s="131">
        <f t="shared" si="1"/>
        <v>0</v>
      </c>
      <c r="J20" s="394"/>
      <c r="K20" s="691"/>
      <c r="L20" s="691"/>
      <c r="M20" s="392"/>
      <c r="N20" s="392"/>
      <c r="O20" s="419"/>
      <c r="P20" s="833">
        <f t="shared" si="2"/>
        <v>0</v>
      </c>
    </row>
    <row r="21" spans="1:16" ht="20.100000000000001" hidden="1" customHeight="1">
      <c r="A21" s="10"/>
      <c r="B21" s="625"/>
      <c r="C21" s="5"/>
      <c r="D21" s="4"/>
      <c r="E21" s="689"/>
      <c r="F21" s="11" t="str">
        <f>IFERROR(VLOOKUP(A21,Honorarios!$A$9:$D$15,2,FALSE),"")</f>
        <v/>
      </c>
      <c r="G21" s="626" t="str">
        <f>IFERROR(((VLOOKUP(A21,Honorarios!$A$9:$D$15,3,FALSE))),"")</f>
        <v/>
      </c>
      <c r="H21" s="111">
        <f t="shared" si="0"/>
        <v>0</v>
      </c>
      <c r="I21" s="131">
        <f t="shared" si="1"/>
        <v>0</v>
      </c>
      <c r="J21" s="394"/>
      <c r="K21" s="691"/>
      <c r="L21" s="691"/>
      <c r="M21" s="392"/>
      <c r="N21" s="392"/>
      <c r="O21" s="419"/>
      <c r="P21" s="833">
        <f t="shared" si="2"/>
        <v>0</v>
      </c>
    </row>
    <row r="22" spans="1:16" ht="20.100000000000001" hidden="1" customHeight="1">
      <c r="A22" s="10"/>
      <c r="B22" s="625"/>
      <c r="C22" s="5"/>
      <c r="D22" s="4"/>
      <c r="E22" s="689"/>
      <c r="F22" s="11" t="str">
        <f>IFERROR(VLOOKUP(A22,Honorarios!$A$9:$D$15,2,FALSE),"")</f>
        <v/>
      </c>
      <c r="G22" s="626" t="str">
        <f>IFERROR(((VLOOKUP(A22,Honorarios!$A$9:$D$15,3,FALSE))),"")</f>
        <v/>
      </c>
      <c r="H22" s="111">
        <f t="shared" si="0"/>
        <v>0</v>
      </c>
      <c r="I22" s="131">
        <f t="shared" si="1"/>
        <v>0</v>
      </c>
      <c r="J22" s="394"/>
      <c r="K22" s="691"/>
      <c r="L22" s="691"/>
      <c r="M22" s="392"/>
      <c r="N22" s="392"/>
      <c r="O22" s="419"/>
      <c r="P22" s="833">
        <f t="shared" si="2"/>
        <v>0</v>
      </c>
    </row>
    <row r="23" spans="1:16" ht="20.100000000000001" hidden="1" customHeight="1">
      <c r="A23" s="10"/>
      <c r="B23" s="625"/>
      <c r="C23" s="5"/>
      <c r="D23" s="4"/>
      <c r="E23" s="689"/>
      <c r="F23" s="11" t="str">
        <f>IFERROR(VLOOKUP(A23,Honorarios!$A$9:$D$15,2,FALSE),"")</f>
        <v/>
      </c>
      <c r="G23" s="626" t="str">
        <f>IFERROR(((VLOOKUP(A23,Honorarios!$A$9:$D$15,3,FALSE))),"")</f>
        <v/>
      </c>
      <c r="H23" s="111">
        <f t="shared" si="0"/>
        <v>0</v>
      </c>
      <c r="I23" s="131">
        <f t="shared" si="1"/>
        <v>0</v>
      </c>
      <c r="J23" s="394"/>
      <c r="K23" s="691"/>
      <c r="L23" s="691"/>
      <c r="M23" s="392"/>
      <c r="N23" s="392"/>
      <c r="O23" s="419"/>
      <c r="P23" s="833">
        <f t="shared" si="2"/>
        <v>0</v>
      </c>
    </row>
    <row r="24" spans="1:16" ht="20.100000000000001" hidden="1" customHeight="1">
      <c r="A24" s="10"/>
      <c r="B24" s="625"/>
      <c r="C24" s="5"/>
      <c r="D24" s="4"/>
      <c r="E24" s="689"/>
      <c r="F24" s="11" t="str">
        <f>IFERROR(VLOOKUP(A24,Honorarios!$A$9:$D$15,2,FALSE),"")</f>
        <v/>
      </c>
      <c r="G24" s="626" t="str">
        <f>IFERROR(((VLOOKUP(A24,Honorarios!$A$9:$D$15,3,FALSE))),"")</f>
        <v/>
      </c>
      <c r="H24" s="111">
        <f t="shared" si="0"/>
        <v>0</v>
      </c>
      <c r="I24" s="131">
        <f t="shared" si="1"/>
        <v>0</v>
      </c>
      <c r="J24" s="394"/>
      <c r="K24" s="691"/>
      <c r="L24" s="691"/>
      <c r="M24" s="392"/>
      <c r="N24" s="392"/>
      <c r="O24" s="419"/>
      <c r="P24" s="833">
        <f t="shared" si="2"/>
        <v>0</v>
      </c>
    </row>
    <row r="25" spans="1:16" ht="20.100000000000001" hidden="1" customHeight="1">
      <c r="A25" s="10"/>
      <c r="B25" s="625"/>
      <c r="C25" s="5"/>
      <c r="D25" s="4"/>
      <c r="E25" s="689"/>
      <c r="F25" s="11" t="str">
        <f>IFERROR(VLOOKUP(A25,Honorarios!$A$9:$D$15,2,FALSE),"")</f>
        <v/>
      </c>
      <c r="G25" s="626" t="str">
        <f>IFERROR(((VLOOKUP(A25,Honorarios!$A$9:$D$15,3,FALSE))),"")</f>
        <v/>
      </c>
      <c r="H25" s="111">
        <f t="shared" si="0"/>
        <v>0</v>
      </c>
      <c r="I25" s="131">
        <f t="shared" si="1"/>
        <v>0</v>
      </c>
      <c r="J25" s="394"/>
      <c r="K25" s="691"/>
      <c r="L25" s="691"/>
      <c r="M25" s="392"/>
      <c r="N25" s="392"/>
      <c r="O25" s="419"/>
      <c r="P25" s="833">
        <f t="shared" si="2"/>
        <v>0</v>
      </c>
    </row>
    <row r="26" spans="1:16" ht="20.100000000000001" hidden="1" customHeight="1">
      <c r="A26" s="10"/>
      <c r="B26" s="625"/>
      <c r="C26" s="5"/>
      <c r="D26" s="4"/>
      <c r="E26" s="689"/>
      <c r="F26" s="11" t="str">
        <f>IFERROR(VLOOKUP(A26,Honorarios!$A$9:$D$15,2,FALSE),"")</f>
        <v/>
      </c>
      <c r="G26" s="626" t="str">
        <f>IFERROR(((VLOOKUP(A26,Honorarios!$A$9:$D$15,3,FALSE))),"")</f>
        <v/>
      </c>
      <c r="H26" s="111">
        <f t="shared" si="0"/>
        <v>0</v>
      </c>
      <c r="I26" s="131">
        <f t="shared" si="1"/>
        <v>0</v>
      </c>
      <c r="J26" s="394"/>
      <c r="K26" s="691"/>
      <c r="L26" s="691"/>
      <c r="M26" s="392"/>
      <c r="N26" s="392"/>
      <c r="O26" s="419"/>
      <c r="P26" s="833">
        <f t="shared" si="2"/>
        <v>0</v>
      </c>
    </row>
    <row r="27" spans="1:16" ht="20.100000000000001" hidden="1" customHeight="1">
      <c r="A27" s="10"/>
      <c r="B27" s="625"/>
      <c r="C27" s="5"/>
      <c r="D27" s="4"/>
      <c r="E27" s="689"/>
      <c r="F27" s="11" t="str">
        <f>IFERROR(VLOOKUP(A27,Honorarios!$A$9:$D$15,2,FALSE),"")</f>
        <v/>
      </c>
      <c r="G27" s="626" t="str">
        <f>IFERROR(((VLOOKUP(A27,Honorarios!$A$9:$D$15,3,FALSE))),"")</f>
        <v/>
      </c>
      <c r="H27" s="111">
        <f t="shared" si="0"/>
        <v>0</v>
      </c>
      <c r="I27" s="131">
        <f t="shared" si="1"/>
        <v>0</v>
      </c>
      <c r="J27" s="394"/>
      <c r="K27" s="691"/>
      <c r="L27" s="691"/>
      <c r="M27" s="392"/>
      <c r="N27" s="392"/>
      <c r="O27" s="419"/>
      <c r="P27" s="833">
        <f t="shared" si="2"/>
        <v>0</v>
      </c>
    </row>
    <row r="28" spans="1:16" ht="20.100000000000001" hidden="1" customHeight="1">
      <c r="A28" s="10"/>
      <c r="B28" s="625"/>
      <c r="C28" s="5"/>
      <c r="D28" s="4"/>
      <c r="E28" s="624"/>
      <c r="F28" s="11" t="str">
        <f>IFERROR(VLOOKUP(A28,Honorarios!$A$9:$D$15,2,FALSE),"")</f>
        <v/>
      </c>
      <c r="G28" s="626" t="str">
        <f>IFERROR(((VLOOKUP(A28,Honorarios!$A$9:$D$15,3,FALSE))),"")</f>
        <v/>
      </c>
      <c r="H28" s="111">
        <f t="shared" si="0"/>
        <v>0</v>
      </c>
      <c r="I28" s="131">
        <f t="shared" si="1"/>
        <v>0</v>
      </c>
      <c r="J28" s="394"/>
      <c r="K28" s="691"/>
      <c r="L28" s="392"/>
      <c r="M28" s="392"/>
      <c r="N28" s="392"/>
      <c r="O28" s="419"/>
      <c r="P28" s="833">
        <f t="shared" si="2"/>
        <v>0</v>
      </c>
    </row>
    <row r="29" spans="1:16" ht="19.5" hidden="1" customHeight="1">
      <c r="A29" s="10"/>
      <c r="B29" s="625"/>
      <c r="C29" s="5"/>
      <c r="D29" s="4"/>
      <c r="E29" s="624"/>
      <c r="F29" s="11" t="str">
        <f>IFERROR(VLOOKUP(A29,Honorarios!$A$9:$D$15,2,FALSE),"")</f>
        <v/>
      </c>
      <c r="G29" s="626" t="str">
        <f>IFERROR(((VLOOKUP(A29,Honorarios!$A$9:$D$15,3,FALSE))),"")</f>
        <v/>
      </c>
      <c r="H29" s="111">
        <f t="shared" si="0"/>
        <v>0</v>
      </c>
      <c r="I29" s="131">
        <f t="shared" si="1"/>
        <v>0</v>
      </c>
      <c r="J29" s="394"/>
      <c r="K29" s="392"/>
      <c r="L29" s="392"/>
      <c r="M29" s="392"/>
      <c r="N29" s="392"/>
      <c r="O29" s="419"/>
      <c r="P29" s="833">
        <f t="shared" si="2"/>
        <v>0</v>
      </c>
    </row>
    <row r="30" spans="1:16" ht="20.100000000000001" hidden="1" customHeight="1">
      <c r="A30" s="10"/>
      <c r="B30" s="625"/>
      <c r="C30" s="5"/>
      <c r="D30" s="4"/>
      <c r="E30" s="624"/>
      <c r="F30" s="11" t="str">
        <f>IFERROR(VLOOKUP(A30,Honorarios!$A$9:$D$15,2,FALSE),"")</f>
        <v/>
      </c>
      <c r="G30" s="626" t="str">
        <f>IFERROR(((VLOOKUP(A30,Honorarios!$A$9:$D$15,3,FALSE))),"")</f>
        <v/>
      </c>
      <c r="H30" s="111">
        <f t="shared" si="0"/>
        <v>0</v>
      </c>
      <c r="I30" s="131">
        <f t="shared" si="1"/>
        <v>0</v>
      </c>
      <c r="J30" s="394"/>
      <c r="K30" s="392"/>
      <c r="L30" s="392"/>
      <c r="M30" s="392"/>
      <c r="N30" s="392"/>
      <c r="O30" s="419"/>
      <c r="P30" s="833">
        <f t="shared" si="2"/>
        <v>0</v>
      </c>
    </row>
    <row r="31" spans="1:16" ht="20.100000000000001" hidden="1" customHeight="1">
      <c r="A31" s="10"/>
      <c r="B31" s="625"/>
      <c r="C31" s="5"/>
      <c r="D31" s="4"/>
      <c r="E31" s="624"/>
      <c r="F31" s="11" t="str">
        <f>IFERROR(VLOOKUP(A31,Honorarios!$A$9:$D$15,2,FALSE),"")</f>
        <v/>
      </c>
      <c r="G31" s="626" t="str">
        <f>IFERROR(((VLOOKUP(A31,Honorarios!$A$9:$D$15,3,FALSE))),"")</f>
        <v/>
      </c>
      <c r="H31" s="111">
        <f t="shared" si="0"/>
        <v>0</v>
      </c>
      <c r="I31" s="131">
        <f t="shared" si="1"/>
        <v>0</v>
      </c>
      <c r="J31" s="394"/>
      <c r="K31" s="392"/>
      <c r="L31" s="392"/>
      <c r="M31" s="392"/>
      <c r="N31" s="392"/>
      <c r="O31" s="419"/>
      <c r="P31" s="833">
        <f t="shared" si="2"/>
        <v>0</v>
      </c>
    </row>
    <row r="32" spans="1:16" ht="20.100000000000001" hidden="1" customHeight="1">
      <c r="A32" s="10"/>
      <c r="B32" s="625"/>
      <c r="C32" s="5"/>
      <c r="D32" s="4"/>
      <c r="E32" s="624"/>
      <c r="F32" s="11" t="str">
        <f>IFERROR(VLOOKUP(A32,Honorarios!$A$9:$D$15,2,FALSE),"")</f>
        <v/>
      </c>
      <c r="G32" s="626" t="str">
        <f>IFERROR(((VLOOKUP(A32,Honorarios!$A$9:$D$15,3,FALSE))),"")</f>
        <v/>
      </c>
      <c r="H32" s="111">
        <f t="shared" si="0"/>
        <v>0</v>
      </c>
      <c r="I32" s="131">
        <f t="shared" si="1"/>
        <v>0</v>
      </c>
      <c r="J32" s="394"/>
      <c r="K32" s="392"/>
      <c r="L32" s="392"/>
      <c r="M32" s="392"/>
      <c r="N32" s="392"/>
      <c r="O32" s="419"/>
      <c r="P32" s="833">
        <f t="shared" si="2"/>
        <v>0</v>
      </c>
    </row>
    <row r="33" spans="1:16" ht="20.100000000000001" hidden="1" customHeight="1">
      <c r="A33" s="10"/>
      <c r="B33" s="625"/>
      <c r="C33" s="5"/>
      <c r="D33" s="4"/>
      <c r="E33" s="624"/>
      <c r="F33" s="11" t="str">
        <f>IFERROR(VLOOKUP(A33,Honorarios!$A$9:$D$15,2,FALSE),"")</f>
        <v/>
      </c>
      <c r="G33" s="626" t="str">
        <f>IFERROR(((VLOOKUP(A33,Honorarios!$A$9:$D$15,3,FALSE))),"")</f>
        <v/>
      </c>
      <c r="H33" s="111">
        <f t="shared" si="0"/>
        <v>0</v>
      </c>
      <c r="I33" s="131">
        <f t="shared" si="1"/>
        <v>0</v>
      </c>
      <c r="J33" s="394"/>
      <c r="K33" s="392"/>
      <c r="L33" s="392"/>
      <c r="M33" s="392"/>
      <c r="N33" s="392"/>
      <c r="O33" s="419"/>
      <c r="P33" s="833">
        <f t="shared" si="2"/>
        <v>0</v>
      </c>
    </row>
    <row r="34" spans="1:16" ht="20.100000000000001" hidden="1" customHeight="1">
      <c r="A34" s="10"/>
      <c r="B34" s="625"/>
      <c r="C34" s="5"/>
      <c r="D34" s="4"/>
      <c r="E34" s="624"/>
      <c r="F34" s="11" t="str">
        <f>IFERROR(VLOOKUP(A34,Honorarios!$A$9:$D$15,2,FALSE),"")</f>
        <v/>
      </c>
      <c r="G34" s="626" t="str">
        <f>IFERROR(((VLOOKUP(A34,Honorarios!$A$9:$D$15,3,FALSE))),"")</f>
        <v/>
      </c>
      <c r="H34" s="111">
        <f t="shared" si="0"/>
        <v>0</v>
      </c>
      <c r="I34" s="131">
        <f t="shared" si="1"/>
        <v>0</v>
      </c>
      <c r="J34" s="394"/>
      <c r="K34" s="392"/>
      <c r="L34" s="392"/>
      <c r="M34" s="392"/>
      <c r="N34" s="392"/>
      <c r="O34" s="419"/>
      <c r="P34" s="833">
        <f t="shared" si="2"/>
        <v>0</v>
      </c>
    </row>
    <row r="35" spans="1:16" ht="20.100000000000001" hidden="1" customHeight="1">
      <c r="A35" s="10"/>
      <c r="B35" s="625"/>
      <c r="C35" s="5"/>
      <c r="D35" s="4"/>
      <c r="E35" s="624"/>
      <c r="F35" s="11" t="str">
        <f>IFERROR(VLOOKUP(A35,Honorarios!$A$9:$D$15,2,FALSE),"")</f>
        <v/>
      </c>
      <c r="G35" s="626" t="str">
        <f>IFERROR(((VLOOKUP(A35,Honorarios!$A$9:$D$15,3,FALSE))),"")</f>
        <v/>
      </c>
      <c r="H35" s="111">
        <f t="shared" si="0"/>
        <v>0</v>
      </c>
      <c r="I35" s="131">
        <f t="shared" si="1"/>
        <v>0</v>
      </c>
      <c r="J35" s="394"/>
      <c r="K35" s="392"/>
      <c r="L35" s="392"/>
      <c r="M35" s="392"/>
      <c r="N35" s="392"/>
      <c r="O35" s="419"/>
      <c r="P35" s="833">
        <f t="shared" si="2"/>
        <v>0</v>
      </c>
    </row>
    <row r="36" spans="1:16" ht="20.100000000000001" hidden="1" customHeight="1">
      <c r="A36" s="10"/>
      <c r="B36" s="625"/>
      <c r="C36" s="5"/>
      <c r="D36" s="4"/>
      <c r="E36" s="624"/>
      <c r="F36" s="11" t="str">
        <f>IFERROR(VLOOKUP(A36,Honorarios!$A$9:$D$15,2,FALSE),"")</f>
        <v/>
      </c>
      <c r="G36" s="626" t="str">
        <f>IFERROR(((VLOOKUP(A36,Honorarios!$A$9:$D$15,3,FALSE))),"")</f>
        <v/>
      </c>
      <c r="H36" s="111">
        <f t="shared" si="0"/>
        <v>0</v>
      </c>
      <c r="I36" s="131">
        <f t="shared" si="1"/>
        <v>0</v>
      </c>
      <c r="J36" s="394"/>
      <c r="K36" s="392"/>
      <c r="L36" s="392"/>
      <c r="M36" s="392"/>
      <c r="N36" s="392"/>
      <c r="O36" s="419"/>
      <c r="P36" s="833">
        <f t="shared" si="2"/>
        <v>0</v>
      </c>
    </row>
    <row r="37" spans="1:16" ht="20.100000000000001" hidden="1" customHeight="1">
      <c r="A37" s="10"/>
      <c r="B37" s="625"/>
      <c r="C37" s="5"/>
      <c r="D37" s="4"/>
      <c r="E37" s="624"/>
      <c r="F37" s="11" t="str">
        <f>IFERROR(VLOOKUP(A37,Honorarios!$A$9:$D$15,2,FALSE),"")</f>
        <v/>
      </c>
      <c r="G37" s="626" t="str">
        <f>IFERROR(((VLOOKUP(A37,Honorarios!$A$9:$D$15,3,FALSE))),"")</f>
        <v/>
      </c>
      <c r="H37" s="111">
        <f t="shared" si="0"/>
        <v>0</v>
      </c>
      <c r="I37" s="131">
        <f t="shared" si="1"/>
        <v>0</v>
      </c>
      <c r="J37" s="394"/>
      <c r="K37" s="392"/>
      <c r="L37" s="392"/>
      <c r="M37" s="392"/>
      <c r="N37" s="392"/>
      <c r="O37" s="419"/>
      <c r="P37" s="833">
        <f t="shared" si="2"/>
        <v>0</v>
      </c>
    </row>
    <row r="38" spans="1:16" ht="20.100000000000001" hidden="1" customHeight="1">
      <c r="A38" s="10"/>
      <c r="B38" s="625"/>
      <c r="C38" s="5"/>
      <c r="D38" s="4"/>
      <c r="E38" s="624"/>
      <c r="F38" s="11" t="str">
        <f>IFERROR(VLOOKUP(A38,Honorarios!$A$9:$D$15,2,FALSE),"")</f>
        <v/>
      </c>
      <c r="G38" s="626" t="str">
        <f>IFERROR(((VLOOKUP(A38,Honorarios!$A$9:$D$15,3,FALSE))),"")</f>
        <v/>
      </c>
      <c r="H38" s="111">
        <f t="shared" si="0"/>
        <v>0</v>
      </c>
      <c r="I38" s="131">
        <f t="shared" si="1"/>
        <v>0</v>
      </c>
      <c r="J38" s="394"/>
      <c r="K38" s="392"/>
      <c r="L38" s="392"/>
      <c r="M38" s="392"/>
      <c r="N38" s="392"/>
      <c r="O38" s="419"/>
      <c r="P38" s="833">
        <f t="shared" si="2"/>
        <v>0</v>
      </c>
    </row>
    <row r="39" spans="1:16" ht="20.100000000000001" hidden="1" customHeight="1">
      <c r="A39" s="10"/>
      <c r="B39" s="625"/>
      <c r="C39" s="5"/>
      <c r="D39" s="4"/>
      <c r="E39" s="624"/>
      <c r="F39" s="11" t="str">
        <f>IFERROR(VLOOKUP(A39,Honorarios!$A$9:$D$15,2,FALSE),"")</f>
        <v/>
      </c>
      <c r="G39" s="626" t="str">
        <f>IFERROR(((VLOOKUP(A39,Honorarios!$A$9:$D$15,3,FALSE))),"")</f>
        <v/>
      </c>
      <c r="H39" s="111">
        <f t="shared" si="0"/>
        <v>0</v>
      </c>
      <c r="I39" s="131">
        <f t="shared" si="1"/>
        <v>0</v>
      </c>
      <c r="J39" s="394"/>
      <c r="K39" s="392"/>
      <c r="L39" s="392"/>
      <c r="M39" s="392"/>
      <c r="N39" s="392"/>
      <c r="O39" s="419"/>
      <c r="P39" s="833">
        <f t="shared" si="2"/>
        <v>0</v>
      </c>
    </row>
    <row r="40" spans="1:16" ht="20.100000000000001" hidden="1" customHeight="1">
      <c r="A40" s="10"/>
      <c r="B40" s="625"/>
      <c r="C40" s="5"/>
      <c r="D40" s="4"/>
      <c r="E40" s="624"/>
      <c r="F40" s="11" t="str">
        <f>IFERROR(VLOOKUP(A40,Honorarios!$A$9:$D$15,2,FALSE),"")</f>
        <v/>
      </c>
      <c r="G40" s="626" t="str">
        <f>IFERROR(((VLOOKUP(A40,Honorarios!$A$9:$D$15,3,FALSE))),"")</f>
        <v/>
      </c>
      <c r="H40" s="111">
        <f t="shared" si="0"/>
        <v>0</v>
      </c>
      <c r="I40" s="131">
        <f t="shared" si="1"/>
        <v>0</v>
      </c>
      <c r="J40" s="394"/>
      <c r="K40" s="392"/>
      <c r="L40" s="392"/>
      <c r="M40" s="392"/>
      <c r="N40" s="392"/>
      <c r="O40" s="419"/>
      <c r="P40" s="833">
        <f t="shared" si="2"/>
        <v>0</v>
      </c>
    </row>
    <row r="41" spans="1:16" ht="20.100000000000001" hidden="1" customHeight="1">
      <c r="A41" s="10"/>
      <c r="B41" s="625"/>
      <c r="C41" s="5"/>
      <c r="D41" s="4"/>
      <c r="E41" s="624"/>
      <c r="F41" s="11" t="str">
        <f>IFERROR(VLOOKUP(A41,Honorarios!$A$9:$D$15,2,FALSE),"")</f>
        <v/>
      </c>
      <c r="G41" s="626" t="str">
        <f>IFERROR(((VLOOKUP(A41,Honorarios!$A$9:$D$15,3,FALSE))),"")</f>
        <v/>
      </c>
      <c r="H41" s="111">
        <f t="shared" si="0"/>
        <v>0</v>
      </c>
      <c r="I41" s="131">
        <f t="shared" si="1"/>
        <v>0</v>
      </c>
      <c r="J41" s="394"/>
      <c r="K41" s="392"/>
      <c r="L41" s="392"/>
      <c r="M41" s="392"/>
      <c r="N41" s="392"/>
      <c r="O41" s="419"/>
      <c r="P41" s="833">
        <f t="shared" si="2"/>
        <v>0</v>
      </c>
    </row>
    <row r="42" spans="1:16" ht="20.100000000000001" hidden="1" customHeight="1">
      <c r="A42" s="10"/>
      <c r="B42" s="625"/>
      <c r="C42" s="5"/>
      <c r="D42" s="4"/>
      <c r="E42" s="624"/>
      <c r="F42" s="11" t="str">
        <f>IFERROR(VLOOKUP(A42,Honorarios!$A$9:$D$15,2,FALSE),"")</f>
        <v/>
      </c>
      <c r="G42" s="626" t="str">
        <f>IFERROR(((VLOOKUP(A42,Honorarios!$A$9:$D$15,3,FALSE))),"")</f>
        <v/>
      </c>
      <c r="H42" s="111">
        <f t="shared" si="0"/>
        <v>0</v>
      </c>
      <c r="I42" s="131">
        <f t="shared" si="1"/>
        <v>0</v>
      </c>
      <c r="J42" s="394"/>
      <c r="K42" s="392"/>
      <c r="L42" s="392"/>
      <c r="M42" s="392"/>
      <c r="N42" s="392"/>
      <c r="O42" s="419"/>
      <c r="P42" s="833">
        <f t="shared" si="2"/>
        <v>0</v>
      </c>
    </row>
    <row r="43" spans="1:16" ht="20.100000000000001" hidden="1" customHeight="1">
      <c r="A43" s="10"/>
      <c r="B43" s="625"/>
      <c r="C43" s="5"/>
      <c r="D43" s="4"/>
      <c r="E43" s="624"/>
      <c r="F43" s="11" t="str">
        <f>IFERROR(VLOOKUP(A43,Honorarios!$A$9:$D$15,2,FALSE),"")</f>
        <v/>
      </c>
      <c r="G43" s="626" t="str">
        <f>IFERROR(((VLOOKUP(A43,Honorarios!$A$9:$D$15,3,FALSE))),"")</f>
        <v/>
      </c>
      <c r="H43" s="111">
        <f t="shared" si="0"/>
        <v>0</v>
      </c>
      <c r="I43" s="131">
        <f t="shared" si="1"/>
        <v>0</v>
      </c>
      <c r="J43" s="394"/>
      <c r="K43" s="392"/>
      <c r="L43" s="392"/>
      <c r="M43" s="392"/>
      <c r="N43" s="392"/>
      <c r="O43" s="419"/>
      <c r="P43" s="833">
        <f t="shared" si="2"/>
        <v>0</v>
      </c>
    </row>
    <row r="44" spans="1:16" ht="20.100000000000001" hidden="1" customHeight="1">
      <c r="A44" s="10"/>
      <c r="B44" s="625"/>
      <c r="C44" s="5"/>
      <c r="D44" s="4"/>
      <c r="E44" s="624"/>
      <c r="F44" s="11" t="str">
        <f>IFERROR(VLOOKUP(A44,Honorarios!$A$9:$D$15,2,FALSE),"")</f>
        <v/>
      </c>
      <c r="G44" s="626" t="str">
        <f>IFERROR(((VLOOKUP(A44,Honorarios!$A$9:$D$15,3,FALSE))),"")</f>
        <v/>
      </c>
      <c r="H44" s="111">
        <f t="shared" si="0"/>
        <v>0</v>
      </c>
      <c r="I44" s="131">
        <f t="shared" si="1"/>
        <v>0</v>
      </c>
      <c r="J44" s="394"/>
      <c r="K44" s="392"/>
      <c r="L44" s="392"/>
      <c r="M44" s="392"/>
      <c r="N44" s="392"/>
      <c r="O44" s="419"/>
      <c r="P44" s="833">
        <f t="shared" si="2"/>
        <v>0</v>
      </c>
    </row>
    <row r="45" spans="1:16" ht="20.100000000000001" hidden="1" customHeight="1">
      <c r="A45" s="10"/>
      <c r="B45" s="625"/>
      <c r="C45" s="5"/>
      <c r="D45" s="4"/>
      <c r="E45" s="624"/>
      <c r="F45" s="11" t="str">
        <f>IFERROR(VLOOKUP(A45,Honorarios!$A$9:$D$15,2,FALSE),"")</f>
        <v/>
      </c>
      <c r="G45" s="626" t="str">
        <f>IFERROR(((VLOOKUP(A45,Honorarios!$A$9:$D$15,3,FALSE))),"")</f>
        <v/>
      </c>
      <c r="H45" s="111">
        <f t="shared" si="0"/>
        <v>0</v>
      </c>
      <c r="I45" s="131">
        <f t="shared" si="1"/>
        <v>0</v>
      </c>
      <c r="J45" s="394"/>
      <c r="K45" s="392"/>
      <c r="L45" s="392"/>
      <c r="M45" s="392"/>
      <c r="N45" s="392"/>
      <c r="O45" s="419"/>
      <c r="P45" s="833">
        <f t="shared" si="2"/>
        <v>0</v>
      </c>
    </row>
    <row r="46" spans="1:16" ht="20.100000000000001" hidden="1" customHeight="1">
      <c r="A46" s="10"/>
      <c r="B46" s="625"/>
      <c r="C46" s="5"/>
      <c r="D46" s="4"/>
      <c r="E46" s="624"/>
      <c r="F46" s="11" t="str">
        <f>IFERROR(VLOOKUP(A46,Honorarios!$A$9:$D$15,2,FALSE),"")</f>
        <v/>
      </c>
      <c r="G46" s="626" t="str">
        <f>IFERROR(((VLOOKUP(A46,Honorarios!$A$9:$D$15,3,FALSE))),"")</f>
        <v/>
      </c>
      <c r="H46" s="111">
        <f t="shared" si="0"/>
        <v>0</v>
      </c>
      <c r="I46" s="131">
        <f t="shared" si="1"/>
        <v>0</v>
      </c>
      <c r="J46" s="394"/>
      <c r="K46" s="392"/>
      <c r="L46" s="392"/>
      <c r="M46" s="392"/>
      <c r="N46" s="392"/>
      <c r="O46" s="419"/>
      <c r="P46" s="833">
        <f t="shared" si="2"/>
        <v>0</v>
      </c>
    </row>
    <row r="47" spans="1:16" ht="20.100000000000001" hidden="1" customHeight="1">
      <c r="A47" s="10"/>
      <c r="B47" s="625"/>
      <c r="C47" s="5"/>
      <c r="D47" s="4"/>
      <c r="E47" s="624"/>
      <c r="F47" s="11" t="str">
        <f>IFERROR(VLOOKUP(A47,Honorarios!$A$9:$D$15,2,FALSE),"")</f>
        <v/>
      </c>
      <c r="G47" s="626" t="str">
        <f>IFERROR(((VLOOKUP(A47,Honorarios!$A$9:$D$15,3,FALSE))),"")</f>
        <v/>
      </c>
      <c r="H47" s="111">
        <f>IFERROR(B47*C47*E47*F47*G47,0)</f>
        <v>0</v>
      </c>
      <c r="I47" s="131">
        <f t="shared" si="1"/>
        <v>0</v>
      </c>
      <c r="J47" s="394"/>
      <c r="K47" s="392"/>
      <c r="L47" s="392"/>
      <c r="M47" s="392"/>
      <c r="N47" s="392"/>
      <c r="O47" s="419"/>
      <c r="P47" s="833">
        <f t="shared" si="2"/>
        <v>0</v>
      </c>
    </row>
    <row r="48" spans="1:16" ht="20.100000000000001" hidden="1" customHeight="1">
      <c r="A48" s="10"/>
      <c r="B48" s="625"/>
      <c r="C48" s="5"/>
      <c r="D48" s="4"/>
      <c r="E48" s="624"/>
      <c r="F48" s="11" t="str">
        <f>IFERROR(VLOOKUP(A48,Honorarios!$A$9:$D$15,2,FALSE),"")</f>
        <v/>
      </c>
      <c r="G48" s="626" t="str">
        <f>IFERROR(((VLOOKUP(A48,Honorarios!$A$9:$D$15,3,FALSE))),"")</f>
        <v/>
      </c>
      <c r="H48" s="111">
        <f t="shared" si="0"/>
        <v>0</v>
      </c>
      <c r="I48" s="131">
        <f t="shared" si="1"/>
        <v>0</v>
      </c>
      <c r="J48" s="394"/>
      <c r="K48" s="392"/>
      <c r="L48" s="392"/>
      <c r="M48" s="392"/>
      <c r="N48" s="392"/>
      <c r="O48" s="419"/>
      <c r="P48" s="833">
        <f t="shared" si="2"/>
        <v>0</v>
      </c>
    </row>
    <row r="49" spans="1:16" ht="20.100000000000001" hidden="1" customHeight="1">
      <c r="A49" s="10"/>
      <c r="B49" s="625"/>
      <c r="C49" s="5"/>
      <c r="D49" s="4"/>
      <c r="E49" s="624"/>
      <c r="F49" s="11" t="str">
        <f>IFERROR(VLOOKUP(A49,Honorarios!$A$9:$D$15,2,FALSE),"")</f>
        <v/>
      </c>
      <c r="G49" s="626" t="str">
        <f>IFERROR(((VLOOKUP(A49,Honorarios!$A$9:$D$15,3,FALSE))),"")</f>
        <v/>
      </c>
      <c r="H49" s="111">
        <f t="shared" si="0"/>
        <v>0</v>
      </c>
      <c r="I49" s="131">
        <f t="shared" si="1"/>
        <v>0</v>
      </c>
      <c r="J49" s="394"/>
      <c r="K49" s="392"/>
      <c r="L49" s="392"/>
      <c r="M49" s="392"/>
      <c r="N49" s="392"/>
      <c r="O49" s="419"/>
      <c r="P49" s="833">
        <f t="shared" si="2"/>
        <v>0</v>
      </c>
    </row>
    <row r="50" spans="1:16" ht="20.100000000000001" hidden="1" customHeight="1">
      <c r="A50" s="10"/>
      <c r="B50" s="625"/>
      <c r="C50" s="5"/>
      <c r="D50" s="4"/>
      <c r="E50" s="624"/>
      <c r="F50" s="11" t="str">
        <f>IFERROR(VLOOKUP(A50,Honorarios!$A$9:$D$15,2,FALSE),"")</f>
        <v/>
      </c>
      <c r="G50" s="626" t="str">
        <f>IFERROR(((VLOOKUP(A50,Honorarios!$A$9:$D$15,3,FALSE))),"")</f>
        <v/>
      </c>
      <c r="H50" s="111">
        <f t="shared" si="0"/>
        <v>0</v>
      </c>
      <c r="I50" s="131">
        <f t="shared" si="1"/>
        <v>0</v>
      </c>
      <c r="J50" s="394"/>
      <c r="K50" s="392"/>
      <c r="L50" s="392"/>
      <c r="M50" s="392"/>
      <c r="N50" s="392"/>
      <c r="O50" s="419"/>
      <c r="P50" s="833">
        <f t="shared" si="2"/>
        <v>0</v>
      </c>
    </row>
    <row r="51" spans="1:16" ht="20.100000000000001" hidden="1" customHeight="1">
      <c r="A51" s="10"/>
      <c r="B51" s="625"/>
      <c r="C51" s="5"/>
      <c r="D51" s="4"/>
      <c r="E51" s="624"/>
      <c r="F51" s="11" t="str">
        <f>IFERROR(VLOOKUP(A51,Honorarios!$A$9:$D$15,2,FALSE),"")</f>
        <v/>
      </c>
      <c r="G51" s="626" t="str">
        <f>IFERROR(((VLOOKUP(A51,Honorarios!$A$9:$D$15,3,FALSE))),"")</f>
        <v/>
      </c>
      <c r="H51" s="111">
        <f t="shared" si="0"/>
        <v>0</v>
      </c>
      <c r="I51" s="131">
        <f t="shared" si="1"/>
        <v>0</v>
      </c>
      <c r="J51" s="394"/>
      <c r="K51" s="392"/>
      <c r="L51" s="392"/>
      <c r="M51" s="392"/>
      <c r="N51" s="392"/>
      <c r="O51" s="419"/>
      <c r="P51" s="833">
        <f t="shared" si="2"/>
        <v>0</v>
      </c>
    </row>
    <row r="52" spans="1:16" ht="20.100000000000001" customHeight="1">
      <c r="A52" s="1064" t="s">
        <v>400</v>
      </c>
      <c r="B52" s="1065"/>
      <c r="C52" s="1065"/>
      <c r="D52" s="1065"/>
      <c r="E52" s="1065"/>
      <c r="F52" s="1065"/>
      <c r="G52" s="1066"/>
      <c r="H52" s="112">
        <f>SUM(H11:H51)</f>
        <v>0</v>
      </c>
      <c r="I52" s="128">
        <f>SUM(I11:I51)</f>
        <v>0</v>
      </c>
      <c r="J52" s="394"/>
      <c r="K52" s="392"/>
      <c r="L52" s="392"/>
      <c r="M52" s="392"/>
      <c r="N52" s="392"/>
      <c r="O52" s="419"/>
      <c r="P52" s="134"/>
    </row>
    <row r="53" spans="1:16" ht="20.100000000000001" customHeight="1">
      <c r="A53" s="1087" t="s">
        <v>401</v>
      </c>
      <c r="B53" s="1088"/>
      <c r="C53" s="1088"/>
      <c r="D53" s="1088"/>
      <c r="E53" s="1088"/>
      <c r="F53" s="1088"/>
      <c r="G53" s="1088"/>
      <c r="H53" s="1088"/>
      <c r="I53" s="1089"/>
      <c r="J53" s="394"/>
      <c r="K53" s="392"/>
      <c r="L53" s="392"/>
      <c r="M53" s="392"/>
      <c r="N53" s="392"/>
      <c r="O53" s="419"/>
      <c r="P53" s="134"/>
    </row>
    <row r="54" spans="1:16" ht="20.100000000000001" customHeight="1">
      <c r="A54" s="10"/>
      <c r="B54" s="6"/>
      <c r="C54" s="7"/>
      <c r="D54" s="4"/>
      <c r="E54" s="13"/>
      <c r="F54" s="11"/>
      <c r="G54" s="692"/>
      <c r="H54" s="111">
        <f>B54*C54*E54*F54*G54</f>
        <v>0</v>
      </c>
      <c r="I54" s="131">
        <f>IFERROR(H54/$H$80,0)</f>
        <v>0</v>
      </c>
      <c r="J54" s="690"/>
      <c r="K54" s="691"/>
      <c r="L54" s="392"/>
      <c r="M54" s="392"/>
      <c r="N54" s="392"/>
      <c r="O54" s="419"/>
      <c r="P54" s="833">
        <f t="shared" ref="P54:P78" si="3">H54-SUM(J54:O54)</f>
        <v>0</v>
      </c>
    </row>
    <row r="55" spans="1:16" ht="20.100000000000001" customHeight="1">
      <c r="A55" s="12"/>
      <c r="B55" s="6"/>
      <c r="C55" s="7"/>
      <c r="D55" s="4"/>
      <c r="E55" s="13"/>
      <c r="F55" s="58"/>
      <c r="G55" s="14"/>
      <c r="H55" s="111">
        <f t="shared" ref="H55:H78" si="4">B55*C55*E55*F55*G55</f>
        <v>0</v>
      </c>
      <c r="I55" s="131">
        <f t="shared" ref="I55:I76" si="5">IFERROR(H55/$H$80,0)</f>
        <v>0</v>
      </c>
      <c r="J55" s="394"/>
      <c r="K55" s="392"/>
      <c r="L55" s="691"/>
      <c r="M55" s="392"/>
      <c r="N55" s="392"/>
      <c r="O55" s="419"/>
      <c r="P55" s="833">
        <f t="shared" si="3"/>
        <v>0</v>
      </c>
    </row>
    <row r="56" spans="1:16" ht="20.100000000000001" customHeight="1">
      <c r="A56" s="12"/>
      <c r="B56" s="6"/>
      <c r="C56" s="7"/>
      <c r="D56" s="4"/>
      <c r="E56" s="13"/>
      <c r="F56" s="4"/>
      <c r="G56" s="14"/>
      <c r="H56" s="111">
        <f t="shared" si="4"/>
        <v>0</v>
      </c>
      <c r="I56" s="131">
        <f t="shared" si="5"/>
        <v>0</v>
      </c>
      <c r="J56" s="394"/>
      <c r="K56" s="392"/>
      <c r="L56" s="392"/>
      <c r="M56" s="392"/>
      <c r="N56" s="392"/>
      <c r="O56" s="419"/>
      <c r="P56" s="833">
        <f t="shared" si="3"/>
        <v>0</v>
      </c>
    </row>
    <row r="57" spans="1:16" ht="20.100000000000001" customHeight="1">
      <c r="A57" s="12"/>
      <c r="B57" s="6"/>
      <c r="C57" s="7"/>
      <c r="D57" s="4"/>
      <c r="E57" s="13"/>
      <c r="F57" s="4"/>
      <c r="G57" s="14"/>
      <c r="H57" s="111">
        <f t="shared" si="4"/>
        <v>0</v>
      </c>
      <c r="I57" s="131">
        <f t="shared" si="5"/>
        <v>0</v>
      </c>
      <c r="J57" s="394"/>
      <c r="K57" s="392"/>
      <c r="L57" s="392"/>
      <c r="M57" s="392"/>
      <c r="N57" s="392"/>
      <c r="O57" s="419"/>
      <c r="P57" s="833">
        <f t="shared" si="3"/>
        <v>0</v>
      </c>
    </row>
    <row r="58" spans="1:16" ht="20.100000000000001" customHeight="1">
      <c r="A58" s="12"/>
      <c r="B58" s="6"/>
      <c r="C58" s="7"/>
      <c r="D58" s="4"/>
      <c r="E58" s="13"/>
      <c r="F58" s="4"/>
      <c r="G58" s="14"/>
      <c r="H58" s="111">
        <f t="shared" si="4"/>
        <v>0</v>
      </c>
      <c r="I58" s="131">
        <f t="shared" si="5"/>
        <v>0</v>
      </c>
      <c r="J58" s="394"/>
      <c r="K58" s="392"/>
      <c r="L58" s="392"/>
      <c r="M58" s="392"/>
      <c r="N58" s="392"/>
      <c r="O58" s="419"/>
      <c r="P58" s="833">
        <f t="shared" si="3"/>
        <v>0</v>
      </c>
    </row>
    <row r="59" spans="1:16" ht="20.100000000000001" hidden="1" customHeight="1">
      <c r="A59" s="12"/>
      <c r="B59" s="6"/>
      <c r="C59" s="7"/>
      <c r="D59" s="4"/>
      <c r="E59" s="13"/>
      <c r="F59" s="4"/>
      <c r="G59" s="14"/>
      <c r="H59" s="111">
        <f t="shared" si="4"/>
        <v>0</v>
      </c>
      <c r="I59" s="131">
        <f t="shared" si="5"/>
        <v>0</v>
      </c>
      <c r="J59" s="394"/>
      <c r="K59" s="392"/>
      <c r="L59" s="392"/>
      <c r="M59" s="392"/>
      <c r="N59" s="392"/>
      <c r="O59" s="419"/>
      <c r="P59" s="833">
        <f t="shared" si="3"/>
        <v>0</v>
      </c>
    </row>
    <row r="60" spans="1:16" ht="20.100000000000001" hidden="1" customHeight="1">
      <c r="A60" s="12"/>
      <c r="B60" s="6"/>
      <c r="C60" s="7"/>
      <c r="D60" s="4"/>
      <c r="E60" s="13"/>
      <c r="F60" s="4"/>
      <c r="G60" s="14"/>
      <c r="H60" s="111">
        <f t="shared" si="4"/>
        <v>0</v>
      </c>
      <c r="I60" s="131">
        <f t="shared" si="5"/>
        <v>0</v>
      </c>
      <c r="J60" s="394"/>
      <c r="K60" s="392"/>
      <c r="L60" s="392"/>
      <c r="M60" s="392"/>
      <c r="N60" s="392"/>
      <c r="O60" s="419"/>
      <c r="P60" s="833">
        <f t="shared" si="3"/>
        <v>0</v>
      </c>
    </row>
    <row r="61" spans="1:16" ht="20.100000000000001" hidden="1" customHeight="1">
      <c r="A61" s="12"/>
      <c r="B61" s="6"/>
      <c r="C61" s="7"/>
      <c r="D61" s="4"/>
      <c r="E61" s="13"/>
      <c r="F61" s="4"/>
      <c r="G61" s="14"/>
      <c r="H61" s="111">
        <f t="shared" si="4"/>
        <v>0</v>
      </c>
      <c r="I61" s="131">
        <f t="shared" si="5"/>
        <v>0</v>
      </c>
      <c r="J61" s="394"/>
      <c r="K61" s="392"/>
      <c r="L61" s="392"/>
      <c r="M61" s="392"/>
      <c r="N61" s="392"/>
      <c r="O61" s="419"/>
      <c r="P61" s="833">
        <f t="shared" si="3"/>
        <v>0</v>
      </c>
    </row>
    <row r="62" spans="1:16" ht="20.100000000000001" hidden="1" customHeight="1">
      <c r="A62" s="12"/>
      <c r="B62" s="6"/>
      <c r="C62" s="7"/>
      <c r="D62" s="4"/>
      <c r="E62" s="13"/>
      <c r="F62" s="4"/>
      <c r="G62" s="14"/>
      <c r="H62" s="111">
        <f t="shared" si="4"/>
        <v>0</v>
      </c>
      <c r="I62" s="131">
        <f t="shared" si="5"/>
        <v>0</v>
      </c>
      <c r="J62" s="394"/>
      <c r="K62" s="392"/>
      <c r="L62" s="392"/>
      <c r="M62" s="392"/>
      <c r="N62" s="392"/>
      <c r="O62" s="419"/>
      <c r="P62" s="833">
        <f t="shared" si="3"/>
        <v>0</v>
      </c>
    </row>
    <row r="63" spans="1:16" ht="20.100000000000001" hidden="1" customHeight="1">
      <c r="A63" s="12"/>
      <c r="B63" s="6"/>
      <c r="C63" s="7"/>
      <c r="D63" s="4"/>
      <c r="E63" s="13"/>
      <c r="F63" s="4"/>
      <c r="G63" s="14"/>
      <c r="H63" s="111">
        <f t="shared" si="4"/>
        <v>0</v>
      </c>
      <c r="I63" s="131">
        <f t="shared" si="5"/>
        <v>0</v>
      </c>
      <c r="J63" s="394"/>
      <c r="K63" s="392"/>
      <c r="L63" s="392"/>
      <c r="M63" s="392"/>
      <c r="N63" s="392"/>
      <c r="O63" s="419"/>
      <c r="P63" s="833">
        <f t="shared" si="3"/>
        <v>0</v>
      </c>
    </row>
    <row r="64" spans="1:16" ht="20.100000000000001" hidden="1" customHeight="1">
      <c r="A64" s="12"/>
      <c r="B64" s="6"/>
      <c r="C64" s="7"/>
      <c r="D64" s="4"/>
      <c r="E64" s="13"/>
      <c r="F64" s="4"/>
      <c r="G64" s="14"/>
      <c r="H64" s="111">
        <f t="shared" si="4"/>
        <v>0</v>
      </c>
      <c r="I64" s="131">
        <f t="shared" si="5"/>
        <v>0</v>
      </c>
      <c r="J64" s="394"/>
      <c r="K64" s="392"/>
      <c r="L64" s="392"/>
      <c r="M64" s="392"/>
      <c r="N64" s="392"/>
      <c r="O64" s="419"/>
      <c r="P64" s="833">
        <f t="shared" si="3"/>
        <v>0</v>
      </c>
    </row>
    <row r="65" spans="1:16" ht="20.100000000000001" hidden="1" customHeight="1">
      <c r="A65" s="12"/>
      <c r="B65" s="6"/>
      <c r="C65" s="7"/>
      <c r="D65" s="4"/>
      <c r="E65" s="13"/>
      <c r="F65" s="4"/>
      <c r="G65" s="14"/>
      <c r="H65" s="111">
        <f t="shared" si="4"/>
        <v>0</v>
      </c>
      <c r="I65" s="131">
        <f t="shared" si="5"/>
        <v>0</v>
      </c>
      <c r="J65" s="394"/>
      <c r="K65" s="392"/>
      <c r="L65" s="392"/>
      <c r="M65" s="392"/>
      <c r="N65" s="392"/>
      <c r="O65" s="419"/>
      <c r="P65" s="833">
        <f t="shared" si="3"/>
        <v>0</v>
      </c>
    </row>
    <row r="66" spans="1:16" ht="20.100000000000001" hidden="1" customHeight="1">
      <c r="A66" s="12"/>
      <c r="B66" s="6"/>
      <c r="C66" s="7"/>
      <c r="D66" s="4"/>
      <c r="E66" s="13"/>
      <c r="F66" s="4"/>
      <c r="G66" s="14"/>
      <c r="H66" s="111">
        <f t="shared" si="4"/>
        <v>0</v>
      </c>
      <c r="I66" s="131">
        <f t="shared" si="5"/>
        <v>0</v>
      </c>
      <c r="J66" s="394"/>
      <c r="K66" s="392"/>
      <c r="L66" s="392"/>
      <c r="M66" s="392"/>
      <c r="N66" s="392"/>
      <c r="O66" s="419"/>
      <c r="P66" s="833">
        <f t="shared" si="3"/>
        <v>0</v>
      </c>
    </row>
    <row r="67" spans="1:16" ht="20.100000000000001" hidden="1" customHeight="1">
      <c r="A67" s="12"/>
      <c r="B67" s="6"/>
      <c r="C67" s="7"/>
      <c r="D67" s="4"/>
      <c r="E67" s="13"/>
      <c r="F67" s="4"/>
      <c r="G67" s="14"/>
      <c r="H67" s="111">
        <f t="shared" si="4"/>
        <v>0</v>
      </c>
      <c r="I67" s="131">
        <f t="shared" si="5"/>
        <v>0</v>
      </c>
      <c r="J67" s="394"/>
      <c r="K67" s="392"/>
      <c r="L67" s="392"/>
      <c r="M67" s="392"/>
      <c r="N67" s="392"/>
      <c r="O67" s="419"/>
      <c r="P67" s="833">
        <f t="shared" si="3"/>
        <v>0</v>
      </c>
    </row>
    <row r="68" spans="1:16" ht="20.100000000000001" hidden="1" customHeight="1">
      <c r="A68" s="12"/>
      <c r="B68" s="6"/>
      <c r="C68" s="7"/>
      <c r="D68" s="4"/>
      <c r="E68" s="13"/>
      <c r="F68" s="4"/>
      <c r="G68" s="14"/>
      <c r="H68" s="111">
        <f t="shared" si="4"/>
        <v>0</v>
      </c>
      <c r="I68" s="131">
        <f t="shared" si="5"/>
        <v>0</v>
      </c>
      <c r="J68" s="394"/>
      <c r="K68" s="392"/>
      <c r="L68" s="392"/>
      <c r="M68" s="392"/>
      <c r="N68" s="392"/>
      <c r="O68" s="419"/>
      <c r="P68" s="833">
        <f t="shared" si="3"/>
        <v>0</v>
      </c>
    </row>
    <row r="69" spans="1:16" ht="20.100000000000001" hidden="1" customHeight="1">
      <c r="A69" s="12"/>
      <c r="B69" s="6"/>
      <c r="C69" s="7"/>
      <c r="D69" s="4"/>
      <c r="E69" s="13"/>
      <c r="F69" s="4"/>
      <c r="G69" s="14"/>
      <c r="H69" s="111">
        <f t="shared" si="4"/>
        <v>0</v>
      </c>
      <c r="I69" s="131">
        <f t="shared" si="5"/>
        <v>0</v>
      </c>
      <c r="J69" s="394"/>
      <c r="K69" s="392"/>
      <c r="L69" s="392"/>
      <c r="M69" s="392"/>
      <c r="N69" s="392"/>
      <c r="O69" s="419"/>
      <c r="P69" s="833">
        <f t="shared" si="3"/>
        <v>0</v>
      </c>
    </row>
    <row r="70" spans="1:16" ht="20.100000000000001" hidden="1" customHeight="1">
      <c r="A70" s="12"/>
      <c r="B70" s="6"/>
      <c r="C70" s="7"/>
      <c r="D70" s="4"/>
      <c r="E70" s="13"/>
      <c r="F70" s="4"/>
      <c r="G70" s="14"/>
      <c r="H70" s="111">
        <f t="shared" si="4"/>
        <v>0</v>
      </c>
      <c r="I70" s="131">
        <f t="shared" si="5"/>
        <v>0</v>
      </c>
      <c r="J70" s="394"/>
      <c r="K70" s="392"/>
      <c r="L70" s="392"/>
      <c r="M70" s="392"/>
      <c r="N70" s="392"/>
      <c r="O70" s="419"/>
      <c r="P70" s="833">
        <f t="shared" si="3"/>
        <v>0</v>
      </c>
    </row>
    <row r="71" spans="1:16" ht="20.100000000000001" hidden="1" customHeight="1">
      <c r="A71" s="12"/>
      <c r="B71" s="6"/>
      <c r="C71" s="7"/>
      <c r="D71" s="4"/>
      <c r="E71" s="13"/>
      <c r="F71" s="4"/>
      <c r="G71" s="14"/>
      <c r="H71" s="111">
        <f t="shared" si="4"/>
        <v>0</v>
      </c>
      <c r="I71" s="131">
        <f t="shared" si="5"/>
        <v>0</v>
      </c>
      <c r="J71" s="394"/>
      <c r="K71" s="392"/>
      <c r="L71" s="392"/>
      <c r="M71" s="392"/>
      <c r="N71" s="392"/>
      <c r="O71" s="419"/>
      <c r="P71" s="833">
        <f t="shared" si="3"/>
        <v>0</v>
      </c>
    </row>
    <row r="72" spans="1:16" ht="20.100000000000001" hidden="1" customHeight="1">
      <c r="A72" s="12"/>
      <c r="B72" s="6"/>
      <c r="C72" s="7"/>
      <c r="D72" s="4"/>
      <c r="E72" s="13"/>
      <c r="F72" s="4"/>
      <c r="G72" s="14"/>
      <c r="H72" s="111">
        <f t="shared" si="4"/>
        <v>0</v>
      </c>
      <c r="I72" s="131">
        <f t="shared" si="5"/>
        <v>0</v>
      </c>
      <c r="J72" s="394"/>
      <c r="K72" s="392"/>
      <c r="L72" s="392"/>
      <c r="M72" s="392"/>
      <c r="N72" s="392"/>
      <c r="O72" s="419"/>
      <c r="P72" s="833">
        <f t="shared" si="3"/>
        <v>0</v>
      </c>
    </row>
    <row r="73" spans="1:16" ht="20.100000000000001" hidden="1" customHeight="1">
      <c r="A73" s="12"/>
      <c r="B73" s="6"/>
      <c r="C73" s="7"/>
      <c r="D73" s="4"/>
      <c r="E73" s="13"/>
      <c r="F73" s="4"/>
      <c r="G73" s="14"/>
      <c r="H73" s="111">
        <f t="shared" si="4"/>
        <v>0</v>
      </c>
      <c r="I73" s="131">
        <f t="shared" si="5"/>
        <v>0</v>
      </c>
      <c r="J73" s="394"/>
      <c r="K73" s="392"/>
      <c r="L73" s="392"/>
      <c r="M73" s="392"/>
      <c r="N73" s="392"/>
      <c r="O73" s="419"/>
      <c r="P73" s="833">
        <f t="shared" si="3"/>
        <v>0</v>
      </c>
    </row>
    <row r="74" spans="1:16" ht="20.100000000000001" hidden="1" customHeight="1">
      <c r="A74" s="12"/>
      <c r="B74" s="6"/>
      <c r="C74" s="7"/>
      <c r="D74" s="4"/>
      <c r="E74" s="13"/>
      <c r="F74" s="4"/>
      <c r="G74" s="14"/>
      <c r="H74" s="111">
        <f t="shared" si="4"/>
        <v>0</v>
      </c>
      <c r="I74" s="131">
        <f t="shared" si="5"/>
        <v>0</v>
      </c>
      <c r="J74" s="394"/>
      <c r="K74" s="392"/>
      <c r="L74" s="392"/>
      <c r="M74" s="392"/>
      <c r="N74" s="392"/>
      <c r="O74" s="419"/>
      <c r="P74" s="833">
        <f t="shared" si="3"/>
        <v>0</v>
      </c>
    </row>
    <row r="75" spans="1:16" ht="20.100000000000001" hidden="1" customHeight="1">
      <c r="A75" s="12"/>
      <c r="B75" s="6"/>
      <c r="C75" s="7"/>
      <c r="D75" s="4"/>
      <c r="E75" s="13"/>
      <c r="F75" s="4"/>
      <c r="G75" s="14"/>
      <c r="H75" s="111">
        <f t="shared" si="4"/>
        <v>0</v>
      </c>
      <c r="I75" s="131">
        <f t="shared" si="5"/>
        <v>0</v>
      </c>
      <c r="J75" s="394"/>
      <c r="K75" s="392"/>
      <c r="L75" s="392"/>
      <c r="M75" s="392"/>
      <c r="N75" s="392"/>
      <c r="O75" s="419"/>
      <c r="P75" s="833">
        <f t="shared" si="3"/>
        <v>0</v>
      </c>
    </row>
    <row r="76" spans="1:16" ht="20.100000000000001" hidden="1" customHeight="1">
      <c r="A76" s="12"/>
      <c r="B76" s="6"/>
      <c r="C76" s="7"/>
      <c r="D76" s="4"/>
      <c r="E76" s="13"/>
      <c r="F76" s="4"/>
      <c r="G76" s="14"/>
      <c r="H76" s="111">
        <f t="shared" si="4"/>
        <v>0</v>
      </c>
      <c r="I76" s="131">
        <f t="shared" si="5"/>
        <v>0</v>
      </c>
      <c r="J76" s="394"/>
      <c r="K76" s="392"/>
      <c r="L76" s="392"/>
      <c r="M76" s="392"/>
      <c r="N76" s="392"/>
      <c r="O76" s="419"/>
      <c r="P76" s="833">
        <f t="shared" si="3"/>
        <v>0</v>
      </c>
    </row>
    <row r="77" spans="1:16" ht="20.100000000000001" hidden="1" customHeight="1">
      <c r="A77" s="12"/>
      <c r="B77" s="6"/>
      <c r="C77" s="7"/>
      <c r="D77" s="4"/>
      <c r="E77" s="13"/>
      <c r="F77" s="4"/>
      <c r="G77" s="14"/>
      <c r="H77" s="111">
        <f t="shared" si="4"/>
        <v>0</v>
      </c>
      <c r="I77" s="131">
        <f>IFERROR(H77/$H$80,0)</f>
        <v>0</v>
      </c>
      <c r="J77" s="394"/>
      <c r="K77" s="392"/>
      <c r="L77" s="392"/>
      <c r="M77" s="392"/>
      <c r="N77" s="392"/>
      <c r="O77" s="419"/>
      <c r="P77" s="833">
        <f t="shared" si="3"/>
        <v>0</v>
      </c>
    </row>
    <row r="78" spans="1:16" ht="20.100000000000001" hidden="1" customHeight="1">
      <c r="A78" s="12"/>
      <c r="B78" s="6"/>
      <c r="C78" s="7"/>
      <c r="D78" s="4"/>
      <c r="E78" s="13"/>
      <c r="F78" s="4"/>
      <c r="G78" s="14"/>
      <c r="H78" s="111">
        <f t="shared" si="4"/>
        <v>0</v>
      </c>
      <c r="I78" s="131">
        <f>IFERROR(H78/$H$80,0)</f>
        <v>0</v>
      </c>
      <c r="J78" s="394"/>
      <c r="K78" s="392"/>
      <c r="L78" s="392"/>
      <c r="M78" s="392"/>
      <c r="N78" s="392"/>
      <c r="O78" s="419"/>
      <c r="P78" s="833">
        <f t="shared" si="3"/>
        <v>0</v>
      </c>
    </row>
    <row r="79" spans="1:16" ht="20.100000000000001" customHeight="1">
      <c r="A79" s="1064" t="s">
        <v>402</v>
      </c>
      <c r="B79" s="1065"/>
      <c r="C79" s="1065"/>
      <c r="D79" s="1065"/>
      <c r="E79" s="1065"/>
      <c r="F79" s="1065"/>
      <c r="G79" s="1066"/>
      <c r="H79" s="112">
        <f>SUM(H54:H78)</f>
        <v>0</v>
      </c>
      <c r="I79" s="128">
        <f>SUM(I54:I78)</f>
        <v>0</v>
      </c>
      <c r="J79" s="394"/>
      <c r="K79" s="392"/>
      <c r="L79" s="392"/>
      <c r="M79" s="392"/>
      <c r="N79" s="392"/>
      <c r="O79" s="419"/>
      <c r="P79" s="134"/>
    </row>
    <row r="80" spans="1:16" ht="20.100000000000001" customHeight="1" thickBot="1">
      <c r="A80" s="1045" t="s">
        <v>403</v>
      </c>
      <c r="B80" s="1046"/>
      <c r="C80" s="1046"/>
      <c r="D80" s="1046"/>
      <c r="E80" s="1046"/>
      <c r="F80" s="1046"/>
      <c r="G80" s="1047"/>
      <c r="H80" s="113">
        <f>H52+H79</f>
        <v>0</v>
      </c>
      <c r="I80" s="129">
        <f>I52+I79</f>
        <v>0</v>
      </c>
      <c r="J80" s="394"/>
      <c r="K80" s="392"/>
      <c r="L80" s="392"/>
      <c r="M80" s="392"/>
      <c r="N80" s="392"/>
      <c r="O80" s="419"/>
      <c r="P80" s="134"/>
    </row>
    <row r="81" spans="1:16" ht="20.100000000000001" customHeight="1" thickBot="1">
      <c r="A81" s="417"/>
      <c r="B81" s="114"/>
      <c r="C81" s="114"/>
      <c r="D81" s="115"/>
      <c r="E81" s="115"/>
      <c r="F81" s="115"/>
      <c r="G81" s="115"/>
      <c r="H81" s="116"/>
      <c r="I81" s="418"/>
      <c r="J81" s="394"/>
      <c r="K81" s="392"/>
      <c r="L81" s="392"/>
      <c r="M81" s="392"/>
      <c r="N81" s="392"/>
      <c r="O81" s="419"/>
      <c r="P81" s="134"/>
    </row>
    <row r="82" spans="1:16" ht="20.100000000000001" customHeight="1">
      <c r="A82" s="1069" t="s">
        <v>404</v>
      </c>
      <c r="B82" s="1070"/>
      <c r="C82" s="1070"/>
      <c r="D82" s="1070"/>
      <c r="E82" s="1070"/>
      <c r="F82" s="1070"/>
      <c r="G82" s="1070"/>
      <c r="H82" s="1070"/>
      <c r="I82" s="1071"/>
      <c r="J82" s="394"/>
      <c r="K82" s="392"/>
      <c r="L82" s="392"/>
      <c r="M82" s="392"/>
      <c r="N82" s="392"/>
      <c r="O82" s="419"/>
      <c r="P82" s="134"/>
    </row>
    <row r="83" spans="1:16" ht="25.5" customHeight="1">
      <c r="A83" s="1067" t="s">
        <v>391</v>
      </c>
      <c r="B83" s="1068"/>
      <c r="C83" s="1068"/>
      <c r="D83" s="416" t="s">
        <v>122</v>
      </c>
      <c r="E83" s="117" t="s">
        <v>394</v>
      </c>
      <c r="F83" s="1096" t="s">
        <v>405</v>
      </c>
      <c r="G83" s="1097"/>
      <c r="H83" s="117" t="s">
        <v>397</v>
      </c>
      <c r="I83" s="130" t="s">
        <v>398</v>
      </c>
      <c r="J83" s="394"/>
      <c r="K83" s="392"/>
      <c r="L83" s="392"/>
      <c r="M83" s="392"/>
      <c r="N83" s="392"/>
      <c r="O83" s="419"/>
      <c r="P83" s="134"/>
    </row>
    <row r="84" spans="1:16" ht="20.100000000000001" customHeight="1">
      <c r="A84" s="1039" t="s">
        <v>451</v>
      </c>
      <c r="B84" s="1040"/>
      <c r="C84" s="1040"/>
      <c r="D84" s="118" t="s">
        <v>154</v>
      </c>
      <c r="E84" s="694">
        <v>1</v>
      </c>
      <c r="F84" s="1041">
        <v>8848000</v>
      </c>
      <c r="G84" s="1042"/>
      <c r="H84" s="695">
        <f>+F84*E84</f>
        <v>8848000</v>
      </c>
      <c r="I84" s="131">
        <f>IFERROR(H84/$H$126,0)</f>
        <v>0.11482260115756962</v>
      </c>
      <c r="J84" s="693"/>
      <c r="K84" s="392"/>
      <c r="L84" s="392"/>
      <c r="M84" s="392"/>
      <c r="N84" s="392"/>
      <c r="O84" s="419"/>
      <c r="P84" s="833">
        <f t="shared" ref="P84:P125" si="6">H84-SUM(J84:O84)</f>
        <v>8848000</v>
      </c>
    </row>
    <row r="85" spans="1:16" ht="20.100000000000001" customHeight="1">
      <c r="A85" s="1039" t="s">
        <v>452</v>
      </c>
      <c r="B85" s="1040"/>
      <c r="C85" s="1040"/>
      <c r="D85" s="118" t="s">
        <v>187</v>
      </c>
      <c r="E85" s="850">
        <v>11.5</v>
      </c>
      <c r="F85" s="1041">
        <v>3700000</v>
      </c>
      <c r="G85" s="1042"/>
      <c r="H85" s="695">
        <f>+F85*E85</f>
        <v>42550000</v>
      </c>
      <c r="I85" s="131">
        <f t="shared" ref="I85:I125" si="7">IFERROR(H85/$H$126,0)</f>
        <v>0.5521814736951387</v>
      </c>
      <c r="J85" s="394"/>
      <c r="K85" s="153"/>
      <c r="L85" s="392"/>
      <c r="M85" s="392"/>
      <c r="N85" s="392"/>
      <c r="O85" s="419"/>
      <c r="P85" s="833">
        <f t="shared" si="6"/>
        <v>42550000</v>
      </c>
    </row>
    <row r="86" spans="1:16" ht="27" customHeight="1">
      <c r="A86" s="1039" t="s">
        <v>453</v>
      </c>
      <c r="B86" s="1040"/>
      <c r="C86" s="1040"/>
      <c r="D86" s="118" t="s">
        <v>454</v>
      </c>
      <c r="E86" s="119">
        <v>1</v>
      </c>
      <c r="F86" s="1041">
        <v>25660000</v>
      </c>
      <c r="G86" s="1042"/>
      <c r="H86" s="695">
        <f>+F86*E86</f>
        <v>25660000</v>
      </c>
      <c r="I86" s="131">
        <f t="shared" si="7"/>
        <v>0.33299592514729165</v>
      </c>
      <c r="J86" s="394"/>
      <c r="K86" s="392"/>
      <c r="L86" s="153"/>
      <c r="M86" s="392"/>
      <c r="N86" s="392"/>
      <c r="O86" s="419"/>
      <c r="P86" s="833">
        <f t="shared" si="6"/>
        <v>25660000</v>
      </c>
    </row>
    <row r="87" spans="1:16" ht="20.100000000000001" customHeight="1">
      <c r="A87" s="1039"/>
      <c r="B87" s="1040"/>
      <c r="C87" s="1040"/>
      <c r="D87" s="118"/>
      <c r="E87" s="119"/>
      <c r="F87" s="1041"/>
      <c r="G87" s="1042"/>
      <c r="H87" s="695">
        <f t="shared" ref="H87:H125" si="8">+F87*E87</f>
        <v>0</v>
      </c>
      <c r="I87" s="131">
        <f t="shared" si="7"/>
        <v>0</v>
      </c>
      <c r="J87" s="394"/>
      <c r="K87" s="392"/>
      <c r="L87" s="153"/>
      <c r="M87" s="392"/>
      <c r="N87" s="392"/>
      <c r="O87" s="419"/>
      <c r="P87" s="833">
        <f t="shared" si="6"/>
        <v>0</v>
      </c>
    </row>
    <row r="88" spans="1:16" ht="20.100000000000001" customHeight="1">
      <c r="A88" s="1039"/>
      <c r="B88" s="1040"/>
      <c r="C88" s="1040"/>
      <c r="D88" s="118"/>
      <c r="E88" s="119"/>
      <c r="F88" s="1041"/>
      <c r="G88" s="1042"/>
      <c r="H88" s="695">
        <f t="shared" si="8"/>
        <v>0</v>
      </c>
      <c r="I88" s="131">
        <f t="shared" si="7"/>
        <v>0</v>
      </c>
      <c r="J88" s="394"/>
      <c r="K88" s="392"/>
      <c r="L88" s="153"/>
      <c r="M88" s="392"/>
      <c r="N88" s="392"/>
      <c r="O88" s="419"/>
      <c r="P88" s="833">
        <f t="shared" si="6"/>
        <v>0</v>
      </c>
    </row>
    <row r="89" spans="1:16" ht="20.100000000000001" hidden="1" customHeight="1">
      <c r="A89" s="1039"/>
      <c r="B89" s="1040"/>
      <c r="C89" s="1040"/>
      <c r="D89" s="118"/>
      <c r="E89" s="119"/>
      <c r="F89" s="1041"/>
      <c r="G89" s="1042"/>
      <c r="H89" s="695">
        <f t="shared" si="8"/>
        <v>0</v>
      </c>
      <c r="I89" s="131">
        <f t="shared" si="7"/>
        <v>0</v>
      </c>
      <c r="J89" s="394"/>
      <c r="K89" s="392"/>
      <c r="L89" s="153"/>
      <c r="M89" s="392"/>
      <c r="N89" s="392"/>
      <c r="O89" s="419"/>
      <c r="P89" s="833">
        <f t="shared" si="6"/>
        <v>0</v>
      </c>
    </row>
    <row r="90" spans="1:16" ht="20.100000000000001" hidden="1" customHeight="1">
      <c r="A90" s="1039"/>
      <c r="B90" s="1040"/>
      <c r="C90" s="1040"/>
      <c r="D90" s="118"/>
      <c r="E90" s="119"/>
      <c r="F90" s="1041"/>
      <c r="G90" s="1042"/>
      <c r="H90" s="695">
        <f t="shared" si="8"/>
        <v>0</v>
      </c>
      <c r="I90" s="131">
        <f t="shared" si="7"/>
        <v>0</v>
      </c>
      <c r="J90" s="394"/>
      <c r="K90" s="392"/>
      <c r="L90" s="153"/>
      <c r="M90" s="392"/>
      <c r="N90" s="392"/>
      <c r="O90" s="419"/>
      <c r="P90" s="833">
        <f t="shared" si="6"/>
        <v>0</v>
      </c>
    </row>
    <row r="91" spans="1:16" ht="20.100000000000001" hidden="1" customHeight="1">
      <c r="A91" s="1039"/>
      <c r="B91" s="1040"/>
      <c r="C91" s="1040"/>
      <c r="D91" s="118"/>
      <c r="E91" s="119"/>
      <c r="F91" s="1041"/>
      <c r="G91" s="1042"/>
      <c r="H91" s="695">
        <f t="shared" si="8"/>
        <v>0</v>
      </c>
      <c r="I91" s="131">
        <f t="shared" si="7"/>
        <v>0</v>
      </c>
      <c r="J91" s="394"/>
      <c r="K91" s="392"/>
      <c r="L91" s="153"/>
      <c r="M91" s="392"/>
      <c r="N91" s="392"/>
      <c r="O91" s="419"/>
      <c r="P91" s="833">
        <f t="shared" si="6"/>
        <v>0</v>
      </c>
    </row>
    <row r="92" spans="1:16" ht="20.100000000000001" hidden="1" customHeight="1">
      <c r="A92" s="1039"/>
      <c r="B92" s="1040"/>
      <c r="C92" s="1040"/>
      <c r="D92" s="118"/>
      <c r="E92" s="119"/>
      <c r="F92" s="1041"/>
      <c r="G92" s="1042"/>
      <c r="H92" s="695">
        <f t="shared" si="8"/>
        <v>0</v>
      </c>
      <c r="I92" s="131">
        <f t="shared" si="7"/>
        <v>0</v>
      </c>
      <c r="J92" s="394"/>
      <c r="K92" s="392"/>
      <c r="L92" s="153"/>
      <c r="M92" s="392"/>
      <c r="N92" s="392"/>
      <c r="O92" s="419"/>
      <c r="P92" s="833">
        <f t="shared" si="6"/>
        <v>0</v>
      </c>
    </row>
    <row r="93" spans="1:16" ht="20.100000000000001" hidden="1" customHeight="1">
      <c r="A93" s="1039"/>
      <c r="B93" s="1040"/>
      <c r="C93" s="1040"/>
      <c r="D93" s="118"/>
      <c r="E93" s="119"/>
      <c r="F93" s="1041"/>
      <c r="G93" s="1042"/>
      <c r="H93" s="695">
        <f t="shared" si="8"/>
        <v>0</v>
      </c>
      <c r="I93" s="131">
        <f t="shared" si="7"/>
        <v>0</v>
      </c>
      <c r="J93" s="394"/>
      <c r="K93" s="392"/>
      <c r="L93" s="153"/>
      <c r="M93" s="392"/>
      <c r="N93" s="392"/>
      <c r="O93" s="419"/>
      <c r="P93" s="833">
        <f t="shared" si="6"/>
        <v>0</v>
      </c>
    </row>
    <row r="94" spans="1:16" ht="20.100000000000001" hidden="1" customHeight="1">
      <c r="A94" s="1039"/>
      <c r="B94" s="1040"/>
      <c r="C94" s="1040"/>
      <c r="D94" s="118"/>
      <c r="E94" s="119"/>
      <c r="F94" s="1041"/>
      <c r="G94" s="1042"/>
      <c r="H94" s="695">
        <f t="shared" si="8"/>
        <v>0</v>
      </c>
      <c r="I94" s="131">
        <f t="shared" si="7"/>
        <v>0</v>
      </c>
      <c r="J94" s="394"/>
      <c r="K94" s="392"/>
      <c r="L94" s="153"/>
      <c r="M94" s="392"/>
      <c r="N94" s="392"/>
      <c r="O94" s="419"/>
      <c r="P94" s="833">
        <f t="shared" si="6"/>
        <v>0</v>
      </c>
    </row>
    <row r="95" spans="1:16" ht="20.100000000000001" hidden="1" customHeight="1">
      <c r="A95" s="1039"/>
      <c r="B95" s="1040"/>
      <c r="C95" s="1040"/>
      <c r="D95" s="118"/>
      <c r="E95" s="119"/>
      <c r="F95" s="1041"/>
      <c r="G95" s="1042"/>
      <c r="H95" s="695">
        <f t="shared" si="8"/>
        <v>0</v>
      </c>
      <c r="I95" s="131">
        <f t="shared" si="7"/>
        <v>0</v>
      </c>
      <c r="J95" s="394"/>
      <c r="K95" s="392"/>
      <c r="L95" s="153"/>
      <c r="M95" s="392"/>
      <c r="N95" s="392"/>
      <c r="O95" s="419"/>
      <c r="P95" s="833">
        <f t="shared" si="6"/>
        <v>0</v>
      </c>
    </row>
    <row r="96" spans="1:16" ht="20.100000000000001" hidden="1" customHeight="1">
      <c r="A96" s="1039"/>
      <c r="B96" s="1040"/>
      <c r="C96" s="1040"/>
      <c r="D96" s="118"/>
      <c r="E96" s="119"/>
      <c r="F96" s="1041"/>
      <c r="G96" s="1042"/>
      <c r="H96" s="695">
        <f t="shared" si="8"/>
        <v>0</v>
      </c>
      <c r="I96" s="131">
        <f t="shared" si="7"/>
        <v>0</v>
      </c>
      <c r="J96" s="394"/>
      <c r="K96" s="392"/>
      <c r="L96" s="153"/>
      <c r="M96" s="392"/>
      <c r="N96" s="392"/>
      <c r="O96" s="419"/>
      <c r="P96" s="833">
        <f t="shared" si="6"/>
        <v>0</v>
      </c>
    </row>
    <row r="97" spans="1:16" ht="20.100000000000001" hidden="1" customHeight="1">
      <c r="A97" s="1039"/>
      <c r="B97" s="1040"/>
      <c r="C97" s="1040"/>
      <c r="D97" s="118"/>
      <c r="E97" s="119"/>
      <c r="F97" s="1041"/>
      <c r="G97" s="1042"/>
      <c r="H97" s="695">
        <f t="shared" si="8"/>
        <v>0</v>
      </c>
      <c r="I97" s="131">
        <f t="shared" si="7"/>
        <v>0</v>
      </c>
      <c r="J97" s="394"/>
      <c r="K97" s="392"/>
      <c r="L97" s="153"/>
      <c r="M97" s="392"/>
      <c r="N97" s="392"/>
      <c r="O97" s="419"/>
      <c r="P97" s="833">
        <f t="shared" si="6"/>
        <v>0</v>
      </c>
    </row>
    <row r="98" spans="1:16" ht="20.100000000000001" hidden="1" customHeight="1">
      <c r="A98" s="1039"/>
      <c r="B98" s="1040"/>
      <c r="C98" s="1040"/>
      <c r="D98" s="118"/>
      <c r="E98" s="119"/>
      <c r="F98" s="1041"/>
      <c r="G98" s="1042"/>
      <c r="H98" s="695">
        <f t="shared" si="8"/>
        <v>0</v>
      </c>
      <c r="I98" s="131">
        <f t="shared" si="7"/>
        <v>0</v>
      </c>
      <c r="J98" s="394"/>
      <c r="K98" s="392"/>
      <c r="L98" s="153"/>
      <c r="M98" s="392"/>
      <c r="N98" s="392"/>
      <c r="O98" s="419"/>
      <c r="P98" s="833">
        <f t="shared" si="6"/>
        <v>0</v>
      </c>
    </row>
    <row r="99" spans="1:16" ht="20.100000000000001" hidden="1" customHeight="1">
      <c r="A99" s="1039"/>
      <c r="B99" s="1040"/>
      <c r="C99" s="1040"/>
      <c r="D99" s="118"/>
      <c r="E99" s="119"/>
      <c r="F99" s="1041"/>
      <c r="G99" s="1042"/>
      <c r="H99" s="695">
        <f t="shared" si="8"/>
        <v>0</v>
      </c>
      <c r="I99" s="131">
        <f t="shared" si="7"/>
        <v>0</v>
      </c>
      <c r="J99" s="394"/>
      <c r="K99" s="392"/>
      <c r="L99" s="153"/>
      <c r="M99" s="392"/>
      <c r="N99" s="392"/>
      <c r="O99" s="419"/>
      <c r="P99" s="833">
        <f t="shared" si="6"/>
        <v>0</v>
      </c>
    </row>
    <row r="100" spans="1:16" ht="20.100000000000001" hidden="1" customHeight="1">
      <c r="A100" s="1039"/>
      <c r="B100" s="1040"/>
      <c r="C100" s="1040"/>
      <c r="D100" s="118"/>
      <c r="E100" s="119"/>
      <c r="F100" s="1041"/>
      <c r="G100" s="1042"/>
      <c r="H100" s="695">
        <f t="shared" si="8"/>
        <v>0</v>
      </c>
      <c r="I100" s="131">
        <f t="shared" si="7"/>
        <v>0</v>
      </c>
      <c r="J100" s="394"/>
      <c r="K100" s="392"/>
      <c r="L100" s="153"/>
      <c r="M100" s="392"/>
      <c r="N100" s="392"/>
      <c r="O100" s="419"/>
      <c r="P100" s="833">
        <f t="shared" si="6"/>
        <v>0</v>
      </c>
    </row>
    <row r="101" spans="1:16" ht="20.100000000000001" hidden="1" customHeight="1">
      <c r="A101" s="1039"/>
      <c r="B101" s="1040"/>
      <c r="C101" s="1040"/>
      <c r="D101" s="118"/>
      <c r="E101" s="119"/>
      <c r="F101" s="1041"/>
      <c r="G101" s="1042"/>
      <c r="H101" s="695">
        <f t="shared" si="8"/>
        <v>0</v>
      </c>
      <c r="I101" s="131">
        <f t="shared" si="7"/>
        <v>0</v>
      </c>
      <c r="J101" s="394"/>
      <c r="K101" s="392"/>
      <c r="L101" s="153"/>
      <c r="M101" s="392"/>
      <c r="N101" s="392"/>
      <c r="O101" s="419"/>
      <c r="P101" s="833">
        <f t="shared" si="6"/>
        <v>0</v>
      </c>
    </row>
    <row r="102" spans="1:16" ht="20.100000000000001" hidden="1" customHeight="1">
      <c r="A102" s="1039"/>
      <c r="B102" s="1040"/>
      <c r="C102" s="1040"/>
      <c r="D102" s="118"/>
      <c r="E102" s="119"/>
      <c r="F102" s="1041"/>
      <c r="G102" s="1042"/>
      <c r="H102" s="695">
        <f t="shared" si="8"/>
        <v>0</v>
      </c>
      <c r="I102" s="131">
        <f t="shared" si="7"/>
        <v>0</v>
      </c>
      <c r="J102" s="394"/>
      <c r="K102" s="392"/>
      <c r="L102" s="153"/>
      <c r="M102" s="392"/>
      <c r="N102" s="392"/>
      <c r="O102" s="419"/>
      <c r="P102" s="833">
        <f t="shared" si="6"/>
        <v>0</v>
      </c>
    </row>
    <row r="103" spans="1:16" ht="20.100000000000001" hidden="1" customHeight="1">
      <c r="A103" s="1039"/>
      <c r="B103" s="1040"/>
      <c r="C103" s="1040"/>
      <c r="D103" s="118"/>
      <c r="E103" s="119"/>
      <c r="F103" s="1041"/>
      <c r="G103" s="1042"/>
      <c r="H103" s="695">
        <f t="shared" si="8"/>
        <v>0</v>
      </c>
      <c r="I103" s="131">
        <f t="shared" si="7"/>
        <v>0</v>
      </c>
      <c r="J103" s="394"/>
      <c r="K103" s="392"/>
      <c r="L103" s="153"/>
      <c r="M103" s="392"/>
      <c r="N103" s="392"/>
      <c r="O103" s="419"/>
      <c r="P103" s="833">
        <f t="shared" si="6"/>
        <v>0</v>
      </c>
    </row>
    <row r="104" spans="1:16" ht="20.100000000000001" hidden="1" customHeight="1">
      <c r="A104" s="1039"/>
      <c r="B104" s="1040"/>
      <c r="C104" s="1040"/>
      <c r="D104" s="118"/>
      <c r="E104" s="119"/>
      <c r="F104" s="1041"/>
      <c r="G104" s="1042"/>
      <c r="H104" s="695">
        <f t="shared" si="8"/>
        <v>0</v>
      </c>
      <c r="I104" s="131">
        <f t="shared" si="7"/>
        <v>0</v>
      </c>
      <c r="J104" s="394"/>
      <c r="K104" s="392"/>
      <c r="L104" s="153"/>
      <c r="M104" s="392"/>
      <c r="N104" s="392"/>
      <c r="O104" s="419"/>
      <c r="P104" s="833">
        <f t="shared" si="6"/>
        <v>0</v>
      </c>
    </row>
    <row r="105" spans="1:16" ht="20.100000000000001" hidden="1" customHeight="1">
      <c r="A105" s="1039"/>
      <c r="B105" s="1040"/>
      <c r="C105" s="1040"/>
      <c r="D105" s="118"/>
      <c r="E105" s="119"/>
      <c r="F105" s="1041"/>
      <c r="G105" s="1042"/>
      <c r="H105" s="695">
        <f t="shared" si="8"/>
        <v>0</v>
      </c>
      <c r="I105" s="131">
        <f t="shared" si="7"/>
        <v>0</v>
      </c>
      <c r="J105" s="394"/>
      <c r="K105" s="392"/>
      <c r="L105" s="153"/>
      <c r="M105" s="392"/>
      <c r="N105" s="392"/>
      <c r="O105" s="419"/>
      <c r="P105" s="833">
        <f t="shared" si="6"/>
        <v>0</v>
      </c>
    </row>
    <row r="106" spans="1:16" ht="20.100000000000001" hidden="1" customHeight="1">
      <c r="A106" s="1039"/>
      <c r="B106" s="1040"/>
      <c r="C106" s="1040"/>
      <c r="D106" s="118"/>
      <c r="E106" s="119"/>
      <c r="F106" s="1041"/>
      <c r="G106" s="1042"/>
      <c r="H106" s="695">
        <f t="shared" si="8"/>
        <v>0</v>
      </c>
      <c r="I106" s="131">
        <f t="shared" si="7"/>
        <v>0</v>
      </c>
      <c r="J106" s="394"/>
      <c r="K106" s="392"/>
      <c r="L106" s="153"/>
      <c r="M106" s="392"/>
      <c r="N106" s="392"/>
      <c r="O106" s="419"/>
      <c r="P106" s="833">
        <f t="shared" si="6"/>
        <v>0</v>
      </c>
    </row>
    <row r="107" spans="1:16" ht="20.100000000000001" hidden="1" customHeight="1">
      <c r="A107" s="1039"/>
      <c r="B107" s="1040"/>
      <c r="C107" s="1040"/>
      <c r="D107" s="118"/>
      <c r="E107" s="119"/>
      <c r="F107" s="1041"/>
      <c r="G107" s="1042"/>
      <c r="H107" s="695">
        <f t="shared" si="8"/>
        <v>0</v>
      </c>
      <c r="I107" s="131">
        <f t="shared" si="7"/>
        <v>0</v>
      </c>
      <c r="J107" s="394"/>
      <c r="K107" s="392"/>
      <c r="L107" s="153"/>
      <c r="M107" s="392"/>
      <c r="N107" s="392"/>
      <c r="O107" s="419"/>
      <c r="P107" s="833">
        <f t="shared" si="6"/>
        <v>0</v>
      </c>
    </row>
    <row r="108" spans="1:16" ht="20.100000000000001" hidden="1" customHeight="1">
      <c r="A108" s="1039"/>
      <c r="B108" s="1040"/>
      <c r="C108" s="1040"/>
      <c r="D108" s="118"/>
      <c r="E108" s="119"/>
      <c r="F108" s="1041"/>
      <c r="G108" s="1042"/>
      <c r="H108" s="695">
        <f t="shared" si="8"/>
        <v>0</v>
      </c>
      <c r="I108" s="131">
        <f>IFERROR(H108/$H$126,0)</f>
        <v>0</v>
      </c>
      <c r="J108" s="394"/>
      <c r="K108" s="392"/>
      <c r="L108" s="153"/>
      <c r="M108" s="392"/>
      <c r="N108" s="392"/>
      <c r="O108" s="419"/>
      <c r="P108" s="833">
        <f t="shared" si="6"/>
        <v>0</v>
      </c>
    </row>
    <row r="109" spans="1:16" ht="20.100000000000001" hidden="1" customHeight="1">
      <c r="A109" s="1039"/>
      <c r="B109" s="1040"/>
      <c r="C109" s="1040"/>
      <c r="D109" s="118"/>
      <c r="E109" s="119"/>
      <c r="F109" s="1041"/>
      <c r="G109" s="1042"/>
      <c r="H109" s="695">
        <f t="shared" si="8"/>
        <v>0</v>
      </c>
      <c r="I109" s="131">
        <f t="shared" si="7"/>
        <v>0</v>
      </c>
      <c r="J109" s="394"/>
      <c r="K109" s="392"/>
      <c r="L109" s="153"/>
      <c r="M109" s="392"/>
      <c r="N109" s="392"/>
      <c r="O109" s="419"/>
      <c r="P109" s="833">
        <f t="shared" si="6"/>
        <v>0</v>
      </c>
    </row>
    <row r="110" spans="1:16" ht="20.100000000000001" hidden="1" customHeight="1">
      <c r="A110" s="1039"/>
      <c r="B110" s="1040"/>
      <c r="C110" s="1040"/>
      <c r="D110" s="118"/>
      <c r="E110" s="119"/>
      <c r="F110" s="1041"/>
      <c r="G110" s="1042"/>
      <c r="H110" s="695">
        <f t="shared" si="8"/>
        <v>0</v>
      </c>
      <c r="I110" s="131">
        <f t="shared" si="7"/>
        <v>0</v>
      </c>
      <c r="J110" s="394"/>
      <c r="K110" s="392"/>
      <c r="L110" s="153"/>
      <c r="M110" s="392"/>
      <c r="N110" s="392"/>
      <c r="O110" s="419"/>
      <c r="P110" s="833">
        <f t="shared" si="6"/>
        <v>0</v>
      </c>
    </row>
    <row r="111" spans="1:16" ht="20.100000000000001" hidden="1" customHeight="1">
      <c r="A111" s="1039"/>
      <c r="B111" s="1040"/>
      <c r="C111" s="1040"/>
      <c r="D111" s="118"/>
      <c r="E111" s="119"/>
      <c r="F111" s="1041"/>
      <c r="G111" s="1042"/>
      <c r="H111" s="120">
        <f t="shared" si="8"/>
        <v>0</v>
      </c>
      <c r="I111" s="131">
        <f t="shared" si="7"/>
        <v>0</v>
      </c>
      <c r="J111" s="394"/>
      <c r="K111" s="392"/>
      <c r="L111" s="392"/>
      <c r="M111" s="392"/>
      <c r="N111" s="392"/>
      <c r="O111" s="419"/>
      <c r="P111" s="833">
        <f t="shared" si="6"/>
        <v>0</v>
      </c>
    </row>
    <row r="112" spans="1:16" ht="20.100000000000001" hidden="1" customHeight="1">
      <c r="A112" s="1039"/>
      <c r="B112" s="1040"/>
      <c r="C112" s="1040"/>
      <c r="D112" s="118"/>
      <c r="E112" s="119"/>
      <c r="F112" s="1041"/>
      <c r="G112" s="1042"/>
      <c r="H112" s="120">
        <f t="shared" si="8"/>
        <v>0</v>
      </c>
      <c r="I112" s="131">
        <f t="shared" si="7"/>
        <v>0</v>
      </c>
      <c r="J112" s="394"/>
      <c r="K112" s="392"/>
      <c r="L112" s="392"/>
      <c r="M112" s="392"/>
      <c r="N112" s="392"/>
      <c r="O112" s="419"/>
      <c r="P112" s="833">
        <f t="shared" si="6"/>
        <v>0</v>
      </c>
    </row>
    <row r="113" spans="1:16" ht="20.100000000000001" hidden="1" customHeight="1">
      <c r="A113" s="1039"/>
      <c r="B113" s="1040"/>
      <c r="C113" s="1040"/>
      <c r="D113" s="118"/>
      <c r="E113" s="119"/>
      <c r="F113" s="1041"/>
      <c r="G113" s="1042"/>
      <c r="H113" s="120">
        <f t="shared" si="8"/>
        <v>0</v>
      </c>
      <c r="I113" s="131">
        <f t="shared" si="7"/>
        <v>0</v>
      </c>
      <c r="J113" s="394"/>
      <c r="K113" s="392"/>
      <c r="L113" s="392"/>
      <c r="M113" s="392"/>
      <c r="N113" s="392"/>
      <c r="O113" s="419"/>
      <c r="P113" s="833">
        <f t="shared" si="6"/>
        <v>0</v>
      </c>
    </row>
    <row r="114" spans="1:16" ht="20.100000000000001" hidden="1" customHeight="1">
      <c r="A114" s="1039"/>
      <c r="B114" s="1040"/>
      <c r="C114" s="1040"/>
      <c r="D114" s="118"/>
      <c r="E114" s="119"/>
      <c r="F114" s="1041"/>
      <c r="G114" s="1042"/>
      <c r="H114" s="120">
        <f t="shared" si="8"/>
        <v>0</v>
      </c>
      <c r="I114" s="131">
        <f t="shared" si="7"/>
        <v>0</v>
      </c>
      <c r="J114" s="394"/>
      <c r="K114" s="392"/>
      <c r="L114" s="392"/>
      <c r="M114" s="392"/>
      <c r="N114" s="392"/>
      <c r="O114" s="419"/>
      <c r="P114" s="833">
        <f t="shared" si="6"/>
        <v>0</v>
      </c>
    </row>
    <row r="115" spans="1:16" ht="20.100000000000001" hidden="1" customHeight="1">
      <c r="A115" s="1039"/>
      <c r="B115" s="1040"/>
      <c r="C115" s="1040"/>
      <c r="D115" s="118"/>
      <c r="E115" s="119"/>
      <c r="F115" s="1041"/>
      <c r="G115" s="1042"/>
      <c r="H115" s="120">
        <f t="shared" si="8"/>
        <v>0</v>
      </c>
      <c r="I115" s="131">
        <f t="shared" si="7"/>
        <v>0</v>
      </c>
      <c r="J115" s="394"/>
      <c r="K115" s="392"/>
      <c r="L115" s="392"/>
      <c r="M115" s="392"/>
      <c r="N115" s="392"/>
      <c r="O115" s="419"/>
      <c r="P115" s="833">
        <f t="shared" si="6"/>
        <v>0</v>
      </c>
    </row>
    <row r="116" spans="1:16" ht="20.100000000000001" hidden="1" customHeight="1">
      <c r="A116" s="1039"/>
      <c r="B116" s="1040"/>
      <c r="C116" s="1040"/>
      <c r="D116" s="118"/>
      <c r="E116" s="119"/>
      <c r="F116" s="1041"/>
      <c r="G116" s="1042"/>
      <c r="H116" s="120">
        <f t="shared" si="8"/>
        <v>0</v>
      </c>
      <c r="I116" s="131">
        <f t="shared" si="7"/>
        <v>0</v>
      </c>
      <c r="J116" s="394"/>
      <c r="K116" s="392"/>
      <c r="L116" s="392"/>
      <c r="M116" s="392"/>
      <c r="N116" s="392"/>
      <c r="O116" s="419"/>
      <c r="P116" s="833">
        <f t="shared" si="6"/>
        <v>0</v>
      </c>
    </row>
    <row r="117" spans="1:16" ht="20.100000000000001" hidden="1" customHeight="1">
      <c r="A117" s="1039"/>
      <c r="B117" s="1040"/>
      <c r="C117" s="1040"/>
      <c r="D117" s="118"/>
      <c r="E117" s="119"/>
      <c r="F117" s="1041"/>
      <c r="G117" s="1042"/>
      <c r="H117" s="120">
        <f t="shared" si="8"/>
        <v>0</v>
      </c>
      <c r="I117" s="131">
        <f t="shared" si="7"/>
        <v>0</v>
      </c>
      <c r="J117" s="394"/>
      <c r="K117" s="392"/>
      <c r="L117" s="392"/>
      <c r="M117" s="392"/>
      <c r="N117" s="392"/>
      <c r="O117" s="419"/>
      <c r="P117" s="833">
        <f t="shared" si="6"/>
        <v>0</v>
      </c>
    </row>
    <row r="118" spans="1:16" ht="20.100000000000001" hidden="1" customHeight="1">
      <c r="A118" s="1039"/>
      <c r="B118" s="1040"/>
      <c r="C118" s="1040"/>
      <c r="D118" s="118"/>
      <c r="E118" s="119"/>
      <c r="F118" s="1041"/>
      <c r="G118" s="1042"/>
      <c r="H118" s="120">
        <f t="shared" si="8"/>
        <v>0</v>
      </c>
      <c r="I118" s="131">
        <f t="shared" si="7"/>
        <v>0</v>
      </c>
      <c r="J118" s="394"/>
      <c r="K118" s="392"/>
      <c r="L118" s="392"/>
      <c r="M118" s="392"/>
      <c r="N118" s="392"/>
      <c r="O118" s="419"/>
      <c r="P118" s="833">
        <f t="shared" si="6"/>
        <v>0</v>
      </c>
    </row>
    <row r="119" spans="1:16" ht="20.100000000000001" hidden="1" customHeight="1">
      <c r="A119" s="1039"/>
      <c r="B119" s="1040"/>
      <c r="C119" s="1040"/>
      <c r="D119" s="118"/>
      <c r="E119" s="119"/>
      <c r="F119" s="1041"/>
      <c r="G119" s="1042"/>
      <c r="H119" s="120">
        <f t="shared" si="8"/>
        <v>0</v>
      </c>
      <c r="I119" s="131">
        <f t="shared" si="7"/>
        <v>0</v>
      </c>
      <c r="J119" s="394"/>
      <c r="K119" s="392"/>
      <c r="L119" s="392"/>
      <c r="M119" s="392"/>
      <c r="N119" s="392"/>
      <c r="O119" s="419"/>
      <c r="P119" s="833">
        <f t="shared" si="6"/>
        <v>0</v>
      </c>
    </row>
    <row r="120" spans="1:16" ht="20.100000000000001" hidden="1" customHeight="1">
      <c r="A120" s="1039"/>
      <c r="B120" s="1040"/>
      <c r="C120" s="1040"/>
      <c r="D120" s="118"/>
      <c r="E120" s="119"/>
      <c r="F120" s="1041"/>
      <c r="G120" s="1042"/>
      <c r="H120" s="120">
        <f t="shared" si="8"/>
        <v>0</v>
      </c>
      <c r="I120" s="131">
        <f t="shared" si="7"/>
        <v>0</v>
      </c>
      <c r="J120" s="394"/>
      <c r="K120" s="392"/>
      <c r="L120" s="392"/>
      <c r="M120" s="392"/>
      <c r="N120" s="392"/>
      <c r="O120" s="419"/>
      <c r="P120" s="833">
        <f t="shared" si="6"/>
        <v>0</v>
      </c>
    </row>
    <row r="121" spans="1:16" ht="20.100000000000001" hidden="1" customHeight="1">
      <c r="A121" s="1039"/>
      <c r="B121" s="1040"/>
      <c r="C121" s="1040"/>
      <c r="D121" s="118"/>
      <c r="E121" s="119"/>
      <c r="F121" s="1041"/>
      <c r="G121" s="1042"/>
      <c r="H121" s="120">
        <f t="shared" si="8"/>
        <v>0</v>
      </c>
      <c r="I121" s="131">
        <f t="shared" si="7"/>
        <v>0</v>
      </c>
      <c r="J121" s="394"/>
      <c r="K121" s="392"/>
      <c r="L121" s="392"/>
      <c r="M121" s="392"/>
      <c r="N121" s="392"/>
      <c r="O121" s="419"/>
      <c r="P121" s="833">
        <f t="shared" si="6"/>
        <v>0</v>
      </c>
    </row>
    <row r="122" spans="1:16" ht="20.100000000000001" hidden="1" customHeight="1">
      <c r="A122" s="1039"/>
      <c r="B122" s="1040"/>
      <c r="C122" s="1040"/>
      <c r="D122" s="118"/>
      <c r="E122" s="119"/>
      <c r="F122" s="1041"/>
      <c r="G122" s="1042"/>
      <c r="H122" s="120">
        <f t="shared" si="8"/>
        <v>0</v>
      </c>
      <c r="I122" s="131">
        <f t="shared" si="7"/>
        <v>0</v>
      </c>
      <c r="J122" s="394"/>
      <c r="K122" s="392"/>
      <c r="L122" s="392"/>
      <c r="M122" s="392"/>
      <c r="N122" s="392"/>
      <c r="O122" s="419"/>
      <c r="P122" s="833">
        <f t="shared" si="6"/>
        <v>0</v>
      </c>
    </row>
    <row r="123" spans="1:16" ht="20.100000000000001" hidden="1" customHeight="1">
      <c r="A123" s="1039"/>
      <c r="B123" s="1040"/>
      <c r="C123" s="1040"/>
      <c r="D123" s="118"/>
      <c r="E123" s="119"/>
      <c r="F123" s="1041"/>
      <c r="G123" s="1042"/>
      <c r="H123" s="120">
        <f t="shared" si="8"/>
        <v>0</v>
      </c>
      <c r="I123" s="131">
        <f t="shared" si="7"/>
        <v>0</v>
      </c>
      <c r="J123" s="394"/>
      <c r="K123" s="392"/>
      <c r="L123" s="392"/>
      <c r="M123" s="392"/>
      <c r="N123" s="392"/>
      <c r="O123" s="419"/>
      <c r="P123" s="833">
        <f t="shared" si="6"/>
        <v>0</v>
      </c>
    </row>
    <row r="124" spans="1:16" ht="20.100000000000001" hidden="1" customHeight="1">
      <c r="A124" s="1039"/>
      <c r="B124" s="1040"/>
      <c r="C124" s="1040"/>
      <c r="D124" s="118"/>
      <c r="E124" s="119"/>
      <c r="F124" s="1041"/>
      <c r="G124" s="1042"/>
      <c r="H124" s="120">
        <f t="shared" si="8"/>
        <v>0</v>
      </c>
      <c r="I124" s="131">
        <f t="shared" si="7"/>
        <v>0</v>
      </c>
      <c r="J124" s="394"/>
      <c r="K124" s="392"/>
      <c r="L124" s="392"/>
      <c r="M124" s="392"/>
      <c r="N124" s="392"/>
      <c r="O124" s="419"/>
      <c r="P124" s="833">
        <f t="shared" si="6"/>
        <v>0</v>
      </c>
    </row>
    <row r="125" spans="1:16" ht="20.100000000000001" hidden="1" customHeight="1">
      <c r="A125" s="1039"/>
      <c r="B125" s="1040"/>
      <c r="C125" s="1040"/>
      <c r="D125" s="118"/>
      <c r="E125" s="119"/>
      <c r="F125" s="1041"/>
      <c r="G125" s="1042"/>
      <c r="H125" s="120">
        <f t="shared" si="8"/>
        <v>0</v>
      </c>
      <c r="I125" s="131">
        <f t="shared" si="7"/>
        <v>0</v>
      </c>
      <c r="J125" s="394"/>
      <c r="K125" s="392"/>
      <c r="L125" s="392"/>
      <c r="M125" s="392"/>
      <c r="N125" s="392"/>
      <c r="O125" s="419"/>
      <c r="P125" s="833">
        <f t="shared" si="6"/>
        <v>0</v>
      </c>
    </row>
    <row r="126" spans="1:16" ht="20.100000000000001" customHeight="1" thickBot="1">
      <c r="A126" s="1045" t="s">
        <v>407</v>
      </c>
      <c r="B126" s="1046"/>
      <c r="C126" s="1046"/>
      <c r="D126" s="1046"/>
      <c r="E126" s="1046"/>
      <c r="F126" s="1046"/>
      <c r="G126" s="1047"/>
      <c r="H126" s="121">
        <f>SUM(H84:H125)</f>
        <v>77058000</v>
      </c>
      <c r="I126" s="129">
        <f>SUM(I84:I125)</f>
        <v>1</v>
      </c>
      <c r="J126" s="395"/>
      <c r="K126" s="396"/>
      <c r="L126" s="396"/>
      <c r="M126" s="396"/>
      <c r="N126" s="396"/>
      <c r="O126" s="423"/>
      <c r="P126" s="134"/>
    </row>
    <row r="127" spans="1:16" ht="20.100000000000001" customHeight="1">
      <c r="A127" s="114"/>
      <c r="B127" s="114"/>
      <c r="C127" s="114"/>
      <c r="D127" s="114"/>
      <c r="E127" s="114"/>
      <c r="F127" s="114"/>
      <c r="G127" s="114"/>
      <c r="H127" s="146"/>
      <c r="I127" s="836"/>
      <c r="J127" s="837">
        <f>SUM(J10:J126)</f>
        <v>0</v>
      </c>
      <c r="K127" s="837">
        <f t="shared" ref="K127:O127" si="9">SUM(K10:K126)</f>
        <v>0</v>
      </c>
      <c r="L127" s="837">
        <f t="shared" si="9"/>
        <v>0</v>
      </c>
      <c r="M127" s="837">
        <f t="shared" si="9"/>
        <v>0</v>
      </c>
      <c r="N127" s="837">
        <f t="shared" si="9"/>
        <v>0</v>
      </c>
      <c r="O127" s="837">
        <f t="shared" si="9"/>
        <v>0</v>
      </c>
      <c r="P127" s="134"/>
    </row>
    <row r="128" spans="1:16" ht="20.100000000000001" customHeight="1" thickBot="1">
      <c r="A128" s="114"/>
      <c r="B128" s="114"/>
      <c r="C128" s="114"/>
      <c r="D128" s="115"/>
      <c r="E128" s="115"/>
      <c r="F128" s="115"/>
      <c r="G128" s="115"/>
      <c r="H128" s="122"/>
      <c r="I128" s="123"/>
      <c r="P128" s="134"/>
    </row>
    <row r="129" spans="1:16" ht="20.100000000000001" customHeight="1">
      <c r="A129" s="1043" t="s">
        <v>408</v>
      </c>
      <c r="B129" s="1044"/>
      <c r="C129" s="1044"/>
      <c r="D129" s="1044"/>
      <c r="E129" s="1044"/>
      <c r="F129" s="1044"/>
      <c r="G129" s="1044"/>
      <c r="H129" s="699">
        <f>H80+H126</f>
        <v>77058000</v>
      </c>
      <c r="P129" s="134"/>
    </row>
    <row r="130" spans="1:16" ht="20.100000000000001" customHeight="1">
      <c r="A130" s="1058" t="s">
        <v>409</v>
      </c>
      <c r="B130" s="1059"/>
      <c r="C130" s="1059"/>
      <c r="D130" s="1059"/>
      <c r="E130" s="1059"/>
      <c r="F130" s="1059"/>
      <c r="G130" s="702">
        <v>0</v>
      </c>
      <c r="H130" s="700">
        <f>H129*G130</f>
        <v>0</v>
      </c>
      <c r="I130" s="408" t="s">
        <v>410</v>
      </c>
      <c r="P130" s="134"/>
    </row>
    <row r="131" spans="1:16" ht="20.100000000000001" customHeight="1">
      <c r="A131" s="1058" t="s">
        <v>411</v>
      </c>
      <c r="B131" s="1059"/>
      <c r="C131" s="1059"/>
      <c r="D131" s="1059"/>
      <c r="E131" s="1059"/>
      <c r="F131" s="1059"/>
      <c r="G131" s="703">
        <v>0</v>
      </c>
      <c r="H131" s="700">
        <f>G131*H130</f>
        <v>0</v>
      </c>
      <c r="P131" s="134"/>
    </row>
    <row r="132" spans="1:16" ht="20.100000000000001" customHeight="1">
      <c r="A132" s="1058" t="s">
        <v>412</v>
      </c>
      <c r="B132" s="1059"/>
      <c r="C132" s="1059"/>
      <c r="D132" s="1059"/>
      <c r="E132" s="1059"/>
      <c r="F132" s="1059"/>
      <c r="G132" s="703">
        <v>0.19</v>
      </c>
      <c r="H132" s="700">
        <f>(H129+H130+H131)*G132</f>
        <v>14641020</v>
      </c>
      <c r="I132" s="408" t="s">
        <v>413</v>
      </c>
      <c r="P132" s="134"/>
    </row>
    <row r="133" spans="1:16" ht="20.100000000000001" customHeight="1" thickBot="1">
      <c r="A133" s="1045" t="s">
        <v>414</v>
      </c>
      <c r="B133" s="1046"/>
      <c r="C133" s="1046"/>
      <c r="D133" s="1046"/>
      <c r="E133" s="1046"/>
      <c r="F133" s="1046"/>
      <c r="G133" s="1047"/>
      <c r="H133" s="701">
        <f>SUM(H129:H132)</f>
        <v>91699020</v>
      </c>
      <c r="P133" s="134"/>
    </row>
    <row r="134" spans="1:16" ht="20.100000000000001" customHeight="1" thickBot="1">
      <c r="A134" s="114"/>
      <c r="B134" s="126"/>
      <c r="C134" s="126"/>
      <c r="D134" s="126"/>
      <c r="E134" s="126"/>
      <c r="F134" s="126"/>
      <c r="G134" s="126"/>
      <c r="H134" s="122"/>
      <c r="P134" s="134"/>
    </row>
    <row r="135" spans="1:16" ht="20.100000000000001" customHeight="1" thickBot="1">
      <c r="A135" s="1055" t="s">
        <v>415</v>
      </c>
      <c r="B135" s="1056"/>
      <c r="C135" s="1056"/>
      <c r="D135" s="1056"/>
      <c r="E135" s="1056"/>
      <c r="F135" s="1057"/>
      <c r="G135" s="126"/>
      <c r="H135" s="122"/>
      <c r="P135" s="134"/>
    </row>
    <row r="136" spans="1:16" ht="29.25" customHeight="1">
      <c r="A136" s="1060" t="s">
        <v>391</v>
      </c>
      <c r="B136" s="1061"/>
      <c r="C136" s="1061"/>
      <c r="D136" s="638" t="s">
        <v>397</v>
      </c>
      <c r="E136" s="402" t="s">
        <v>416</v>
      </c>
      <c r="F136" s="403" t="s">
        <v>417</v>
      </c>
      <c r="G136" s="126"/>
      <c r="H136" s="122"/>
    </row>
    <row r="137" spans="1:16" ht="28.5" customHeight="1">
      <c r="A137" s="1062" t="str">
        <f>A80</f>
        <v>SUBTOTAL PERSONAL (Mano de Obra Calificada + Mano de Obra no Calificada)</v>
      </c>
      <c r="B137" s="1063"/>
      <c r="C137" s="1063"/>
      <c r="D137" s="111">
        <f>H80</f>
        <v>0</v>
      </c>
      <c r="E137" s="704">
        <f>IFERROR(D137/$H$129,0)</f>
        <v>0</v>
      </c>
      <c r="F137" s="705">
        <f>IFERROR(D137/$H$133,0)</f>
        <v>0</v>
      </c>
      <c r="G137" s="126"/>
      <c r="H137" s="122"/>
    </row>
    <row r="138" spans="1:16" ht="20.100000000000001" customHeight="1">
      <c r="A138" s="1051" t="str">
        <f>A82</f>
        <v>COSTOS (Diferentes a los costos del personal)</v>
      </c>
      <c r="B138" s="1052"/>
      <c r="C138" s="1052"/>
      <c r="D138" s="111">
        <f>H126</f>
        <v>77058000</v>
      </c>
      <c r="E138" s="704">
        <f>IFERROR(D138/$H$129,0)</f>
        <v>1</v>
      </c>
      <c r="F138" s="705">
        <f t="shared" ref="F138:F141" si="10">IFERROR(D138/$H$133,0)</f>
        <v>0.84033613445378152</v>
      </c>
      <c r="G138" s="126"/>
      <c r="H138" s="122"/>
    </row>
    <row r="139" spans="1:16" ht="20.100000000000001" customHeight="1">
      <c r="A139" s="1051" t="str">
        <f>A130</f>
        <v>Administración</v>
      </c>
      <c r="B139" s="1052"/>
      <c r="C139" s="1052"/>
      <c r="D139" s="706">
        <f>H130</f>
        <v>0</v>
      </c>
      <c r="E139" s="707" t="s">
        <v>418</v>
      </c>
      <c r="F139" s="705">
        <f t="shared" si="10"/>
        <v>0</v>
      </c>
    </row>
    <row r="140" spans="1:16" ht="20.100000000000001" customHeight="1">
      <c r="A140" s="1051" t="str">
        <f>A131</f>
        <v>Utilidad</v>
      </c>
      <c r="B140" s="1052"/>
      <c r="C140" s="1052"/>
      <c r="D140" s="691">
        <f>H131</f>
        <v>0</v>
      </c>
      <c r="E140" s="707" t="s">
        <v>418</v>
      </c>
      <c r="F140" s="705">
        <f t="shared" si="10"/>
        <v>0</v>
      </c>
    </row>
    <row r="141" spans="1:16" ht="20.100000000000001" customHeight="1" thickBot="1">
      <c r="A141" s="1053" t="str">
        <f>A132</f>
        <v>IVA</v>
      </c>
      <c r="B141" s="1054"/>
      <c r="C141" s="1054"/>
      <c r="D141" s="708">
        <f>H132</f>
        <v>14641020</v>
      </c>
      <c r="E141" s="709" t="s">
        <v>418</v>
      </c>
      <c r="F141" s="710">
        <f t="shared" si="10"/>
        <v>0.15966386554621848</v>
      </c>
    </row>
    <row r="142" spans="1:16" ht="20.100000000000001" customHeight="1">
      <c r="E142" s="127">
        <f>SUM(E137:E138)</f>
        <v>1</v>
      </c>
      <c r="F142" s="127">
        <f>SUM(F137:F141)</f>
        <v>1</v>
      </c>
    </row>
    <row r="143" spans="1:16" ht="20.100000000000001" customHeight="1" thickBot="1">
      <c r="E143" s="127"/>
      <c r="F143" s="127"/>
    </row>
    <row r="144" spans="1:16" ht="20.100000000000001" customHeight="1" thickBot="1">
      <c r="A144" s="1048" t="s">
        <v>419</v>
      </c>
      <c r="B144" s="1049"/>
      <c r="C144" s="1049"/>
      <c r="D144" s="1049"/>
      <c r="E144" s="1049"/>
      <c r="F144" s="1049"/>
      <c r="G144" s="1050"/>
    </row>
    <row r="145" spans="1:7" ht="63" customHeight="1">
      <c r="A145" s="637" t="s">
        <v>420</v>
      </c>
      <c r="B145" s="638" t="s">
        <v>421</v>
      </c>
      <c r="C145" s="638" t="s">
        <v>422</v>
      </c>
      <c r="D145" s="638" t="s">
        <v>423</v>
      </c>
      <c r="E145" s="638" t="s">
        <v>424</v>
      </c>
      <c r="F145" s="638" t="s">
        <v>425</v>
      </c>
      <c r="G145" s="401" t="s">
        <v>417</v>
      </c>
    </row>
    <row r="146" spans="1:7" ht="20.100000000000001" customHeight="1">
      <c r="A146" s="394" t="str">
        <f>+A84</f>
        <v>Licenciamiento y actualización del Geoportal de Corantioquia</v>
      </c>
      <c r="B146" s="153">
        <f>+H84</f>
        <v>8848000</v>
      </c>
      <c r="C146" s="153"/>
      <c r="D146" s="153">
        <f>+B146*0.19</f>
        <v>1681120</v>
      </c>
      <c r="E146" s="153">
        <f>SUM(B146:D146)</f>
        <v>10529120</v>
      </c>
      <c r="F146" s="392"/>
      <c r="G146" s="697">
        <f>IFERROR(E146/$H$133,0)</f>
        <v>0.11482260115756962</v>
      </c>
    </row>
    <row r="147" spans="1:7" ht="20.100000000000001" customHeight="1">
      <c r="A147" s="394" t="str">
        <f>+A85</f>
        <v xml:space="preserve">Soporte y mantenimiento del sistema con mesa de ayuda inlcuye Transferencia de conocimiento y mesa de ayuda  </v>
      </c>
      <c r="B147" s="153">
        <f t="shared" ref="B147:B148" si="11">+H85</f>
        <v>42550000</v>
      </c>
      <c r="C147" s="153"/>
      <c r="D147" s="153">
        <f t="shared" ref="D147:D148" si="12">+B147*0.19</f>
        <v>8084500</v>
      </c>
      <c r="E147" s="153">
        <f t="shared" ref="E147:E164" si="13">SUM(B147:D147)</f>
        <v>50634500</v>
      </c>
      <c r="F147" s="392"/>
      <c r="G147" s="697">
        <f t="shared" ref="G147:G165" si="14">IFERROR(E147/$H$133,0)</f>
        <v>0.5521814736951387</v>
      </c>
    </row>
    <row r="148" spans="1:7" ht="20.100000000000001" customHeight="1">
      <c r="A148" s="394" t="str">
        <f t="shared" ref="A148" si="15">+A86</f>
        <v xml:space="preserve">Módulo de Certificación Ambiental Ventanilla Minera
</v>
      </c>
      <c r="B148" s="153">
        <f t="shared" si="11"/>
        <v>25660000</v>
      </c>
      <c r="C148" s="153"/>
      <c r="D148" s="153">
        <f t="shared" si="12"/>
        <v>4875400</v>
      </c>
      <c r="E148" s="153">
        <f t="shared" si="13"/>
        <v>30535400</v>
      </c>
      <c r="F148" s="392"/>
      <c r="G148" s="697">
        <f t="shared" si="14"/>
        <v>0.33299592514729165</v>
      </c>
    </row>
    <row r="149" spans="1:7" ht="20.100000000000001" customHeight="1">
      <c r="A149" s="394"/>
      <c r="B149" s="153"/>
      <c r="C149" s="153"/>
      <c r="D149" s="153"/>
      <c r="E149" s="153">
        <f t="shared" si="13"/>
        <v>0</v>
      </c>
      <c r="F149" s="392"/>
      <c r="G149" s="697">
        <f t="shared" si="14"/>
        <v>0</v>
      </c>
    </row>
    <row r="150" spans="1:7" ht="20.100000000000001" customHeight="1">
      <c r="A150" s="394"/>
      <c r="B150" s="153"/>
      <c r="C150" s="153"/>
      <c r="D150" s="153"/>
      <c r="E150" s="153">
        <f t="shared" ref="E150:E159" si="16">SUM(B150:D150)</f>
        <v>0</v>
      </c>
      <c r="F150" s="392"/>
      <c r="G150" s="697">
        <f t="shared" si="14"/>
        <v>0</v>
      </c>
    </row>
    <row r="151" spans="1:7" ht="20.100000000000001" customHeight="1">
      <c r="A151" s="394"/>
      <c r="B151" s="153"/>
      <c r="C151" s="153"/>
      <c r="D151" s="153"/>
      <c r="E151" s="153">
        <f t="shared" si="16"/>
        <v>0</v>
      </c>
      <c r="F151" s="392"/>
      <c r="G151" s="697">
        <f t="shared" si="14"/>
        <v>0</v>
      </c>
    </row>
    <row r="152" spans="1:7" ht="20.100000000000001" customHeight="1">
      <c r="A152" s="394"/>
      <c r="B152" s="153"/>
      <c r="C152" s="153"/>
      <c r="D152" s="153"/>
      <c r="E152" s="153">
        <f t="shared" si="16"/>
        <v>0</v>
      </c>
      <c r="F152" s="392"/>
      <c r="G152" s="697">
        <f t="shared" si="14"/>
        <v>0</v>
      </c>
    </row>
    <row r="153" spans="1:7" ht="20.100000000000001" customHeight="1">
      <c r="A153" s="394"/>
      <c r="B153" s="153"/>
      <c r="C153" s="153"/>
      <c r="D153" s="153"/>
      <c r="E153" s="153">
        <f t="shared" si="16"/>
        <v>0</v>
      </c>
      <c r="F153" s="392"/>
      <c r="G153" s="697">
        <f t="shared" si="14"/>
        <v>0</v>
      </c>
    </row>
    <row r="154" spans="1:7" ht="20.100000000000001" customHeight="1">
      <c r="A154" s="394"/>
      <c r="B154" s="153"/>
      <c r="C154" s="153"/>
      <c r="D154" s="153"/>
      <c r="E154" s="153">
        <f t="shared" si="16"/>
        <v>0</v>
      </c>
      <c r="F154" s="392"/>
      <c r="G154" s="697">
        <f t="shared" si="14"/>
        <v>0</v>
      </c>
    </row>
    <row r="155" spans="1:7" ht="20.100000000000001" hidden="1" customHeight="1">
      <c r="A155" s="394"/>
      <c r="B155" s="153"/>
      <c r="C155" s="153"/>
      <c r="D155" s="153"/>
      <c r="E155" s="153">
        <f t="shared" si="16"/>
        <v>0</v>
      </c>
      <c r="F155" s="392"/>
      <c r="G155" s="697">
        <f t="shared" si="14"/>
        <v>0</v>
      </c>
    </row>
    <row r="156" spans="1:7" ht="20.100000000000001" hidden="1" customHeight="1">
      <c r="A156" s="394"/>
      <c r="B156" s="153"/>
      <c r="C156" s="153"/>
      <c r="D156" s="153"/>
      <c r="E156" s="153">
        <f t="shared" si="16"/>
        <v>0</v>
      </c>
      <c r="F156" s="392"/>
      <c r="G156" s="697">
        <f t="shared" si="14"/>
        <v>0</v>
      </c>
    </row>
    <row r="157" spans="1:7" ht="20.100000000000001" hidden="1" customHeight="1">
      <c r="A157" s="394"/>
      <c r="B157" s="153"/>
      <c r="C157" s="153"/>
      <c r="D157" s="153"/>
      <c r="E157" s="153">
        <f t="shared" si="16"/>
        <v>0</v>
      </c>
      <c r="F157" s="392"/>
      <c r="G157" s="697">
        <f>IFERROR(E157/$H$133,0)</f>
        <v>0</v>
      </c>
    </row>
    <row r="158" spans="1:7" ht="20.100000000000001" hidden="1" customHeight="1">
      <c r="A158" s="394"/>
      <c r="B158" s="153"/>
      <c r="C158" s="153"/>
      <c r="D158" s="153"/>
      <c r="E158" s="153">
        <f t="shared" si="16"/>
        <v>0</v>
      </c>
      <c r="F158" s="392"/>
      <c r="G158" s="697">
        <f>IFERROR(E158/$H$133,0)</f>
        <v>0</v>
      </c>
    </row>
    <row r="159" spans="1:7" ht="20.100000000000001" hidden="1" customHeight="1">
      <c r="A159" s="394"/>
      <c r="B159" s="153"/>
      <c r="C159" s="153"/>
      <c r="D159" s="153"/>
      <c r="E159" s="153">
        <f t="shared" si="16"/>
        <v>0</v>
      </c>
      <c r="F159" s="392"/>
      <c r="G159" s="697">
        <f t="shared" si="14"/>
        <v>0</v>
      </c>
    </row>
    <row r="160" spans="1:7" ht="20.100000000000001" hidden="1" customHeight="1">
      <c r="A160" s="394"/>
      <c r="B160" s="153"/>
      <c r="C160" s="153"/>
      <c r="D160" s="153"/>
      <c r="E160" s="153">
        <f t="shared" si="13"/>
        <v>0</v>
      </c>
      <c r="F160" s="392"/>
      <c r="G160" s="697">
        <f t="shared" si="14"/>
        <v>0</v>
      </c>
    </row>
    <row r="161" spans="1:7" ht="20.100000000000001" hidden="1" customHeight="1">
      <c r="A161" s="394"/>
      <c r="B161" s="153"/>
      <c r="C161" s="153"/>
      <c r="D161" s="153"/>
      <c r="E161" s="153">
        <f t="shared" si="13"/>
        <v>0</v>
      </c>
      <c r="F161" s="392"/>
      <c r="G161" s="697">
        <f t="shared" si="14"/>
        <v>0</v>
      </c>
    </row>
    <row r="162" spans="1:7" ht="20.100000000000001" hidden="1" customHeight="1">
      <c r="A162" s="394"/>
      <c r="B162" s="153"/>
      <c r="C162" s="153"/>
      <c r="D162" s="153"/>
      <c r="E162" s="153">
        <f t="shared" si="13"/>
        <v>0</v>
      </c>
      <c r="F162" s="392"/>
      <c r="G162" s="697">
        <f t="shared" si="14"/>
        <v>0</v>
      </c>
    </row>
    <row r="163" spans="1:7" ht="20.100000000000001" hidden="1" customHeight="1">
      <c r="A163" s="394"/>
      <c r="B163" s="153"/>
      <c r="C163" s="153"/>
      <c r="D163" s="153"/>
      <c r="E163" s="153">
        <f t="shared" si="13"/>
        <v>0</v>
      </c>
      <c r="F163" s="392"/>
      <c r="G163" s="697">
        <f t="shared" si="14"/>
        <v>0</v>
      </c>
    </row>
    <row r="164" spans="1:7" ht="20.100000000000001" hidden="1" customHeight="1">
      <c r="A164" s="394"/>
      <c r="B164" s="153"/>
      <c r="C164" s="153"/>
      <c r="D164" s="153"/>
      <c r="E164" s="153">
        <f t="shared" si="13"/>
        <v>0</v>
      </c>
      <c r="F164" s="392"/>
      <c r="G164" s="697">
        <f t="shared" si="14"/>
        <v>0</v>
      </c>
    </row>
    <row r="165" spans="1:7" ht="20.100000000000001" customHeight="1" thickBot="1">
      <c r="A165" s="395"/>
      <c r="B165" s="397"/>
      <c r="C165" s="397"/>
      <c r="D165" s="397"/>
      <c r="E165" s="397">
        <f t="shared" ref="E165" si="17">SUM(B165:D165)</f>
        <v>0</v>
      </c>
      <c r="F165" s="396"/>
      <c r="G165" s="698">
        <f t="shared" si="14"/>
        <v>0</v>
      </c>
    </row>
    <row r="166" spans="1:7" ht="20.100000000000001" customHeight="1">
      <c r="B166" s="834">
        <f>SUM(B146:B165)</f>
        <v>77058000</v>
      </c>
      <c r="C166" s="834">
        <f>SUM(C146:C165)</f>
        <v>0</v>
      </c>
      <c r="D166" s="834">
        <f>SUM(D146:D165)</f>
        <v>14641020</v>
      </c>
      <c r="E166" s="834">
        <f>SUM(E146:E165)</f>
        <v>91699020</v>
      </c>
      <c r="F166" s="393"/>
      <c r="G166" s="400">
        <f>SUM(G146:G165)</f>
        <v>1</v>
      </c>
    </row>
    <row r="167" spans="1:7" ht="20.100000000000001" customHeight="1">
      <c r="B167" s="835">
        <f>B166-H129</f>
        <v>0</v>
      </c>
      <c r="C167" s="134">
        <f>C166-(H130+H131)</f>
        <v>0</v>
      </c>
      <c r="D167" s="835">
        <f>D166-H132</f>
        <v>0</v>
      </c>
      <c r="E167" s="835">
        <f>E166-H133</f>
        <v>0</v>
      </c>
    </row>
  </sheetData>
  <sheetProtection algorithmName="SHA-512" hashValue="GQLf5n1c7CMx5O4EbH8R1lJO098prreZM/THWIQ1/8JgDaUAjHLj/UvtaQo4wHgSxITVEZLaI9T32mRhO3Y/WA==" saltValue="D+LYB0tPcIguPtjntx+gIw==" spinCount="100000" sheet="1" formatCells="0" formatColumns="0" formatRows="0" insertColumns="0" insertRows="0" insertHyperlinks="0" deleteColumns="0" deleteRows="0" sort="0" autoFilter="0" pivotTables="0"/>
  <mergeCells count="118">
    <mergeCell ref="A5:B5"/>
    <mergeCell ref="C5:O5"/>
    <mergeCell ref="A6:B6"/>
    <mergeCell ref="C6:O6"/>
    <mergeCell ref="A8:I8"/>
    <mergeCell ref="J8:O8"/>
    <mergeCell ref="A1:B3"/>
    <mergeCell ref="C1:O1"/>
    <mergeCell ref="C2:O2"/>
    <mergeCell ref="C3:G3"/>
    <mergeCell ref="H3:O3"/>
    <mergeCell ref="A4:I4"/>
    <mergeCell ref="A83:C83"/>
    <mergeCell ref="F83:G83"/>
    <mergeCell ref="A84:C84"/>
    <mergeCell ref="F84:G84"/>
    <mergeCell ref="A85:C85"/>
    <mergeCell ref="F85:G85"/>
    <mergeCell ref="A10:I10"/>
    <mergeCell ref="A52:G52"/>
    <mergeCell ref="A53:I53"/>
    <mergeCell ref="A79:G79"/>
    <mergeCell ref="A80:G80"/>
    <mergeCell ref="A82:I82"/>
    <mergeCell ref="A89:C89"/>
    <mergeCell ref="F89:G89"/>
    <mergeCell ref="A90:C90"/>
    <mergeCell ref="F90:G90"/>
    <mergeCell ref="A91:C91"/>
    <mergeCell ref="F91:G91"/>
    <mergeCell ref="A86:C86"/>
    <mergeCell ref="F86:G86"/>
    <mergeCell ref="A87:C87"/>
    <mergeCell ref="F87:G87"/>
    <mergeCell ref="A88:C88"/>
    <mergeCell ref="F88:G88"/>
    <mergeCell ref="A95:C95"/>
    <mergeCell ref="F95:G95"/>
    <mergeCell ref="A96:C96"/>
    <mergeCell ref="F96:G96"/>
    <mergeCell ref="A97:C97"/>
    <mergeCell ref="F97:G97"/>
    <mergeCell ref="A92:C92"/>
    <mergeCell ref="F92:G92"/>
    <mergeCell ref="A93:C93"/>
    <mergeCell ref="F93:G93"/>
    <mergeCell ref="A94:C94"/>
    <mergeCell ref="F94:G94"/>
    <mergeCell ref="A101:C101"/>
    <mergeCell ref="F101:G101"/>
    <mergeCell ref="A102:C102"/>
    <mergeCell ref="F102:G102"/>
    <mergeCell ref="A103:C103"/>
    <mergeCell ref="F103:G103"/>
    <mergeCell ref="A98:C98"/>
    <mergeCell ref="F98:G98"/>
    <mergeCell ref="A99:C99"/>
    <mergeCell ref="F99:G99"/>
    <mergeCell ref="A100:C100"/>
    <mergeCell ref="F100:G100"/>
    <mergeCell ref="A107:C107"/>
    <mergeCell ref="F107:G107"/>
    <mergeCell ref="A108:C108"/>
    <mergeCell ref="F108:G108"/>
    <mergeCell ref="A109:C109"/>
    <mergeCell ref="F109:G109"/>
    <mergeCell ref="A104:C104"/>
    <mergeCell ref="F104:G104"/>
    <mergeCell ref="A105:C105"/>
    <mergeCell ref="F105:G105"/>
    <mergeCell ref="A106:C106"/>
    <mergeCell ref="F106:G106"/>
    <mergeCell ref="A113:C113"/>
    <mergeCell ref="F113:G113"/>
    <mergeCell ref="A114:C114"/>
    <mergeCell ref="F114:G114"/>
    <mergeCell ref="A115:C115"/>
    <mergeCell ref="F115:G115"/>
    <mergeCell ref="A110:C110"/>
    <mergeCell ref="F110:G110"/>
    <mergeCell ref="A111:C111"/>
    <mergeCell ref="F111:G111"/>
    <mergeCell ref="A112:C112"/>
    <mergeCell ref="F112:G112"/>
    <mergeCell ref="A119:C119"/>
    <mergeCell ref="F119:G119"/>
    <mergeCell ref="A120:C120"/>
    <mergeCell ref="F120:G120"/>
    <mergeCell ref="A121:C121"/>
    <mergeCell ref="F121:G121"/>
    <mergeCell ref="A116:C116"/>
    <mergeCell ref="F116:G116"/>
    <mergeCell ref="A117:C117"/>
    <mergeCell ref="F117:G117"/>
    <mergeCell ref="A118:C118"/>
    <mergeCell ref="F118:G118"/>
    <mergeCell ref="A125:C125"/>
    <mergeCell ref="F125:G125"/>
    <mergeCell ref="A126:G126"/>
    <mergeCell ref="A129:G129"/>
    <mergeCell ref="A130:F130"/>
    <mergeCell ref="A131:F131"/>
    <mergeCell ref="A122:C122"/>
    <mergeCell ref="F122:G122"/>
    <mergeCell ref="A123:C123"/>
    <mergeCell ref="F123:G123"/>
    <mergeCell ref="A124:C124"/>
    <mergeCell ref="F124:G124"/>
    <mergeCell ref="A139:C139"/>
    <mergeCell ref="A140:C140"/>
    <mergeCell ref="A141:C141"/>
    <mergeCell ref="A144:G144"/>
    <mergeCell ref="A132:F132"/>
    <mergeCell ref="A133:G133"/>
    <mergeCell ref="A135:F135"/>
    <mergeCell ref="A136:C136"/>
    <mergeCell ref="A137:C137"/>
    <mergeCell ref="A138:C138"/>
  </mergeCells>
  <dataValidations count="7">
    <dataValidation type="list" allowBlank="1" showInputMessage="1" showErrorMessage="1" sqref="F146:F165" xr:uid="{DB20DBE1-1387-4DD9-87D8-6776C768A78E}">
      <formula1>"Si,No"</formula1>
    </dataValidation>
    <dataValidation allowBlank="1" showInputMessage="1" showErrorMessage="1" prompt="diligencie la cantidad del personal requerido" sqref="WUT983143:WUT983151 IH11:IH51 SD11:SD51 ABZ11:ABZ51 ALV11:ALV51 AVR11:AVR51 BFN11:BFN51 BPJ11:BPJ51 BZF11:BZF51 CJB11:CJB51 CSX11:CSX51 DCT11:DCT51 DMP11:DMP51 DWL11:DWL51 EGH11:EGH51 EQD11:EQD51 EZZ11:EZZ51 FJV11:FJV51 FTR11:FTR51 GDN11:GDN51 GNJ11:GNJ51 GXF11:GXF51 HHB11:HHB51 HQX11:HQX51 IAT11:IAT51 IKP11:IKP51 IUL11:IUL51 JEH11:JEH51 JOD11:JOD51 JXZ11:JXZ51 KHV11:KHV51 KRR11:KRR51 LBN11:LBN51 LLJ11:LLJ51 LVF11:LVF51 MFB11:MFB51 MOX11:MOX51 MYT11:MYT51 NIP11:NIP51 NSL11:NSL51 OCH11:OCH51 OMD11:OMD51 OVZ11:OVZ51 PFV11:PFV51 PPR11:PPR51 PZN11:PZN51 QJJ11:QJJ51 QTF11:QTF51 RDB11:RDB51 RMX11:RMX51 RWT11:RWT51 SGP11:SGP51 SQL11:SQL51 TAH11:TAH51 TKD11:TKD51 TTZ11:TTZ51 UDV11:UDV51 UNR11:UNR51 UXN11:UXN51 VHJ11:VHJ51 VRF11:VRF51 WBB11:WBB51 WKX11:WKX51 WUT11:WUT51 B65628:B65636 IH65628:IH65636 SD65628:SD65636 ABZ65628:ABZ65636 ALV65628:ALV65636 AVR65628:AVR65636 BFN65628:BFN65636 BPJ65628:BPJ65636 BZF65628:BZF65636 CJB65628:CJB65636 CSX65628:CSX65636 DCT65628:DCT65636 DMP65628:DMP65636 DWL65628:DWL65636 EGH65628:EGH65636 EQD65628:EQD65636 EZZ65628:EZZ65636 FJV65628:FJV65636 FTR65628:FTR65636 GDN65628:GDN65636 GNJ65628:GNJ65636 GXF65628:GXF65636 HHB65628:HHB65636 HQX65628:HQX65636 IAT65628:IAT65636 IKP65628:IKP65636 IUL65628:IUL65636 JEH65628:JEH65636 JOD65628:JOD65636 JXZ65628:JXZ65636 KHV65628:KHV65636 KRR65628:KRR65636 LBN65628:LBN65636 LLJ65628:LLJ65636 LVF65628:LVF65636 MFB65628:MFB65636 MOX65628:MOX65636 MYT65628:MYT65636 NIP65628:NIP65636 NSL65628:NSL65636 OCH65628:OCH65636 OMD65628:OMD65636 OVZ65628:OVZ65636 PFV65628:PFV65636 PPR65628:PPR65636 PZN65628:PZN65636 QJJ65628:QJJ65636 QTF65628:QTF65636 RDB65628:RDB65636 RMX65628:RMX65636 RWT65628:RWT65636 SGP65628:SGP65636 SQL65628:SQL65636 TAH65628:TAH65636 TKD65628:TKD65636 TTZ65628:TTZ65636 UDV65628:UDV65636 UNR65628:UNR65636 UXN65628:UXN65636 VHJ65628:VHJ65636 VRF65628:VRF65636 WBB65628:WBB65636 WKX65628:WKX65636 WUT65628:WUT65636 B131164:B131172 IH131164:IH131172 SD131164:SD131172 ABZ131164:ABZ131172 ALV131164:ALV131172 AVR131164:AVR131172 BFN131164:BFN131172 BPJ131164:BPJ131172 BZF131164:BZF131172 CJB131164:CJB131172 CSX131164:CSX131172 DCT131164:DCT131172 DMP131164:DMP131172 DWL131164:DWL131172 EGH131164:EGH131172 EQD131164:EQD131172 EZZ131164:EZZ131172 FJV131164:FJV131172 FTR131164:FTR131172 GDN131164:GDN131172 GNJ131164:GNJ131172 GXF131164:GXF131172 HHB131164:HHB131172 HQX131164:HQX131172 IAT131164:IAT131172 IKP131164:IKP131172 IUL131164:IUL131172 JEH131164:JEH131172 JOD131164:JOD131172 JXZ131164:JXZ131172 KHV131164:KHV131172 KRR131164:KRR131172 LBN131164:LBN131172 LLJ131164:LLJ131172 LVF131164:LVF131172 MFB131164:MFB131172 MOX131164:MOX131172 MYT131164:MYT131172 NIP131164:NIP131172 NSL131164:NSL131172 OCH131164:OCH131172 OMD131164:OMD131172 OVZ131164:OVZ131172 PFV131164:PFV131172 PPR131164:PPR131172 PZN131164:PZN131172 QJJ131164:QJJ131172 QTF131164:QTF131172 RDB131164:RDB131172 RMX131164:RMX131172 RWT131164:RWT131172 SGP131164:SGP131172 SQL131164:SQL131172 TAH131164:TAH131172 TKD131164:TKD131172 TTZ131164:TTZ131172 UDV131164:UDV131172 UNR131164:UNR131172 UXN131164:UXN131172 VHJ131164:VHJ131172 VRF131164:VRF131172 WBB131164:WBB131172 WKX131164:WKX131172 WUT131164:WUT131172 B196700:B196708 IH196700:IH196708 SD196700:SD196708 ABZ196700:ABZ196708 ALV196700:ALV196708 AVR196700:AVR196708 BFN196700:BFN196708 BPJ196700:BPJ196708 BZF196700:BZF196708 CJB196700:CJB196708 CSX196700:CSX196708 DCT196700:DCT196708 DMP196700:DMP196708 DWL196700:DWL196708 EGH196700:EGH196708 EQD196700:EQD196708 EZZ196700:EZZ196708 FJV196700:FJV196708 FTR196700:FTR196708 GDN196700:GDN196708 GNJ196700:GNJ196708 GXF196700:GXF196708 HHB196700:HHB196708 HQX196700:HQX196708 IAT196700:IAT196708 IKP196700:IKP196708 IUL196700:IUL196708 JEH196700:JEH196708 JOD196700:JOD196708 JXZ196700:JXZ196708 KHV196700:KHV196708 KRR196700:KRR196708 LBN196700:LBN196708 LLJ196700:LLJ196708 LVF196700:LVF196708 MFB196700:MFB196708 MOX196700:MOX196708 MYT196700:MYT196708 NIP196700:NIP196708 NSL196700:NSL196708 OCH196700:OCH196708 OMD196700:OMD196708 OVZ196700:OVZ196708 PFV196700:PFV196708 PPR196700:PPR196708 PZN196700:PZN196708 QJJ196700:QJJ196708 QTF196700:QTF196708 RDB196700:RDB196708 RMX196700:RMX196708 RWT196700:RWT196708 SGP196700:SGP196708 SQL196700:SQL196708 TAH196700:TAH196708 TKD196700:TKD196708 TTZ196700:TTZ196708 UDV196700:UDV196708 UNR196700:UNR196708 UXN196700:UXN196708 VHJ196700:VHJ196708 VRF196700:VRF196708 WBB196700:WBB196708 WKX196700:WKX196708 WUT196700:WUT196708 B262236:B262244 IH262236:IH262244 SD262236:SD262244 ABZ262236:ABZ262244 ALV262236:ALV262244 AVR262236:AVR262244 BFN262236:BFN262244 BPJ262236:BPJ262244 BZF262236:BZF262244 CJB262236:CJB262244 CSX262236:CSX262244 DCT262236:DCT262244 DMP262236:DMP262244 DWL262236:DWL262244 EGH262236:EGH262244 EQD262236:EQD262244 EZZ262236:EZZ262244 FJV262236:FJV262244 FTR262236:FTR262244 GDN262236:GDN262244 GNJ262236:GNJ262244 GXF262236:GXF262244 HHB262236:HHB262244 HQX262236:HQX262244 IAT262236:IAT262244 IKP262236:IKP262244 IUL262236:IUL262244 JEH262236:JEH262244 JOD262236:JOD262244 JXZ262236:JXZ262244 KHV262236:KHV262244 KRR262236:KRR262244 LBN262236:LBN262244 LLJ262236:LLJ262244 LVF262236:LVF262244 MFB262236:MFB262244 MOX262236:MOX262244 MYT262236:MYT262244 NIP262236:NIP262244 NSL262236:NSL262244 OCH262236:OCH262244 OMD262236:OMD262244 OVZ262236:OVZ262244 PFV262236:PFV262244 PPR262236:PPR262244 PZN262236:PZN262244 QJJ262236:QJJ262244 QTF262236:QTF262244 RDB262236:RDB262244 RMX262236:RMX262244 RWT262236:RWT262244 SGP262236:SGP262244 SQL262236:SQL262244 TAH262236:TAH262244 TKD262236:TKD262244 TTZ262236:TTZ262244 UDV262236:UDV262244 UNR262236:UNR262244 UXN262236:UXN262244 VHJ262236:VHJ262244 VRF262236:VRF262244 WBB262236:WBB262244 WKX262236:WKX262244 WUT262236:WUT262244 B327772:B327780 IH327772:IH327780 SD327772:SD327780 ABZ327772:ABZ327780 ALV327772:ALV327780 AVR327772:AVR327780 BFN327772:BFN327780 BPJ327772:BPJ327780 BZF327772:BZF327780 CJB327772:CJB327780 CSX327772:CSX327780 DCT327772:DCT327780 DMP327772:DMP327780 DWL327772:DWL327780 EGH327772:EGH327780 EQD327772:EQD327780 EZZ327772:EZZ327780 FJV327772:FJV327780 FTR327772:FTR327780 GDN327772:GDN327780 GNJ327772:GNJ327780 GXF327772:GXF327780 HHB327772:HHB327780 HQX327772:HQX327780 IAT327772:IAT327780 IKP327772:IKP327780 IUL327772:IUL327780 JEH327772:JEH327780 JOD327772:JOD327780 JXZ327772:JXZ327780 KHV327772:KHV327780 KRR327772:KRR327780 LBN327772:LBN327780 LLJ327772:LLJ327780 LVF327772:LVF327780 MFB327772:MFB327780 MOX327772:MOX327780 MYT327772:MYT327780 NIP327772:NIP327780 NSL327772:NSL327780 OCH327772:OCH327780 OMD327772:OMD327780 OVZ327772:OVZ327780 PFV327772:PFV327780 PPR327772:PPR327780 PZN327772:PZN327780 QJJ327772:QJJ327780 QTF327772:QTF327780 RDB327772:RDB327780 RMX327772:RMX327780 RWT327772:RWT327780 SGP327772:SGP327780 SQL327772:SQL327780 TAH327772:TAH327780 TKD327772:TKD327780 TTZ327772:TTZ327780 UDV327772:UDV327780 UNR327772:UNR327780 UXN327772:UXN327780 VHJ327772:VHJ327780 VRF327772:VRF327780 WBB327772:WBB327780 WKX327772:WKX327780 WUT327772:WUT327780 B393308:B393316 IH393308:IH393316 SD393308:SD393316 ABZ393308:ABZ393316 ALV393308:ALV393316 AVR393308:AVR393316 BFN393308:BFN393316 BPJ393308:BPJ393316 BZF393308:BZF393316 CJB393308:CJB393316 CSX393308:CSX393316 DCT393308:DCT393316 DMP393308:DMP393316 DWL393308:DWL393316 EGH393308:EGH393316 EQD393308:EQD393316 EZZ393308:EZZ393316 FJV393308:FJV393316 FTR393308:FTR393316 GDN393308:GDN393316 GNJ393308:GNJ393316 GXF393308:GXF393316 HHB393308:HHB393316 HQX393308:HQX393316 IAT393308:IAT393316 IKP393308:IKP393316 IUL393308:IUL393316 JEH393308:JEH393316 JOD393308:JOD393316 JXZ393308:JXZ393316 KHV393308:KHV393316 KRR393308:KRR393316 LBN393308:LBN393316 LLJ393308:LLJ393316 LVF393308:LVF393316 MFB393308:MFB393316 MOX393308:MOX393316 MYT393308:MYT393316 NIP393308:NIP393316 NSL393308:NSL393316 OCH393308:OCH393316 OMD393308:OMD393316 OVZ393308:OVZ393316 PFV393308:PFV393316 PPR393308:PPR393316 PZN393308:PZN393316 QJJ393308:QJJ393316 QTF393308:QTF393316 RDB393308:RDB393316 RMX393308:RMX393316 RWT393308:RWT393316 SGP393308:SGP393316 SQL393308:SQL393316 TAH393308:TAH393316 TKD393308:TKD393316 TTZ393308:TTZ393316 UDV393308:UDV393316 UNR393308:UNR393316 UXN393308:UXN393316 VHJ393308:VHJ393316 VRF393308:VRF393316 WBB393308:WBB393316 WKX393308:WKX393316 WUT393308:WUT393316 B458844:B458852 IH458844:IH458852 SD458844:SD458852 ABZ458844:ABZ458852 ALV458844:ALV458852 AVR458844:AVR458852 BFN458844:BFN458852 BPJ458844:BPJ458852 BZF458844:BZF458852 CJB458844:CJB458852 CSX458844:CSX458852 DCT458844:DCT458852 DMP458844:DMP458852 DWL458844:DWL458852 EGH458844:EGH458852 EQD458844:EQD458852 EZZ458844:EZZ458852 FJV458844:FJV458852 FTR458844:FTR458852 GDN458844:GDN458852 GNJ458844:GNJ458852 GXF458844:GXF458852 HHB458844:HHB458852 HQX458844:HQX458852 IAT458844:IAT458852 IKP458844:IKP458852 IUL458844:IUL458852 JEH458844:JEH458852 JOD458844:JOD458852 JXZ458844:JXZ458852 KHV458844:KHV458852 KRR458844:KRR458852 LBN458844:LBN458852 LLJ458844:LLJ458852 LVF458844:LVF458852 MFB458844:MFB458852 MOX458844:MOX458852 MYT458844:MYT458852 NIP458844:NIP458852 NSL458844:NSL458852 OCH458844:OCH458852 OMD458844:OMD458852 OVZ458844:OVZ458852 PFV458844:PFV458852 PPR458844:PPR458852 PZN458844:PZN458852 QJJ458844:QJJ458852 QTF458844:QTF458852 RDB458844:RDB458852 RMX458844:RMX458852 RWT458844:RWT458852 SGP458844:SGP458852 SQL458844:SQL458852 TAH458844:TAH458852 TKD458844:TKD458852 TTZ458844:TTZ458852 UDV458844:UDV458852 UNR458844:UNR458852 UXN458844:UXN458852 VHJ458844:VHJ458852 VRF458844:VRF458852 WBB458844:WBB458852 WKX458844:WKX458852 WUT458844:WUT458852 B524380:B524388 IH524380:IH524388 SD524380:SD524388 ABZ524380:ABZ524388 ALV524380:ALV524388 AVR524380:AVR524388 BFN524380:BFN524388 BPJ524380:BPJ524388 BZF524380:BZF524388 CJB524380:CJB524388 CSX524380:CSX524388 DCT524380:DCT524388 DMP524380:DMP524388 DWL524380:DWL524388 EGH524380:EGH524388 EQD524380:EQD524388 EZZ524380:EZZ524388 FJV524380:FJV524388 FTR524380:FTR524388 GDN524380:GDN524388 GNJ524380:GNJ524388 GXF524380:GXF524388 HHB524380:HHB524388 HQX524380:HQX524388 IAT524380:IAT524388 IKP524380:IKP524388 IUL524380:IUL524388 JEH524380:JEH524388 JOD524380:JOD524388 JXZ524380:JXZ524388 KHV524380:KHV524388 KRR524380:KRR524388 LBN524380:LBN524388 LLJ524380:LLJ524388 LVF524380:LVF524388 MFB524380:MFB524388 MOX524380:MOX524388 MYT524380:MYT524388 NIP524380:NIP524388 NSL524380:NSL524388 OCH524380:OCH524388 OMD524380:OMD524388 OVZ524380:OVZ524388 PFV524380:PFV524388 PPR524380:PPR524388 PZN524380:PZN524388 QJJ524380:QJJ524388 QTF524380:QTF524388 RDB524380:RDB524388 RMX524380:RMX524388 RWT524380:RWT524388 SGP524380:SGP524388 SQL524380:SQL524388 TAH524380:TAH524388 TKD524380:TKD524388 TTZ524380:TTZ524388 UDV524380:UDV524388 UNR524380:UNR524388 UXN524380:UXN524388 VHJ524380:VHJ524388 VRF524380:VRF524388 WBB524380:WBB524388 WKX524380:WKX524388 WUT524380:WUT524388 B589916:B589924 IH589916:IH589924 SD589916:SD589924 ABZ589916:ABZ589924 ALV589916:ALV589924 AVR589916:AVR589924 BFN589916:BFN589924 BPJ589916:BPJ589924 BZF589916:BZF589924 CJB589916:CJB589924 CSX589916:CSX589924 DCT589916:DCT589924 DMP589916:DMP589924 DWL589916:DWL589924 EGH589916:EGH589924 EQD589916:EQD589924 EZZ589916:EZZ589924 FJV589916:FJV589924 FTR589916:FTR589924 GDN589916:GDN589924 GNJ589916:GNJ589924 GXF589916:GXF589924 HHB589916:HHB589924 HQX589916:HQX589924 IAT589916:IAT589924 IKP589916:IKP589924 IUL589916:IUL589924 JEH589916:JEH589924 JOD589916:JOD589924 JXZ589916:JXZ589924 KHV589916:KHV589924 KRR589916:KRR589924 LBN589916:LBN589924 LLJ589916:LLJ589924 LVF589916:LVF589924 MFB589916:MFB589924 MOX589916:MOX589924 MYT589916:MYT589924 NIP589916:NIP589924 NSL589916:NSL589924 OCH589916:OCH589924 OMD589916:OMD589924 OVZ589916:OVZ589924 PFV589916:PFV589924 PPR589916:PPR589924 PZN589916:PZN589924 QJJ589916:QJJ589924 QTF589916:QTF589924 RDB589916:RDB589924 RMX589916:RMX589924 RWT589916:RWT589924 SGP589916:SGP589924 SQL589916:SQL589924 TAH589916:TAH589924 TKD589916:TKD589924 TTZ589916:TTZ589924 UDV589916:UDV589924 UNR589916:UNR589924 UXN589916:UXN589924 VHJ589916:VHJ589924 VRF589916:VRF589924 WBB589916:WBB589924 WKX589916:WKX589924 WUT589916:WUT589924 B655452:B655460 IH655452:IH655460 SD655452:SD655460 ABZ655452:ABZ655460 ALV655452:ALV655460 AVR655452:AVR655460 BFN655452:BFN655460 BPJ655452:BPJ655460 BZF655452:BZF655460 CJB655452:CJB655460 CSX655452:CSX655460 DCT655452:DCT655460 DMP655452:DMP655460 DWL655452:DWL655460 EGH655452:EGH655460 EQD655452:EQD655460 EZZ655452:EZZ655460 FJV655452:FJV655460 FTR655452:FTR655460 GDN655452:GDN655460 GNJ655452:GNJ655460 GXF655452:GXF655460 HHB655452:HHB655460 HQX655452:HQX655460 IAT655452:IAT655460 IKP655452:IKP655460 IUL655452:IUL655460 JEH655452:JEH655460 JOD655452:JOD655460 JXZ655452:JXZ655460 KHV655452:KHV655460 KRR655452:KRR655460 LBN655452:LBN655460 LLJ655452:LLJ655460 LVF655452:LVF655460 MFB655452:MFB655460 MOX655452:MOX655460 MYT655452:MYT655460 NIP655452:NIP655460 NSL655452:NSL655460 OCH655452:OCH655460 OMD655452:OMD655460 OVZ655452:OVZ655460 PFV655452:PFV655460 PPR655452:PPR655460 PZN655452:PZN655460 QJJ655452:QJJ655460 QTF655452:QTF655460 RDB655452:RDB655460 RMX655452:RMX655460 RWT655452:RWT655460 SGP655452:SGP655460 SQL655452:SQL655460 TAH655452:TAH655460 TKD655452:TKD655460 TTZ655452:TTZ655460 UDV655452:UDV655460 UNR655452:UNR655460 UXN655452:UXN655460 VHJ655452:VHJ655460 VRF655452:VRF655460 WBB655452:WBB655460 WKX655452:WKX655460 WUT655452:WUT655460 B720988:B720996 IH720988:IH720996 SD720988:SD720996 ABZ720988:ABZ720996 ALV720988:ALV720996 AVR720988:AVR720996 BFN720988:BFN720996 BPJ720988:BPJ720996 BZF720988:BZF720996 CJB720988:CJB720996 CSX720988:CSX720996 DCT720988:DCT720996 DMP720988:DMP720996 DWL720988:DWL720996 EGH720988:EGH720996 EQD720988:EQD720996 EZZ720988:EZZ720996 FJV720988:FJV720996 FTR720988:FTR720996 GDN720988:GDN720996 GNJ720988:GNJ720996 GXF720988:GXF720996 HHB720988:HHB720996 HQX720988:HQX720996 IAT720988:IAT720996 IKP720988:IKP720996 IUL720988:IUL720996 JEH720988:JEH720996 JOD720988:JOD720996 JXZ720988:JXZ720996 KHV720988:KHV720996 KRR720988:KRR720996 LBN720988:LBN720996 LLJ720988:LLJ720996 LVF720988:LVF720996 MFB720988:MFB720996 MOX720988:MOX720996 MYT720988:MYT720996 NIP720988:NIP720996 NSL720988:NSL720996 OCH720988:OCH720996 OMD720988:OMD720996 OVZ720988:OVZ720996 PFV720988:PFV720996 PPR720988:PPR720996 PZN720988:PZN720996 QJJ720988:QJJ720996 QTF720988:QTF720996 RDB720988:RDB720996 RMX720988:RMX720996 RWT720988:RWT720996 SGP720988:SGP720996 SQL720988:SQL720996 TAH720988:TAH720996 TKD720988:TKD720996 TTZ720988:TTZ720996 UDV720988:UDV720996 UNR720988:UNR720996 UXN720988:UXN720996 VHJ720988:VHJ720996 VRF720988:VRF720996 WBB720988:WBB720996 WKX720988:WKX720996 WUT720988:WUT720996 B786524:B786532 IH786524:IH786532 SD786524:SD786532 ABZ786524:ABZ786532 ALV786524:ALV786532 AVR786524:AVR786532 BFN786524:BFN786532 BPJ786524:BPJ786532 BZF786524:BZF786532 CJB786524:CJB786532 CSX786524:CSX786532 DCT786524:DCT786532 DMP786524:DMP786532 DWL786524:DWL786532 EGH786524:EGH786532 EQD786524:EQD786532 EZZ786524:EZZ786532 FJV786524:FJV786532 FTR786524:FTR786532 GDN786524:GDN786532 GNJ786524:GNJ786532 GXF786524:GXF786532 HHB786524:HHB786532 HQX786524:HQX786532 IAT786524:IAT786532 IKP786524:IKP786532 IUL786524:IUL786532 JEH786524:JEH786532 JOD786524:JOD786532 JXZ786524:JXZ786532 KHV786524:KHV786532 KRR786524:KRR786532 LBN786524:LBN786532 LLJ786524:LLJ786532 LVF786524:LVF786532 MFB786524:MFB786532 MOX786524:MOX786532 MYT786524:MYT786532 NIP786524:NIP786532 NSL786524:NSL786532 OCH786524:OCH786532 OMD786524:OMD786532 OVZ786524:OVZ786532 PFV786524:PFV786532 PPR786524:PPR786532 PZN786524:PZN786532 QJJ786524:QJJ786532 QTF786524:QTF786532 RDB786524:RDB786532 RMX786524:RMX786532 RWT786524:RWT786532 SGP786524:SGP786532 SQL786524:SQL786532 TAH786524:TAH786532 TKD786524:TKD786532 TTZ786524:TTZ786532 UDV786524:UDV786532 UNR786524:UNR786532 UXN786524:UXN786532 VHJ786524:VHJ786532 VRF786524:VRF786532 WBB786524:WBB786532 WKX786524:WKX786532 WUT786524:WUT786532 B852060:B852068 IH852060:IH852068 SD852060:SD852068 ABZ852060:ABZ852068 ALV852060:ALV852068 AVR852060:AVR852068 BFN852060:BFN852068 BPJ852060:BPJ852068 BZF852060:BZF852068 CJB852060:CJB852068 CSX852060:CSX852068 DCT852060:DCT852068 DMP852060:DMP852068 DWL852060:DWL852068 EGH852060:EGH852068 EQD852060:EQD852068 EZZ852060:EZZ852068 FJV852060:FJV852068 FTR852060:FTR852068 GDN852060:GDN852068 GNJ852060:GNJ852068 GXF852060:GXF852068 HHB852060:HHB852068 HQX852060:HQX852068 IAT852060:IAT852068 IKP852060:IKP852068 IUL852060:IUL852068 JEH852060:JEH852068 JOD852060:JOD852068 JXZ852060:JXZ852068 KHV852060:KHV852068 KRR852060:KRR852068 LBN852060:LBN852068 LLJ852060:LLJ852068 LVF852060:LVF852068 MFB852060:MFB852068 MOX852060:MOX852068 MYT852060:MYT852068 NIP852060:NIP852068 NSL852060:NSL852068 OCH852060:OCH852068 OMD852060:OMD852068 OVZ852060:OVZ852068 PFV852060:PFV852068 PPR852060:PPR852068 PZN852060:PZN852068 QJJ852060:QJJ852068 QTF852060:QTF852068 RDB852060:RDB852068 RMX852060:RMX852068 RWT852060:RWT852068 SGP852060:SGP852068 SQL852060:SQL852068 TAH852060:TAH852068 TKD852060:TKD852068 TTZ852060:TTZ852068 UDV852060:UDV852068 UNR852060:UNR852068 UXN852060:UXN852068 VHJ852060:VHJ852068 VRF852060:VRF852068 WBB852060:WBB852068 WKX852060:WKX852068 WUT852060:WUT852068 B917596:B917604 IH917596:IH917604 SD917596:SD917604 ABZ917596:ABZ917604 ALV917596:ALV917604 AVR917596:AVR917604 BFN917596:BFN917604 BPJ917596:BPJ917604 BZF917596:BZF917604 CJB917596:CJB917604 CSX917596:CSX917604 DCT917596:DCT917604 DMP917596:DMP917604 DWL917596:DWL917604 EGH917596:EGH917604 EQD917596:EQD917604 EZZ917596:EZZ917604 FJV917596:FJV917604 FTR917596:FTR917604 GDN917596:GDN917604 GNJ917596:GNJ917604 GXF917596:GXF917604 HHB917596:HHB917604 HQX917596:HQX917604 IAT917596:IAT917604 IKP917596:IKP917604 IUL917596:IUL917604 JEH917596:JEH917604 JOD917596:JOD917604 JXZ917596:JXZ917604 KHV917596:KHV917604 KRR917596:KRR917604 LBN917596:LBN917604 LLJ917596:LLJ917604 LVF917596:LVF917604 MFB917596:MFB917604 MOX917596:MOX917604 MYT917596:MYT917604 NIP917596:NIP917604 NSL917596:NSL917604 OCH917596:OCH917604 OMD917596:OMD917604 OVZ917596:OVZ917604 PFV917596:PFV917604 PPR917596:PPR917604 PZN917596:PZN917604 QJJ917596:QJJ917604 QTF917596:QTF917604 RDB917596:RDB917604 RMX917596:RMX917604 RWT917596:RWT917604 SGP917596:SGP917604 SQL917596:SQL917604 TAH917596:TAH917604 TKD917596:TKD917604 TTZ917596:TTZ917604 UDV917596:UDV917604 UNR917596:UNR917604 UXN917596:UXN917604 VHJ917596:VHJ917604 VRF917596:VRF917604 WBB917596:WBB917604 WKX917596:WKX917604 WUT917596:WUT917604 B983132:B983140 IH983132:IH983140 SD983132:SD983140 ABZ983132:ABZ983140 ALV983132:ALV983140 AVR983132:AVR983140 BFN983132:BFN983140 BPJ983132:BPJ983140 BZF983132:BZF983140 CJB983132:CJB983140 CSX983132:CSX983140 DCT983132:DCT983140 DMP983132:DMP983140 DWL983132:DWL983140 EGH983132:EGH983140 EQD983132:EQD983140 EZZ983132:EZZ983140 FJV983132:FJV983140 FTR983132:FTR983140 GDN983132:GDN983140 GNJ983132:GNJ983140 GXF983132:GXF983140 HHB983132:HHB983140 HQX983132:HQX983140 IAT983132:IAT983140 IKP983132:IKP983140 IUL983132:IUL983140 JEH983132:JEH983140 JOD983132:JOD983140 JXZ983132:JXZ983140 KHV983132:KHV983140 KRR983132:KRR983140 LBN983132:LBN983140 LLJ983132:LLJ983140 LVF983132:LVF983140 MFB983132:MFB983140 MOX983132:MOX983140 MYT983132:MYT983140 NIP983132:NIP983140 NSL983132:NSL983140 OCH983132:OCH983140 OMD983132:OMD983140 OVZ983132:OVZ983140 PFV983132:PFV983140 PPR983132:PPR983140 PZN983132:PZN983140 QJJ983132:QJJ983140 QTF983132:QTF983140 RDB983132:RDB983140 RMX983132:RMX983140 RWT983132:RWT983140 SGP983132:SGP983140 SQL983132:SQL983140 TAH983132:TAH983140 TKD983132:TKD983140 TTZ983132:TTZ983140 UDV983132:UDV983140 UNR983132:UNR983140 UXN983132:UXN983140 VHJ983132:VHJ983140 VRF983132:VRF983140 WBB983132:WBB983140 WKX983132:WKX983140 WUT983132:WUT983140 B11:B51 IH54:IH78 SD54:SD78 ABZ54:ABZ78 ALV54:ALV78 AVR54:AVR78 BFN54:BFN78 BPJ54:BPJ78 BZF54:BZF78 CJB54:CJB78 CSX54:CSX78 DCT54:DCT78 DMP54:DMP78 DWL54:DWL78 EGH54:EGH78 EQD54:EQD78 EZZ54:EZZ78 FJV54:FJV78 FTR54:FTR78 GDN54:GDN78 GNJ54:GNJ78 GXF54:GXF78 HHB54:HHB78 HQX54:HQX78 IAT54:IAT78 IKP54:IKP78 IUL54:IUL78 JEH54:JEH78 JOD54:JOD78 JXZ54:JXZ78 KHV54:KHV78 KRR54:KRR78 LBN54:LBN78 LLJ54:LLJ78 LVF54:LVF78 MFB54:MFB78 MOX54:MOX78 MYT54:MYT78 NIP54:NIP78 NSL54:NSL78 OCH54:OCH78 OMD54:OMD78 OVZ54:OVZ78 PFV54:PFV78 PPR54:PPR78 PZN54:PZN78 QJJ54:QJJ78 QTF54:QTF78 RDB54:RDB78 RMX54:RMX78 RWT54:RWT78 SGP54:SGP78 SQL54:SQL78 TAH54:TAH78 TKD54:TKD78 TTZ54:TTZ78 UDV54:UDV78 UNR54:UNR78 UXN54:UXN78 VHJ54:VHJ78 VRF54:VRF78 WBB54:WBB78 WKX54:WKX78 WUT54:WUT78 B65639:B65647 IH65639:IH65647 SD65639:SD65647 ABZ65639:ABZ65647 ALV65639:ALV65647 AVR65639:AVR65647 BFN65639:BFN65647 BPJ65639:BPJ65647 BZF65639:BZF65647 CJB65639:CJB65647 CSX65639:CSX65647 DCT65639:DCT65647 DMP65639:DMP65647 DWL65639:DWL65647 EGH65639:EGH65647 EQD65639:EQD65647 EZZ65639:EZZ65647 FJV65639:FJV65647 FTR65639:FTR65647 GDN65639:GDN65647 GNJ65639:GNJ65647 GXF65639:GXF65647 HHB65639:HHB65647 HQX65639:HQX65647 IAT65639:IAT65647 IKP65639:IKP65647 IUL65639:IUL65647 JEH65639:JEH65647 JOD65639:JOD65647 JXZ65639:JXZ65647 KHV65639:KHV65647 KRR65639:KRR65647 LBN65639:LBN65647 LLJ65639:LLJ65647 LVF65639:LVF65647 MFB65639:MFB65647 MOX65639:MOX65647 MYT65639:MYT65647 NIP65639:NIP65647 NSL65639:NSL65647 OCH65639:OCH65647 OMD65639:OMD65647 OVZ65639:OVZ65647 PFV65639:PFV65647 PPR65639:PPR65647 PZN65639:PZN65647 QJJ65639:QJJ65647 QTF65639:QTF65647 RDB65639:RDB65647 RMX65639:RMX65647 RWT65639:RWT65647 SGP65639:SGP65647 SQL65639:SQL65647 TAH65639:TAH65647 TKD65639:TKD65647 TTZ65639:TTZ65647 UDV65639:UDV65647 UNR65639:UNR65647 UXN65639:UXN65647 VHJ65639:VHJ65647 VRF65639:VRF65647 WBB65639:WBB65647 WKX65639:WKX65647 WUT65639:WUT65647 B131175:B131183 IH131175:IH131183 SD131175:SD131183 ABZ131175:ABZ131183 ALV131175:ALV131183 AVR131175:AVR131183 BFN131175:BFN131183 BPJ131175:BPJ131183 BZF131175:BZF131183 CJB131175:CJB131183 CSX131175:CSX131183 DCT131175:DCT131183 DMP131175:DMP131183 DWL131175:DWL131183 EGH131175:EGH131183 EQD131175:EQD131183 EZZ131175:EZZ131183 FJV131175:FJV131183 FTR131175:FTR131183 GDN131175:GDN131183 GNJ131175:GNJ131183 GXF131175:GXF131183 HHB131175:HHB131183 HQX131175:HQX131183 IAT131175:IAT131183 IKP131175:IKP131183 IUL131175:IUL131183 JEH131175:JEH131183 JOD131175:JOD131183 JXZ131175:JXZ131183 KHV131175:KHV131183 KRR131175:KRR131183 LBN131175:LBN131183 LLJ131175:LLJ131183 LVF131175:LVF131183 MFB131175:MFB131183 MOX131175:MOX131183 MYT131175:MYT131183 NIP131175:NIP131183 NSL131175:NSL131183 OCH131175:OCH131183 OMD131175:OMD131183 OVZ131175:OVZ131183 PFV131175:PFV131183 PPR131175:PPR131183 PZN131175:PZN131183 QJJ131175:QJJ131183 QTF131175:QTF131183 RDB131175:RDB131183 RMX131175:RMX131183 RWT131175:RWT131183 SGP131175:SGP131183 SQL131175:SQL131183 TAH131175:TAH131183 TKD131175:TKD131183 TTZ131175:TTZ131183 UDV131175:UDV131183 UNR131175:UNR131183 UXN131175:UXN131183 VHJ131175:VHJ131183 VRF131175:VRF131183 WBB131175:WBB131183 WKX131175:WKX131183 WUT131175:WUT131183 B196711:B196719 IH196711:IH196719 SD196711:SD196719 ABZ196711:ABZ196719 ALV196711:ALV196719 AVR196711:AVR196719 BFN196711:BFN196719 BPJ196711:BPJ196719 BZF196711:BZF196719 CJB196711:CJB196719 CSX196711:CSX196719 DCT196711:DCT196719 DMP196711:DMP196719 DWL196711:DWL196719 EGH196711:EGH196719 EQD196711:EQD196719 EZZ196711:EZZ196719 FJV196711:FJV196719 FTR196711:FTR196719 GDN196711:GDN196719 GNJ196711:GNJ196719 GXF196711:GXF196719 HHB196711:HHB196719 HQX196711:HQX196719 IAT196711:IAT196719 IKP196711:IKP196719 IUL196711:IUL196719 JEH196711:JEH196719 JOD196711:JOD196719 JXZ196711:JXZ196719 KHV196711:KHV196719 KRR196711:KRR196719 LBN196711:LBN196719 LLJ196711:LLJ196719 LVF196711:LVF196719 MFB196711:MFB196719 MOX196711:MOX196719 MYT196711:MYT196719 NIP196711:NIP196719 NSL196711:NSL196719 OCH196711:OCH196719 OMD196711:OMD196719 OVZ196711:OVZ196719 PFV196711:PFV196719 PPR196711:PPR196719 PZN196711:PZN196719 QJJ196711:QJJ196719 QTF196711:QTF196719 RDB196711:RDB196719 RMX196711:RMX196719 RWT196711:RWT196719 SGP196711:SGP196719 SQL196711:SQL196719 TAH196711:TAH196719 TKD196711:TKD196719 TTZ196711:TTZ196719 UDV196711:UDV196719 UNR196711:UNR196719 UXN196711:UXN196719 VHJ196711:VHJ196719 VRF196711:VRF196719 WBB196711:WBB196719 WKX196711:WKX196719 WUT196711:WUT196719 B262247:B262255 IH262247:IH262255 SD262247:SD262255 ABZ262247:ABZ262255 ALV262247:ALV262255 AVR262247:AVR262255 BFN262247:BFN262255 BPJ262247:BPJ262255 BZF262247:BZF262255 CJB262247:CJB262255 CSX262247:CSX262255 DCT262247:DCT262255 DMP262247:DMP262255 DWL262247:DWL262255 EGH262247:EGH262255 EQD262247:EQD262255 EZZ262247:EZZ262255 FJV262247:FJV262255 FTR262247:FTR262255 GDN262247:GDN262255 GNJ262247:GNJ262255 GXF262247:GXF262255 HHB262247:HHB262255 HQX262247:HQX262255 IAT262247:IAT262255 IKP262247:IKP262255 IUL262247:IUL262255 JEH262247:JEH262255 JOD262247:JOD262255 JXZ262247:JXZ262255 KHV262247:KHV262255 KRR262247:KRR262255 LBN262247:LBN262255 LLJ262247:LLJ262255 LVF262247:LVF262255 MFB262247:MFB262255 MOX262247:MOX262255 MYT262247:MYT262255 NIP262247:NIP262255 NSL262247:NSL262255 OCH262247:OCH262255 OMD262247:OMD262255 OVZ262247:OVZ262255 PFV262247:PFV262255 PPR262247:PPR262255 PZN262247:PZN262255 QJJ262247:QJJ262255 QTF262247:QTF262255 RDB262247:RDB262255 RMX262247:RMX262255 RWT262247:RWT262255 SGP262247:SGP262255 SQL262247:SQL262255 TAH262247:TAH262255 TKD262247:TKD262255 TTZ262247:TTZ262255 UDV262247:UDV262255 UNR262247:UNR262255 UXN262247:UXN262255 VHJ262247:VHJ262255 VRF262247:VRF262255 WBB262247:WBB262255 WKX262247:WKX262255 WUT262247:WUT262255 B327783:B327791 IH327783:IH327791 SD327783:SD327791 ABZ327783:ABZ327791 ALV327783:ALV327791 AVR327783:AVR327791 BFN327783:BFN327791 BPJ327783:BPJ327791 BZF327783:BZF327791 CJB327783:CJB327791 CSX327783:CSX327791 DCT327783:DCT327791 DMP327783:DMP327791 DWL327783:DWL327791 EGH327783:EGH327791 EQD327783:EQD327791 EZZ327783:EZZ327791 FJV327783:FJV327791 FTR327783:FTR327791 GDN327783:GDN327791 GNJ327783:GNJ327791 GXF327783:GXF327791 HHB327783:HHB327791 HQX327783:HQX327791 IAT327783:IAT327791 IKP327783:IKP327791 IUL327783:IUL327791 JEH327783:JEH327791 JOD327783:JOD327791 JXZ327783:JXZ327791 KHV327783:KHV327791 KRR327783:KRR327791 LBN327783:LBN327791 LLJ327783:LLJ327791 LVF327783:LVF327791 MFB327783:MFB327791 MOX327783:MOX327791 MYT327783:MYT327791 NIP327783:NIP327791 NSL327783:NSL327791 OCH327783:OCH327791 OMD327783:OMD327791 OVZ327783:OVZ327791 PFV327783:PFV327791 PPR327783:PPR327791 PZN327783:PZN327791 QJJ327783:QJJ327791 QTF327783:QTF327791 RDB327783:RDB327791 RMX327783:RMX327791 RWT327783:RWT327791 SGP327783:SGP327791 SQL327783:SQL327791 TAH327783:TAH327791 TKD327783:TKD327791 TTZ327783:TTZ327791 UDV327783:UDV327791 UNR327783:UNR327791 UXN327783:UXN327791 VHJ327783:VHJ327791 VRF327783:VRF327791 WBB327783:WBB327791 WKX327783:WKX327791 WUT327783:WUT327791 B393319:B393327 IH393319:IH393327 SD393319:SD393327 ABZ393319:ABZ393327 ALV393319:ALV393327 AVR393319:AVR393327 BFN393319:BFN393327 BPJ393319:BPJ393327 BZF393319:BZF393327 CJB393319:CJB393327 CSX393319:CSX393327 DCT393319:DCT393327 DMP393319:DMP393327 DWL393319:DWL393327 EGH393319:EGH393327 EQD393319:EQD393327 EZZ393319:EZZ393327 FJV393319:FJV393327 FTR393319:FTR393327 GDN393319:GDN393327 GNJ393319:GNJ393327 GXF393319:GXF393327 HHB393319:HHB393327 HQX393319:HQX393327 IAT393319:IAT393327 IKP393319:IKP393327 IUL393319:IUL393327 JEH393319:JEH393327 JOD393319:JOD393327 JXZ393319:JXZ393327 KHV393319:KHV393327 KRR393319:KRR393327 LBN393319:LBN393327 LLJ393319:LLJ393327 LVF393319:LVF393327 MFB393319:MFB393327 MOX393319:MOX393327 MYT393319:MYT393327 NIP393319:NIP393327 NSL393319:NSL393327 OCH393319:OCH393327 OMD393319:OMD393327 OVZ393319:OVZ393327 PFV393319:PFV393327 PPR393319:PPR393327 PZN393319:PZN393327 QJJ393319:QJJ393327 QTF393319:QTF393327 RDB393319:RDB393327 RMX393319:RMX393327 RWT393319:RWT393327 SGP393319:SGP393327 SQL393319:SQL393327 TAH393319:TAH393327 TKD393319:TKD393327 TTZ393319:TTZ393327 UDV393319:UDV393327 UNR393319:UNR393327 UXN393319:UXN393327 VHJ393319:VHJ393327 VRF393319:VRF393327 WBB393319:WBB393327 WKX393319:WKX393327 WUT393319:WUT393327 B458855:B458863 IH458855:IH458863 SD458855:SD458863 ABZ458855:ABZ458863 ALV458855:ALV458863 AVR458855:AVR458863 BFN458855:BFN458863 BPJ458855:BPJ458863 BZF458855:BZF458863 CJB458855:CJB458863 CSX458855:CSX458863 DCT458855:DCT458863 DMP458855:DMP458863 DWL458855:DWL458863 EGH458855:EGH458863 EQD458855:EQD458863 EZZ458855:EZZ458863 FJV458855:FJV458863 FTR458855:FTR458863 GDN458855:GDN458863 GNJ458855:GNJ458863 GXF458855:GXF458863 HHB458855:HHB458863 HQX458855:HQX458863 IAT458855:IAT458863 IKP458855:IKP458863 IUL458855:IUL458863 JEH458855:JEH458863 JOD458855:JOD458863 JXZ458855:JXZ458863 KHV458855:KHV458863 KRR458855:KRR458863 LBN458855:LBN458863 LLJ458855:LLJ458863 LVF458855:LVF458863 MFB458855:MFB458863 MOX458855:MOX458863 MYT458855:MYT458863 NIP458855:NIP458863 NSL458855:NSL458863 OCH458855:OCH458863 OMD458855:OMD458863 OVZ458855:OVZ458863 PFV458855:PFV458863 PPR458855:PPR458863 PZN458855:PZN458863 QJJ458855:QJJ458863 QTF458855:QTF458863 RDB458855:RDB458863 RMX458855:RMX458863 RWT458855:RWT458863 SGP458855:SGP458863 SQL458855:SQL458863 TAH458855:TAH458863 TKD458855:TKD458863 TTZ458855:TTZ458863 UDV458855:UDV458863 UNR458855:UNR458863 UXN458855:UXN458863 VHJ458855:VHJ458863 VRF458855:VRF458863 WBB458855:WBB458863 WKX458855:WKX458863 WUT458855:WUT458863 B524391:B524399 IH524391:IH524399 SD524391:SD524399 ABZ524391:ABZ524399 ALV524391:ALV524399 AVR524391:AVR524399 BFN524391:BFN524399 BPJ524391:BPJ524399 BZF524391:BZF524399 CJB524391:CJB524399 CSX524391:CSX524399 DCT524391:DCT524399 DMP524391:DMP524399 DWL524391:DWL524399 EGH524391:EGH524399 EQD524391:EQD524399 EZZ524391:EZZ524399 FJV524391:FJV524399 FTR524391:FTR524399 GDN524391:GDN524399 GNJ524391:GNJ524399 GXF524391:GXF524399 HHB524391:HHB524399 HQX524391:HQX524399 IAT524391:IAT524399 IKP524391:IKP524399 IUL524391:IUL524399 JEH524391:JEH524399 JOD524391:JOD524399 JXZ524391:JXZ524399 KHV524391:KHV524399 KRR524391:KRR524399 LBN524391:LBN524399 LLJ524391:LLJ524399 LVF524391:LVF524399 MFB524391:MFB524399 MOX524391:MOX524399 MYT524391:MYT524399 NIP524391:NIP524399 NSL524391:NSL524399 OCH524391:OCH524399 OMD524391:OMD524399 OVZ524391:OVZ524399 PFV524391:PFV524399 PPR524391:PPR524399 PZN524391:PZN524399 QJJ524391:QJJ524399 QTF524391:QTF524399 RDB524391:RDB524399 RMX524391:RMX524399 RWT524391:RWT524399 SGP524391:SGP524399 SQL524391:SQL524399 TAH524391:TAH524399 TKD524391:TKD524399 TTZ524391:TTZ524399 UDV524391:UDV524399 UNR524391:UNR524399 UXN524391:UXN524399 VHJ524391:VHJ524399 VRF524391:VRF524399 WBB524391:WBB524399 WKX524391:WKX524399 WUT524391:WUT524399 B589927:B589935 IH589927:IH589935 SD589927:SD589935 ABZ589927:ABZ589935 ALV589927:ALV589935 AVR589927:AVR589935 BFN589927:BFN589935 BPJ589927:BPJ589935 BZF589927:BZF589935 CJB589927:CJB589935 CSX589927:CSX589935 DCT589927:DCT589935 DMP589927:DMP589935 DWL589927:DWL589935 EGH589927:EGH589935 EQD589927:EQD589935 EZZ589927:EZZ589935 FJV589927:FJV589935 FTR589927:FTR589935 GDN589927:GDN589935 GNJ589927:GNJ589935 GXF589927:GXF589935 HHB589927:HHB589935 HQX589927:HQX589935 IAT589927:IAT589935 IKP589927:IKP589935 IUL589927:IUL589935 JEH589927:JEH589935 JOD589927:JOD589935 JXZ589927:JXZ589935 KHV589927:KHV589935 KRR589927:KRR589935 LBN589927:LBN589935 LLJ589927:LLJ589935 LVF589927:LVF589935 MFB589927:MFB589935 MOX589927:MOX589935 MYT589927:MYT589935 NIP589927:NIP589935 NSL589927:NSL589935 OCH589927:OCH589935 OMD589927:OMD589935 OVZ589927:OVZ589935 PFV589927:PFV589935 PPR589927:PPR589935 PZN589927:PZN589935 QJJ589927:QJJ589935 QTF589927:QTF589935 RDB589927:RDB589935 RMX589927:RMX589935 RWT589927:RWT589935 SGP589927:SGP589935 SQL589927:SQL589935 TAH589927:TAH589935 TKD589927:TKD589935 TTZ589927:TTZ589935 UDV589927:UDV589935 UNR589927:UNR589935 UXN589927:UXN589935 VHJ589927:VHJ589935 VRF589927:VRF589935 WBB589927:WBB589935 WKX589927:WKX589935 WUT589927:WUT589935 B655463:B655471 IH655463:IH655471 SD655463:SD655471 ABZ655463:ABZ655471 ALV655463:ALV655471 AVR655463:AVR655471 BFN655463:BFN655471 BPJ655463:BPJ655471 BZF655463:BZF655471 CJB655463:CJB655471 CSX655463:CSX655471 DCT655463:DCT655471 DMP655463:DMP655471 DWL655463:DWL655471 EGH655463:EGH655471 EQD655463:EQD655471 EZZ655463:EZZ655471 FJV655463:FJV655471 FTR655463:FTR655471 GDN655463:GDN655471 GNJ655463:GNJ655471 GXF655463:GXF655471 HHB655463:HHB655471 HQX655463:HQX655471 IAT655463:IAT655471 IKP655463:IKP655471 IUL655463:IUL655471 JEH655463:JEH655471 JOD655463:JOD655471 JXZ655463:JXZ655471 KHV655463:KHV655471 KRR655463:KRR655471 LBN655463:LBN655471 LLJ655463:LLJ655471 LVF655463:LVF655471 MFB655463:MFB655471 MOX655463:MOX655471 MYT655463:MYT655471 NIP655463:NIP655471 NSL655463:NSL655471 OCH655463:OCH655471 OMD655463:OMD655471 OVZ655463:OVZ655471 PFV655463:PFV655471 PPR655463:PPR655471 PZN655463:PZN655471 QJJ655463:QJJ655471 QTF655463:QTF655471 RDB655463:RDB655471 RMX655463:RMX655471 RWT655463:RWT655471 SGP655463:SGP655471 SQL655463:SQL655471 TAH655463:TAH655471 TKD655463:TKD655471 TTZ655463:TTZ655471 UDV655463:UDV655471 UNR655463:UNR655471 UXN655463:UXN655471 VHJ655463:VHJ655471 VRF655463:VRF655471 WBB655463:WBB655471 WKX655463:WKX655471 WUT655463:WUT655471 B720999:B721007 IH720999:IH721007 SD720999:SD721007 ABZ720999:ABZ721007 ALV720999:ALV721007 AVR720999:AVR721007 BFN720999:BFN721007 BPJ720999:BPJ721007 BZF720999:BZF721007 CJB720999:CJB721007 CSX720999:CSX721007 DCT720999:DCT721007 DMP720999:DMP721007 DWL720999:DWL721007 EGH720999:EGH721007 EQD720999:EQD721007 EZZ720999:EZZ721007 FJV720999:FJV721007 FTR720999:FTR721007 GDN720999:GDN721007 GNJ720999:GNJ721007 GXF720999:GXF721007 HHB720999:HHB721007 HQX720999:HQX721007 IAT720999:IAT721007 IKP720999:IKP721007 IUL720999:IUL721007 JEH720999:JEH721007 JOD720999:JOD721007 JXZ720999:JXZ721007 KHV720999:KHV721007 KRR720999:KRR721007 LBN720999:LBN721007 LLJ720999:LLJ721007 LVF720999:LVF721007 MFB720999:MFB721007 MOX720999:MOX721007 MYT720999:MYT721007 NIP720999:NIP721007 NSL720999:NSL721007 OCH720999:OCH721007 OMD720999:OMD721007 OVZ720999:OVZ721007 PFV720999:PFV721007 PPR720999:PPR721007 PZN720999:PZN721007 QJJ720999:QJJ721007 QTF720999:QTF721007 RDB720999:RDB721007 RMX720999:RMX721007 RWT720999:RWT721007 SGP720999:SGP721007 SQL720999:SQL721007 TAH720999:TAH721007 TKD720999:TKD721007 TTZ720999:TTZ721007 UDV720999:UDV721007 UNR720999:UNR721007 UXN720999:UXN721007 VHJ720999:VHJ721007 VRF720999:VRF721007 WBB720999:WBB721007 WKX720999:WKX721007 WUT720999:WUT721007 B786535:B786543 IH786535:IH786543 SD786535:SD786543 ABZ786535:ABZ786543 ALV786535:ALV786543 AVR786535:AVR786543 BFN786535:BFN786543 BPJ786535:BPJ786543 BZF786535:BZF786543 CJB786535:CJB786543 CSX786535:CSX786543 DCT786535:DCT786543 DMP786535:DMP786543 DWL786535:DWL786543 EGH786535:EGH786543 EQD786535:EQD786543 EZZ786535:EZZ786543 FJV786535:FJV786543 FTR786535:FTR786543 GDN786535:GDN786543 GNJ786535:GNJ786543 GXF786535:GXF786543 HHB786535:HHB786543 HQX786535:HQX786543 IAT786535:IAT786543 IKP786535:IKP786543 IUL786535:IUL786543 JEH786535:JEH786543 JOD786535:JOD786543 JXZ786535:JXZ786543 KHV786535:KHV786543 KRR786535:KRR786543 LBN786535:LBN786543 LLJ786535:LLJ786543 LVF786535:LVF786543 MFB786535:MFB786543 MOX786535:MOX786543 MYT786535:MYT786543 NIP786535:NIP786543 NSL786535:NSL786543 OCH786535:OCH786543 OMD786535:OMD786543 OVZ786535:OVZ786543 PFV786535:PFV786543 PPR786535:PPR786543 PZN786535:PZN786543 QJJ786535:QJJ786543 QTF786535:QTF786543 RDB786535:RDB786543 RMX786535:RMX786543 RWT786535:RWT786543 SGP786535:SGP786543 SQL786535:SQL786543 TAH786535:TAH786543 TKD786535:TKD786543 TTZ786535:TTZ786543 UDV786535:UDV786543 UNR786535:UNR786543 UXN786535:UXN786543 VHJ786535:VHJ786543 VRF786535:VRF786543 WBB786535:WBB786543 WKX786535:WKX786543 WUT786535:WUT786543 B852071:B852079 IH852071:IH852079 SD852071:SD852079 ABZ852071:ABZ852079 ALV852071:ALV852079 AVR852071:AVR852079 BFN852071:BFN852079 BPJ852071:BPJ852079 BZF852071:BZF852079 CJB852071:CJB852079 CSX852071:CSX852079 DCT852071:DCT852079 DMP852071:DMP852079 DWL852071:DWL852079 EGH852071:EGH852079 EQD852071:EQD852079 EZZ852071:EZZ852079 FJV852071:FJV852079 FTR852071:FTR852079 GDN852071:GDN852079 GNJ852071:GNJ852079 GXF852071:GXF852079 HHB852071:HHB852079 HQX852071:HQX852079 IAT852071:IAT852079 IKP852071:IKP852079 IUL852071:IUL852079 JEH852071:JEH852079 JOD852071:JOD852079 JXZ852071:JXZ852079 KHV852071:KHV852079 KRR852071:KRR852079 LBN852071:LBN852079 LLJ852071:LLJ852079 LVF852071:LVF852079 MFB852071:MFB852079 MOX852071:MOX852079 MYT852071:MYT852079 NIP852071:NIP852079 NSL852071:NSL852079 OCH852071:OCH852079 OMD852071:OMD852079 OVZ852071:OVZ852079 PFV852071:PFV852079 PPR852071:PPR852079 PZN852071:PZN852079 QJJ852071:QJJ852079 QTF852071:QTF852079 RDB852071:RDB852079 RMX852071:RMX852079 RWT852071:RWT852079 SGP852071:SGP852079 SQL852071:SQL852079 TAH852071:TAH852079 TKD852071:TKD852079 TTZ852071:TTZ852079 UDV852071:UDV852079 UNR852071:UNR852079 UXN852071:UXN852079 VHJ852071:VHJ852079 VRF852071:VRF852079 WBB852071:WBB852079 WKX852071:WKX852079 WUT852071:WUT852079 B917607:B917615 IH917607:IH917615 SD917607:SD917615 ABZ917607:ABZ917615 ALV917607:ALV917615 AVR917607:AVR917615 BFN917607:BFN917615 BPJ917607:BPJ917615 BZF917607:BZF917615 CJB917607:CJB917615 CSX917607:CSX917615 DCT917607:DCT917615 DMP917607:DMP917615 DWL917607:DWL917615 EGH917607:EGH917615 EQD917607:EQD917615 EZZ917607:EZZ917615 FJV917607:FJV917615 FTR917607:FTR917615 GDN917607:GDN917615 GNJ917607:GNJ917615 GXF917607:GXF917615 HHB917607:HHB917615 HQX917607:HQX917615 IAT917607:IAT917615 IKP917607:IKP917615 IUL917607:IUL917615 JEH917607:JEH917615 JOD917607:JOD917615 JXZ917607:JXZ917615 KHV917607:KHV917615 KRR917607:KRR917615 LBN917607:LBN917615 LLJ917607:LLJ917615 LVF917607:LVF917615 MFB917607:MFB917615 MOX917607:MOX917615 MYT917607:MYT917615 NIP917607:NIP917615 NSL917607:NSL917615 OCH917607:OCH917615 OMD917607:OMD917615 OVZ917607:OVZ917615 PFV917607:PFV917615 PPR917607:PPR917615 PZN917607:PZN917615 QJJ917607:QJJ917615 QTF917607:QTF917615 RDB917607:RDB917615 RMX917607:RMX917615 RWT917607:RWT917615 SGP917607:SGP917615 SQL917607:SQL917615 TAH917607:TAH917615 TKD917607:TKD917615 TTZ917607:TTZ917615 UDV917607:UDV917615 UNR917607:UNR917615 UXN917607:UXN917615 VHJ917607:VHJ917615 VRF917607:VRF917615 WBB917607:WBB917615 WKX917607:WKX917615 WUT917607:WUT917615 B983143:B983151 IH983143:IH983151 SD983143:SD983151 ABZ983143:ABZ983151 ALV983143:ALV983151 AVR983143:AVR983151 BFN983143:BFN983151 BPJ983143:BPJ983151 BZF983143:BZF983151 CJB983143:CJB983151 CSX983143:CSX983151 DCT983143:DCT983151 DMP983143:DMP983151 DWL983143:DWL983151 EGH983143:EGH983151 EQD983143:EQD983151 EZZ983143:EZZ983151 FJV983143:FJV983151 FTR983143:FTR983151 GDN983143:GDN983151 GNJ983143:GNJ983151 GXF983143:GXF983151 HHB983143:HHB983151 HQX983143:HQX983151 IAT983143:IAT983151 IKP983143:IKP983151 IUL983143:IUL983151 JEH983143:JEH983151 JOD983143:JOD983151 JXZ983143:JXZ983151 KHV983143:KHV983151 KRR983143:KRR983151 LBN983143:LBN983151 LLJ983143:LLJ983151 LVF983143:LVF983151 MFB983143:MFB983151 MOX983143:MOX983151 MYT983143:MYT983151 NIP983143:NIP983151 NSL983143:NSL983151 OCH983143:OCH983151 OMD983143:OMD983151 OVZ983143:OVZ983151 PFV983143:PFV983151 PPR983143:PPR983151 PZN983143:PZN983151 QJJ983143:QJJ983151 QTF983143:QTF983151 RDB983143:RDB983151 RMX983143:RMX983151 RWT983143:RWT983151 SGP983143:SGP983151 SQL983143:SQL983151 TAH983143:TAH983151 TKD983143:TKD983151 TTZ983143:TTZ983151 UDV983143:UDV983151 UNR983143:UNR983151 UXN983143:UXN983151 VHJ983143:VHJ983151 VRF983143:VRF983151 WBB983143:WBB983151 WKX983143:WKX983151 B54:B78" xr:uid="{0D9E2650-55D0-4D69-ABCF-746AE48C496C}"/>
    <dataValidation allowBlank="1" showInputMessage="1" showErrorMessage="1" prompt="definir la unidad de medida con la cual se asigna el valor unitario." sqref="WUV983143:WUV983151 IJ11:IJ51 SF11:SF51 ACB11:ACB51 ALX11:ALX51 AVT11:AVT51 BFP11:BFP51 BPL11:BPL51 BZH11:BZH51 CJD11:CJD51 CSZ11:CSZ51 DCV11:DCV51 DMR11:DMR51 DWN11:DWN51 EGJ11:EGJ51 EQF11:EQF51 FAB11:FAB51 FJX11:FJX51 FTT11:FTT51 GDP11:GDP51 GNL11:GNL51 GXH11:GXH51 HHD11:HHD51 HQZ11:HQZ51 IAV11:IAV51 IKR11:IKR51 IUN11:IUN51 JEJ11:JEJ51 JOF11:JOF51 JYB11:JYB51 KHX11:KHX51 KRT11:KRT51 LBP11:LBP51 LLL11:LLL51 LVH11:LVH51 MFD11:MFD51 MOZ11:MOZ51 MYV11:MYV51 NIR11:NIR51 NSN11:NSN51 OCJ11:OCJ51 OMF11:OMF51 OWB11:OWB51 PFX11:PFX51 PPT11:PPT51 PZP11:PZP51 QJL11:QJL51 QTH11:QTH51 RDD11:RDD51 RMZ11:RMZ51 RWV11:RWV51 SGR11:SGR51 SQN11:SQN51 TAJ11:TAJ51 TKF11:TKF51 TUB11:TUB51 UDX11:UDX51 UNT11:UNT51 UXP11:UXP51 VHL11:VHL51 VRH11:VRH51 WBD11:WBD51 WKZ11:WKZ51 WUV11:WUV51 D65628:D65636 IJ65628:IJ65636 SF65628:SF65636 ACB65628:ACB65636 ALX65628:ALX65636 AVT65628:AVT65636 BFP65628:BFP65636 BPL65628:BPL65636 BZH65628:BZH65636 CJD65628:CJD65636 CSZ65628:CSZ65636 DCV65628:DCV65636 DMR65628:DMR65636 DWN65628:DWN65636 EGJ65628:EGJ65636 EQF65628:EQF65636 FAB65628:FAB65636 FJX65628:FJX65636 FTT65628:FTT65636 GDP65628:GDP65636 GNL65628:GNL65636 GXH65628:GXH65636 HHD65628:HHD65636 HQZ65628:HQZ65636 IAV65628:IAV65636 IKR65628:IKR65636 IUN65628:IUN65636 JEJ65628:JEJ65636 JOF65628:JOF65636 JYB65628:JYB65636 KHX65628:KHX65636 KRT65628:KRT65636 LBP65628:LBP65636 LLL65628:LLL65636 LVH65628:LVH65636 MFD65628:MFD65636 MOZ65628:MOZ65636 MYV65628:MYV65636 NIR65628:NIR65636 NSN65628:NSN65636 OCJ65628:OCJ65636 OMF65628:OMF65636 OWB65628:OWB65636 PFX65628:PFX65636 PPT65628:PPT65636 PZP65628:PZP65636 QJL65628:QJL65636 QTH65628:QTH65636 RDD65628:RDD65636 RMZ65628:RMZ65636 RWV65628:RWV65636 SGR65628:SGR65636 SQN65628:SQN65636 TAJ65628:TAJ65636 TKF65628:TKF65636 TUB65628:TUB65636 UDX65628:UDX65636 UNT65628:UNT65636 UXP65628:UXP65636 VHL65628:VHL65636 VRH65628:VRH65636 WBD65628:WBD65636 WKZ65628:WKZ65636 WUV65628:WUV65636 D131164:D131172 IJ131164:IJ131172 SF131164:SF131172 ACB131164:ACB131172 ALX131164:ALX131172 AVT131164:AVT131172 BFP131164:BFP131172 BPL131164:BPL131172 BZH131164:BZH131172 CJD131164:CJD131172 CSZ131164:CSZ131172 DCV131164:DCV131172 DMR131164:DMR131172 DWN131164:DWN131172 EGJ131164:EGJ131172 EQF131164:EQF131172 FAB131164:FAB131172 FJX131164:FJX131172 FTT131164:FTT131172 GDP131164:GDP131172 GNL131164:GNL131172 GXH131164:GXH131172 HHD131164:HHD131172 HQZ131164:HQZ131172 IAV131164:IAV131172 IKR131164:IKR131172 IUN131164:IUN131172 JEJ131164:JEJ131172 JOF131164:JOF131172 JYB131164:JYB131172 KHX131164:KHX131172 KRT131164:KRT131172 LBP131164:LBP131172 LLL131164:LLL131172 LVH131164:LVH131172 MFD131164:MFD131172 MOZ131164:MOZ131172 MYV131164:MYV131172 NIR131164:NIR131172 NSN131164:NSN131172 OCJ131164:OCJ131172 OMF131164:OMF131172 OWB131164:OWB131172 PFX131164:PFX131172 PPT131164:PPT131172 PZP131164:PZP131172 QJL131164:QJL131172 QTH131164:QTH131172 RDD131164:RDD131172 RMZ131164:RMZ131172 RWV131164:RWV131172 SGR131164:SGR131172 SQN131164:SQN131172 TAJ131164:TAJ131172 TKF131164:TKF131172 TUB131164:TUB131172 UDX131164:UDX131172 UNT131164:UNT131172 UXP131164:UXP131172 VHL131164:VHL131172 VRH131164:VRH131172 WBD131164:WBD131172 WKZ131164:WKZ131172 WUV131164:WUV131172 D196700:D196708 IJ196700:IJ196708 SF196700:SF196708 ACB196700:ACB196708 ALX196700:ALX196708 AVT196700:AVT196708 BFP196700:BFP196708 BPL196700:BPL196708 BZH196700:BZH196708 CJD196700:CJD196708 CSZ196700:CSZ196708 DCV196700:DCV196708 DMR196700:DMR196708 DWN196700:DWN196708 EGJ196700:EGJ196708 EQF196700:EQF196708 FAB196700:FAB196708 FJX196700:FJX196708 FTT196700:FTT196708 GDP196700:GDP196708 GNL196700:GNL196708 GXH196700:GXH196708 HHD196700:HHD196708 HQZ196700:HQZ196708 IAV196700:IAV196708 IKR196700:IKR196708 IUN196700:IUN196708 JEJ196700:JEJ196708 JOF196700:JOF196708 JYB196700:JYB196708 KHX196700:KHX196708 KRT196700:KRT196708 LBP196700:LBP196708 LLL196700:LLL196708 LVH196700:LVH196708 MFD196700:MFD196708 MOZ196700:MOZ196708 MYV196700:MYV196708 NIR196700:NIR196708 NSN196700:NSN196708 OCJ196700:OCJ196708 OMF196700:OMF196708 OWB196700:OWB196708 PFX196700:PFX196708 PPT196700:PPT196708 PZP196700:PZP196708 QJL196700:QJL196708 QTH196700:QTH196708 RDD196700:RDD196708 RMZ196700:RMZ196708 RWV196700:RWV196708 SGR196700:SGR196708 SQN196700:SQN196708 TAJ196700:TAJ196708 TKF196700:TKF196708 TUB196700:TUB196708 UDX196700:UDX196708 UNT196700:UNT196708 UXP196700:UXP196708 VHL196700:VHL196708 VRH196700:VRH196708 WBD196700:WBD196708 WKZ196700:WKZ196708 WUV196700:WUV196708 D262236:D262244 IJ262236:IJ262244 SF262236:SF262244 ACB262236:ACB262244 ALX262236:ALX262244 AVT262236:AVT262244 BFP262236:BFP262244 BPL262236:BPL262244 BZH262236:BZH262244 CJD262236:CJD262244 CSZ262236:CSZ262244 DCV262236:DCV262244 DMR262236:DMR262244 DWN262236:DWN262244 EGJ262236:EGJ262244 EQF262236:EQF262244 FAB262236:FAB262244 FJX262236:FJX262244 FTT262236:FTT262244 GDP262236:GDP262244 GNL262236:GNL262244 GXH262236:GXH262244 HHD262236:HHD262244 HQZ262236:HQZ262244 IAV262236:IAV262244 IKR262236:IKR262244 IUN262236:IUN262244 JEJ262236:JEJ262244 JOF262236:JOF262244 JYB262236:JYB262244 KHX262236:KHX262244 KRT262236:KRT262244 LBP262236:LBP262244 LLL262236:LLL262244 LVH262236:LVH262244 MFD262236:MFD262244 MOZ262236:MOZ262244 MYV262236:MYV262244 NIR262236:NIR262244 NSN262236:NSN262244 OCJ262236:OCJ262244 OMF262236:OMF262244 OWB262236:OWB262244 PFX262236:PFX262244 PPT262236:PPT262244 PZP262236:PZP262244 QJL262236:QJL262244 QTH262236:QTH262244 RDD262236:RDD262244 RMZ262236:RMZ262244 RWV262236:RWV262244 SGR262236:SGR262244 SQN262236:SQN262244 TAJ262236:TAJ262244 TKF262236:TKF262244 TUB262236:TUB262244 UDX262236:UDX262244 UNT262236:UNT262244 UXP262236:UXP262244 VHL262236:VHL262244 VRH262236:VRH262244 WBD262236:WBD262244 WKZ262236:WKZ262244 WUV262236:WUV262244 D327772:D327780 IJ327772:IJ327780 SF327772:SF327780 ACB327772:ACB327780 ALX327772:ALX327780 AVT327772:AVT327780 BFP327772:BFP327780 BPL327772:BPL327780 BZH327772:BZH327780 CJD327772:CJD327780 CSZ327772:CSZ327780 DCV327772:DCV327780 DMR327772:DMR327780 DWN327772:DWN327780 EGJ327772:EGJ327780 EQF327772:EQF327780 FAB327772:FAB327780 FJX327772:FJX327780 FTT327772:FTT327780 GDP327772:GDP327780 GNL327772:GNL327780 GXH327772:GXH327780 HHD327772:HHD327780 HQZ327772:HQZ327780 IAV327772:IAV327780 IKR327772:IKR327780 IUN327772:IUN327780 JEJ327772:JEJ327780 JOF327772:JOF327780 JYB327772:JYB327780 KHX327772:KHX327780 KRT327772:KRT327780 LBP327772:LBP327780 LLL327772:LLL327780 LVH327772:LVH327780 MFD327772:MFD327780 MOZ327772:MOZ327780 MYV327772:MYV327780 NIR327772:NIR327780 NSN327772:NSN327780 OCJ327772:OCJ327780 OMF327772:OMF327780 OWB327772:OWB327780 PFX327772:PFX327780 PPT327772:PPT327780 PZP327772:PZP327780 QJL327772:QJL327780 QTH327772:QTH327780 RDD327772:RDD327780 RMZ327772:RMZ327780 RWV327772:RWV327780 SGR327772:SGR327780 SQN327772:SQN327780 TAJ327772:TAJ327780 TKF327772:TKF327780 TUB327772:TUB327780 UDX327772:UDX327780 UNT327772:UNT327780 UXP327772:UXP327780 VHL327772:VHL327780 VRH327772:VRH327780 WBD327772:WBD327780 WKZ327772:WKZ327780 WUV327772:WUV327780 D393308:D393316 IJ393308:IJ393316 SF393308:SF393316 ACB393308:ACB393316 ALX393308:ALX393316 AVT393308:AVT393316 BFP393308:BFP393316 BPL393308:BPL393316 BZH393308:BZH393316 CJD393308:CJD393316 CSZ393308:CSZ393316 DCV393308:DCV393316 DMR393308:DMR393316 DWN393308:DWN393316 EGJ393308:EGJ393316 EQF393308:EQF393316 FAB393308:FAB393316 FJX393308:FJX393316 FTT393308:FTT393316 GDP393308:GDP393316 GNL393308:GNL393316 GXH393308:GXH393316 HHD393308:HHD393316 HQZ393308:HQZ393316 IAV393308:IAV393316 IKR393308:IKR393316 IUN393308:IUN393316 JEJ393308:JEJ393316 JOF393308:JOF393316 JYB393308:JYB393316 KHX393308:KHX393316 KRT393308:KRT393316 LBP393308:LBP393316 LLL393308:LLL393316 LVH393308:LVH393316 MFD393308:MFD393316 MOZ393308:MOZ393316 MYV393308:MYV393316 NIR393308:NIR393316 NSN393308:NSN393316 OCJ393308:OCJ393316 OMF393308:OMF393316 OWB393308:OWB393316 PFX393308:PFX393316 PPT393308:PPT393316 PZP393308:PZP393316 QJL393308:QJL393316 QTH393308:QTH393316 RDD393308:RDD393316 RMZ393308:RMZ393316 RWV393308:RWV393316 SGR393308:SGR393316 SQN393308:SQN393316 TAJ393308:TAJ393316 TKF393308:TKF393316 TUB393308:TUB393316 UDX393308:UDX393316 UNT393308:UNT393316 UXP393308:UXP393316 VHL393308:VHL393316 VRH393308:VRH393316 WBD393308:WBD393316 WKZ393308:WKZ393316 WUV393308:WUV393316 D458844:D458852 IJ458844:IJ458852 SF458844:SF458852 ACB458844:ACB458852 ALX458844:ALX458852 AVT458844:AVT458852 BFP458844:BFP458852 BPL458844:BPL458852 BZH458844:BZH458852 CJD458844:CJD458852 CSZ458844:CSZ458852 DCV458844:DCV458852 DMR458844:DMR458852 DWN458844:DWN458852 EGJ458844:EGJ458852 EQF458844:EQF458852 FAB458844:FAB458852 FJX458844:FJX458852 FTT458844:FTT458852 GDP458844:GDP458852 GNL458844:GNL458852 GXH458844:GXH458852 HHD458844:HHD458852 HQZ458844:HQZ458852 IAV458844:IAV458852 IKR458844:IKR458852 IUN458844:IUN458852 JEJ458844:JEJ458852 JOF458844:JOF458852 JYB458844:JYB458852 KHX458844:KHX458852 KRT458844:KRT458852 LBP458844:LBP458852 LLL458844:LLL458852 LVH458844:LVH458852 MFD458844:MFD458852 MOZ458844:MOZ458852 MYV458844:MYV458852 NIR458844:NIR458852 NSN458844:NSN458852 OCJ458844:OCJ458852 OMF458844:OMF458852 OWB458844:OWB458852 PFX458844:PFX458852 PPT458844:PPT458852 PZP458844:PZP458852 QJL458844:QJL458852 QTH458844:QTH458852 RDD458844:RDD458852 RMZ458844:RMZ458852 RWV458844:RWV458852 SGR458844:SGR458852 SQN458844:SQN458852 TAJ458844:TAJ458852 TKF458844:TKF458852 TUB458844:TUB458852 UDX458844:UDX458852 UNT458844:UNT458852 UXP458844:UXP458852 VHL458844:VHL458852 VRH458844:VRH458852 WBD458844:WBD458852 WKZ458844:WKZ458852 WUV458844:WUV458852 D524380:D524388 IJ524380:IJ524388 SF524380:SF524388 ACB524380:ACB524388 ALX524380:ALX524388 AVT524380:AVT524388 BFP524380:BFP524388 BPL524380:BPL524388 BZH524380:BZH524388 CJD524380:CJD524388 CSZ524380:CSZ524388 DCV524380:DCV524388 DMR524380:DMR524388 DWN524380:DWN524388 EGJ524380:EGJ524388 EQF524380:EQF524388 FAB524380:FAB524388 FJX524380:FJX524388 FTT524380:FTT524388 GDP524380:GDP524388 GNL524380:GNL524388 GXH524380:GXH524388 HHD524380:HHD524388 HQZ524380:HQZ524388 IAV524380:IAV524388 IKR524380:IKR524388 IUN524380:IUN524388 JEJ524380:JEJ524388 JOF524380:JOF524388 JYB524380:JYB524388 KHX524380:KHX524388 KRT524380:KRT524388 LBP524380:LBP524388 LLL524380:LLL524388 LVH524380:LVH524388 MFD524380:MFD524388 MOZ524380:MOZ524388 MYV524380:MYV524388 NIR524380:NIR524388 NSN524380:NSN524388 OCJ524380:OCJ524388 OMF524380:OMF524388 OWB524380:OWB524388 PFX524380:PFX524388 PPT524380:PPT524388 PZP524380:PZP524388 QJL524380:QJL524388 QTH524380:QTH524388 RDD524380:RDD524388 RMZ524380:RMZ524388 RWV524380:RWV524388 SGR524380:SGR524388 SQN524380:SQN524388 TAJ524380:TAJ524388 TKF524380:TKF524388 TUB524380:TUB524388 UDX524380:UDX524388 UNT524380:UNT524388 UXP524380:UXP524388 VHL524380:VHL524388 VRH524380:VRH524388 WBD524380:WBD524388 WKZ524380:WKZ524388 WUV524380:WUV524388 D589916:D589924 IJ589916:IJ589924 SF589916:SF589924 ACB589916:ACB589924 ALX589916:ALX589924 AVT589916:AVT589924 BFP589916:BFP589924 BPL589916:BPL589924 BZH589916:BZH589924 CJD589916:CJD589924 CSZ589916:CSZ589924 DCV589916:DCV589924 DMR589916:DMR589924 DWN589916:DWN589924 EGJ589916:EGJ589924 EQF589916:EQF589924 FAB589916:FAB589924 FJX589916:FJX589924 FTT589916:FTT589924 GDP589916:GDP589924 GNL589916:GNL589924 GXH589916:GXH589924 HHD589916:HHD589924 HQZ589916:HQZ589924 IAV589916:IAV589924 IKR589916:IKR589924 IUN589916:IUN589924 JEJ589916:JEJ589924 JOF589916:JOF589924 JYB589916:JYB589924 KHX589916:KHX589924 KRT589916:KRT589924 LBP589916:LBP589924 LLL589916:LLL589924 LVH589916:LVH589924 MFD589916:MFD589924 MOZ589916:MOZ589924 MYV589916:MYV589924 NIR589916:NIR589924 NSN589916:NSN589924 OCJ589916:OCJ589924 OMF589916:OMF589924 OWB589916:OWB589924 PFX589916:PFX589924 PPT589916:PPT589924 PZP589916:PZP589924 QJL589916:QJL589924 QTH589916:QTH589924 RDD589916:RDD589924 RMZ589916:RMZ589924 RWV589916:RWV589924 SGR589916:SGR589924 SQN589916:SQN589924 TAJ589916:TAJ589924 TKF589916:TKF589924 TUB589916:TUB589924 UDX589916:UDX589924 UNT589916:UNT589924 UXP589916:UXP589924 VHL589916:VHL589924 VRH589916:VRH589924 WBD589916:WBD589924 WKZ589916:WKZ589924 WUV589916:WUV589924 D655452:D655460 IJ655452:IJ655460 SF655452:SF655460 ACB655452:ACB655460 ALX655452:ALX655460 AVT655452:AVT655460 BFP655452:BFP655460 BPL655452:BPL655460 BZH655452:BZH655460 CJD655452:CJD655460 CSZ655452:CSZ655460 DCV655452:DCV655460 DMR655452:DMR655460 DWN655452:DWN655460 EGJ655452:EGJ655460 EQF655452:EQF655460 FAB655452:FAB655460 FJX655452:FJX655460 FTT655452:FTT655460 GDP655452:GDP655460 GNL655452:GNL655460 GXH655452:GXH655460 HHD655452:HHD655460 HQZ655452:HQZ655460 IAV655452:IAV655460 IKR655452:IKR655460 IUN655452:IUN655460 JEJ655452:JEJ655460 JOF655452:JOF655460 JYB655452:JYB655460 KHX655452:KHX655460 KRT655452:KRT655460 LBP655452:LBP655460 LLL655452:LLL655460 LVH655452:LVH655460 MFD655452:MFD655460 MOZ655452:MOZ655460 MYV655452:MYV655460 NIR655452:NIR655460 NSN655452:NSN655460 OCJ655452:OCJ655460 OMF655452:OMF655460 OWB655452:OWB655460 PFX655452:PFX655460 PPT655452:PPT655460 PZP655452:PZP655460 QJL655452:QJL655460 QTH655452:QTH655460 RDD655452:RDD655460 RMZ655452:RMZ655460 RWV655452:RWV655460 SGR655452:SGR655460 SQN655452:SQN655460 TAJ655452:TAJ655460 TKF655452:TKF655460 TUB655452:TUB655460 UDX655452:UDX655460 UNT655452:UNT655460 UXP655452:UXP655460 VHL655452:VHL655460 VRH655452:VRH655460 WBD655452:WBD655460 WKZ655452:WKZ655460 WUV655452:WUV655460 D720988:D720996 IJ720988:IJ720996 SF720988:SF720996 ACB720988:ACB720996 ALX720988:ALX720996 AVT720988:AVT720996 BFP720988:BFP720996 BPL720988:BPL720996 BZH720988:BZH720996 CJD720988:CJD720996 CSZ720988:CSZ720996 DCV720988:DCV720996 DMR720988:DMR720996 DWN720988:DWN720996 EGJ720988:EGJ720996 EQF720988:EQF720996 FAB720988:FAB720996 FJX720988:FJX720996 FTT720988:FTT720996 GDP720988:GDP720996 GNL720988:GNL720996 GXH720988:GXH720996 HHD720988:HHD720996 HQZ720988:HQZ720996 IAV720988:IAV720996 IKR720988:IKR720996 IUN720988:IUN720996 JEJ720988:JEJ720996 JOF720988:JOF720996 JYB720988:JYB720996 KHX720988:KHX720996 KRT720988:KRT720996 LBP720988:LBP720996 LLL720988:LLL720996 LVH720988:LVH720996 MFD720988:MFD720996 MOZ720988:MOZ720996 MYV720988:MYV720996 NIR720988:NIR720996 NSN720988:NSN720996 OCJ720988:OCJ720996 OMF720988:OMF720996 OWB720988:OWB720996 PFX720988:PFX720996 PPT720988:PPT720996 PZP720988:PZP720996 QJL720988:QJL720996 QTH720988:QTH720996 RDD720988:RDD720996 RMZ720988:RMZ720996 RWV720988:RWV720996 SGR720988:SGR720996 SQN720988:SQN720996 TAJ720988:TAJ720996 TKF720988:TKF720996 TUB720988:TUB720996 UDX720988:UDX720996 UNT720988:UNT720996 UXP720988:UXP720996 VHL720988:VHL720996 VRH720988:VRH720996 WBD720988:WBD720996 WKZ720988:WKZ720996 WUV720988:WUV720996 D786524:D786532 IJ786524:IJ786532 SF786524:SF786532 ACB786524:ACB786532 ALX786524:ALX786532 AVT786524:AVT786532 BFP786524:BFP786532 BPL786524:BPL786532 BZH786524:BZH786532 CJD786524:CJD786532 CSZ786524:CSZ786532 DCV786524:DCV786532 DMR786524:DMR786532 DWN786524:DWN786532 EGJ786524:EGJ786532 EQF786524:EQF786532 FAB786524:FAB786532 FJX786524:FJX786532 FTT786524:FTT786532 GDP786524:GDP786532 GNL786524:GNL786532 GXH786524:GXH786532 HHD786524:HHD786532 HQZ786524:HQZ786532 IAV786524:IAV786532 IKR786524:IKR786532 IUN786524:IUN786532 JEJ786524:JEJ786532 JOF786524:JOF786532 JYB786524:JYB786532 KHX786524:KHX786532 KRT786524:KRT786532 LBP786524:LBP786532 LLL786524:LLL786532 LVH786524:LVH786532 MFD786524:MFD786532 MOZ786524:MOZ786532 MYV786524:MYV786532 NIR786524:NIR786532 NSN786524:NSN786532 OCJ786524:OCJ786532 OMF786524:OMF786532 OWB786524:OWB786532 PFX786524:PFX786532 PPT786524:PPT786532 PZP786524:PZP786532 QJL786524:QJL786532 QTH786524:QTH786532 RDD786524:RDD786532 RMZ786524:RMZ786532 RWV786524:RWV786532 SGR786524:SGR786532 SQN786524:SQN786532 TAJ786524:TAJ786532 TKF786524:TKF786532 TUB786524:TUB786532 UDX786524:UDX786532 UNT786524:UNT786532 UXP786524:UXP786532 VHL786524:VHL786532 VRH786524:VRH786532 WBD786524:WBD786532 WKZ786524:WKZ786532 WUV786524:WUV786532 D852060:D852068 IJ852060:IJ852068 SF852060:SF852068 ACB852060:ACB852068 ALX852060:ALX852068 AVT852060:AVT852068 BFP852060:BFP852068 BPL852060:BPL852068 BZH852060:BZH852068 CJD852060:CJD852068 CSZ852060:CSZ852068 DCV852060:DCV852068 DMR852060:DMR852068 DWN852060:DWN852068 EGJ852060:EGJ852068 EQF852060:EQF852068 FAB852060:FAB852068 FJX852060:FJX852068 FTT852060:FTT852068 GDP852060:GDP852068 GNL852060:GNL852068 GXH852060:GXH852068 HHD852060:HHD852068 HQZ852060:HQZ852068 IAV852060:IAV852068 IKR852060:IKR852068 IUN852060:IUN852068 JEJ852060:JEJ852068 JOF852060:JOF852068 JYB852060:JYB852068 KHX852060:KHX852068 KRT852060:KRT852068 LBP852060:LBP852068 LLL852060:LLL852068 LVH852060:LVH852068 MFD852060:MFD852068 MOZ852060:MOZ852068 MYV852060:MYV852068 NIR852060:NIR852068 NSN852060:NSN852068 OCJ852060:OCJ852068 OMF852060:OMF852068 OWB852060:OWB852068 PFX852060:PFX852068 PPT852060:PPT852068 PZP852060:PZP852068 QJL852060:QJL852068 QTH852060:QTH852068 RDD852060:RDD852068 RMZ852060:RMZ852068 RWV852060:RWV852068 SGR852060:SGR852068 SQN852060:SQN852068 TAJ852060:TAJ852068 TKF852060:TKF852068 TUB852060:TUB852068 UDX852060:UDX852068 UNT852060:UNT852068 UXP852060:UXP852068 VHL852060:VHL852068 VRH852060:VRH852068 WBD852060:WBD852068 WKZ852060:WKZ852068 WUV852060:WUV852068 D917596:D917604 IJ917596:IJ917604 SF917596:SF917604 ACB917596:ACB917604 ALX917596:ALX917604 AVT917596:AVT917604 BFP917596:BFP917604 BPL917596:BPL917604 BZH917596:BZH917604 CJD917596:CJD917604 CSZ917596:CSZ917604 DCV917596:DCV917604 DMR917596:DMR917604 DWN917596:DWN917604 EGJ917596:EGJ917604 EQF917596:EQF917604 FAB917596:FAB917604 FJX917596:FJX917604 FTT917596:FTT917604 GDP917596:GDP917604 GNL917596:GNL917604 GXH917596:GXH917604 HHD917596:HHD917604 HQZ917596:HQZ917604 IAV917596:IAV917604 IKR917596:IKR917604 IUN917596:IUN917604 JEJ917596:JEJ917604 JOF917596:JOF917604 JYB917596:JYB917604 KHX917596:KHX917604 KRT917596:KRT917604 LBP917596:LBP917604 LLL917596:LLL917604 LVH917596:LVH917604 MFD917596:MFD917604 MOZ917596:MOZ917604 MYV917596:MYV917604 NIR917596:NIR917604 NSN917596:NSN917604 OCJ917596:OCJ917604 OMF917596:OMF917604 OWB917596:OWB917604 PFX917596:PFX917604 PPT917596:PPT917604 PZP917596:PZP917604 QJL917596:QJL917604 QTH917596:QTH917604 RDD917596:RDD917604 RMZ917596:RMZ917604 RWV917596:RWV917604 SGR917596:SGR917604 SQN917596:SQN917604 TAJ917596:TAJ917604 TKF917596:TKF917604 TUB917596:TUB917604 UDX917596:UDX917604 UNT917596:UNT917604 UXP917596:UXP917604 VHL917596:VHL917604 VRH917596:VRH917604 WBD917596:WBD917604 WKZ917596:WKZ917604 WUV917596:WUV917604 D983132:D983140 IJ983132:IJ983140 SF983132:SF983140 ACB983132:ACB983140 ALX983132:ALX983140 AVT983132:AVT983140 BFP983132:BFP983140 BPL983132:BPL983140 BZH983132:BZH983140 CJD983132:CJD983140 CSZ983132:CSZ983140 DCV983132:DCV983140 DMR983132:DMR983140 DWN983132:DWN983140 EGJ983132:EGJ983140 EQF983132:EQF983140 FAB983132:FAB983140 FJX983132:FJX983140 FTT983132:FTT983140 GDP983132:GDP983140 GNL983132:GNL983140 GXH983132:GXH983140 HHD983132:HHD983140 HQZ983132:HQZ983140 IAV983132:IAV983140 IKR983132:IKR983140 IUN983132:IUN983140 JEJ983132:JEJ983140 JOF983132:JOF983140 JYB983132:JYB983140 KHX983132:KHX983140 KRT983132:KRT983140 LBP983132:LBP983140 LLL983132:LLL983140 LVH983132:LVH983140 MFD983132:MFD983140 MOZ983132:MOZ983140 MYV983132:MYV983140 NIR983132:NIR983140 NSN983132:NSN983140 OCJ983132:OCJ983140 OMF983132:OMF983140 OWB983132:OWB983140 PFX983132:PFX983140 PPT983132:PPT983140 PZP983132:PZP983140 QJL983132:QJL983140 QTH983132:QTH983140 RDD983132:RDD983140 RMZ983132:RMZ983140 RWV983132:RWV983140 SGR983132:SGR983140 SQN983132:SQN983140 TAJ983132:TAJ983140 TKF983132:TKF983140 TUB983132:TUB983140 UDX983132:UDX983140 UNT983132:UNT983140 UXP983132:UXP983140 VHL983132:VHL983140 VRH983132:VRH983140 WBD983132:WBD983140 WKZ983132:WKZ983140 WUV983132:WUV983140 D11:D51 IJ54:IJ78 SF54:SF78 ACB54:ACB78 ALX54:ALX78 AVT54:AVT78 BFP54:BFP78 BPL54:BPL78 BZH54:BZH78 CJD54:CJD78 CSZ54:CSZ78 DCV54:DCV78 DMR54:DMR78 DWN54:DWN78 EGJ54:EGJ78 EQF54:EQF78 FAB54:FAB78 FJX54:FJX78 FTT54:FTT78 GDP54:GDP78 GNL54:GNL78 GXH54:GXH78 HHD54:HHD78 HQZ54:HQZ78 IAV54:IAV78 IKR54:IKR78 IUN54:IUN78 JEJ54:JEJ78 JOF54:JOF78 JYB54:JYB78 KHX54:KHX78 KRT54:KRT78 LBP54:LBP78 LLL54:LLL78 LVH54:LVH78 MFD54:MFD78 MOZ54:MOZ78 MYV54:MYV78 NIR54:NIR78 NSN54:NSN78 OCJ54:OCJ78 OMF54:OMF78 OWB54:OWB78 PFX54:PFX78 PPT54:PPT78 PZP54:PZP78 QJL54:QJL78 QTH54:QTH78 RDD54:RDD78 RMZ54:RMZ78 RWV54:RWV78 SGR54:SGR78 SQN54:SQN78 TAJ54:TAJ78 TKF54:TKF78 TUB54:TUB78 UDX54:UDX78 UNT54:UNT78 UXP54:UXP78 VHL54:VHL78 VRH54:VRH78 WBD54:WBD78 WKZ54:WKZ78 WUV54:WUV78 D65639:D65647 IJ65639:IJ65647 SF65639:SF65647 ACB65639:ACB65647 ALX65639:ALX65647 AVT65639:AVT65647 BFP65639:BFP65647 BPL65639:BPL65647 BZH65639:BZH65647 CJD65639:CJD65647 CSZ65639:CSZ65647 DCV65639:DCV65647 DMR65639:DMR65647 DWN65639:DWN65647 EGJ65639:EGJ65647 EQF65639:EQF65647 FAB65639:FAB65647 FJX65639:FJX65647 FTT65639:FTT65647 GDP65639:GDP65647 GNL65639:GNL65647 GXH65639:GXH65647 HHD65639:HHD65647 HQZ65639:HQZ65647 IAV65639:IAV65647 IKR65639:IKR65647 IUN65639:IUN65647 JEJ65639:JEJ65647 JOF65639:JOF65647 JYB65639:JYB65647 KHX65639:KHX65647 KRT65639:KRT65647 LBP65639:LBP65647 LLL65639:LLL65647 LVH65639:LVH65647 MFD65639:MFD65647 MOZ65639:MOZ65647 MYV65639:MYV65647 NIR65639:NIR65647 NSN65639:NSN65647 OCJ65639:OCJ65647 OMF65639:OMF65647 OWB65639:OWB65647 PFX65639:PFX65647 PPT65639:PPT65647 PZP65639:PZP65647 QJL65639:QJL65647 QTH65639:QTH65647 RDD65639:RDD65647 RMZ65639:RMZ65647 RWV65639:RWV65647 SGR65639:SGR65647 SQN65639:SQN65647 TAJ65639:TAJ65647 TKF65639:TKF65647 TUB65639:TUB65647 UDX65639:UDX65647 UNT65639:UNT65647 UXP65639:UXP65647 VHL65639:VHL65647 VRH65639:VRH65647 WBD65639:WBD65647 WKZ65639:WKZ65647 WUV65639:WUV65647 D131175:D131183 IJ131175:IJ131183 SF131175:SF131183 ACB131175:ACB131183 ALX131175:ALX131183 AVT131175:AVT131183 BFP131175:BFP131183 BPL131175:BPL131183 BZH131175:BZH131183 CJD131175:CJD131183 CSZ131175:CSZ131183 DCV131175:DCV131183 DMR131175:DMR131183 DWN131175:DWN131183 EGJ131175:EGJ131183 EQF131175:EQF131183 FAB131175:FAB131183 FJX131175:FJX131183 FTT131175:FTT131183 GDP131175:GDP131183 GNL131175:GNL131183 GXH131175:GXH131183 HHD131175:HHD131183 HQZ131175:HQZ131183 IAV131175:IAV131183 IKR131175:IKR131183 IUN131175:IUN131183 JEJ131175:JEJ131183 JOF131175:JOF131183 JYB131175:JYB131183 KHX131175:KHX131183 KRT131175:KRT131183 LBP131175:LBP131183 LLL131175:LLL131183 LVH131175:LVH131183 MFD131175:MFD131183 MOZ131175:MOZ131183 MYV131175:MYV131183 NIR131175:NIR131183 NSN131175:NSN131183 OCJ131175:OCJ131183 OMF131175:OMF131183 OWB131175:OWB131183 PFX131175:PFX131183 PPT131175:PPT131183 PZP131175:PZP131183 QJL131175:QJL131183 QTH131175:QTH131183 RDD131175:RDD131183 RMZ131175:RMZ131183 RWV131175:RWV131183 SGR131175:SGR131183 SQN131175:SQN131183 TAJ131175:TAJ131183 TKF131175:TKF131183 TUB131175:TUB131183 UDX131175:UDX131183 UNT131175:UNT131183 UXP131175:UXP131183 VHL131175:VHL131183 VRH131175:VRH131183 WBD131175:WBD131183 WKZ131175:WKZ131183 WUV131175:WUV131183 D196711:D196719 IJ196711:IJ196719 SF196711:SF196719 ACB196711:ACB196719 ALX196711:ALX196719 AVT196711:AVT196719 BFP196711:BFP196719 BPL196711:BPL196719 BZH196711:BZH196719 CJD196711:CJD196719 CSZ196711:CSZ196719 DCV196711:DCV196719 DMR196711:DMR196719 DWN196711:DWN196719 EGJ196711:EGJ196719 EQF196711:EQF196719 FAB196711:FAB196719 FJX196711:FJX196719 FTT196711:FTT196719 GDP196711:GDP196719 GNL196711:GNL196719 GXH196711:GXH196719 HHD196711:HHD196719 HQZ196711:HQZ196719 IAV196711:IAV196719 IKR196711:IKR196719 IUN196711:IUN196719 JEJ196711:JEJ196719 JOF196711:JOF196719 JYB196711:JYB196719 KHX196711:KHX196719 KRT196711:KRT196719 LBP196711:LBP196719 LLL196711:LLL196719 LVH196711:LVH196719 MFD196711:MFD196719 MOZ196711:MOZ196719 MYV196711:MYV196719 NIR196711:NIR196719 NSN196711:NSN196719 OCJ196711:OCJ196719 OMF196711:OMF196719 OWB196711:OWB196719 PFX196711:PFX196719 PPT196711:PPT196719 PZP196711:PZP196719 QJL196711:QJL196719 QTH196711:QTH196719 RDD196711:RDD196719 RMZ196711:RMZ196719 RWV196711:RWV196719 SGR196711:SGR196719 SQN196711:SQN196719 TAJ196711:TAJ196719 TKF196711:TKF196719 TUB196711:TUB196719 UDX196711:UDX196719 UNT196711:UNT196719 UXP196711:UXP196719 VHL196711:VHL196719 VRH196711:VRH196719 WBD196711:WBD196719 WKZ196711:WKZ196719 WUV196711:WUV196719 D262247:D262255 IJ262247:IJ262255 SF262247:SF262255 ACB262247:ACB262255 ALX262247:ALX262255 AVT262247:AVT262255 BFP262247:BFP262255 BPL262247:BPL262255 BZH262247:BZH262255 CJD262247:CJD262255 CSZ262247:CSZ262255 DCV262247:DCV262255 DMR262247:DMR262255 DWN262247:DWN262255 EGJ262247:EGJ262255 EQF262247:EQF262255 FAB262247:FAB262255 FJX262247:FJX262255 FTT262247:FTT262255 GDP262247:GDP262255 GNL262247:GNL262255 GXH262247:GXH262255 HHD262247:HHD262255 HQZ262247:HQZ262255 IAV262247:IAV262255 IKR262247:IKR262255 IUN262247:IUN262255 JEJ262247:JEJ262255 JOF262247:JOF262255 JYB262247:JYB262255 KHX262247:KHX262255 KRT262247:KRT262255 LBP262247:LBP262255 LLL262247:LLL262255 LVH262247:LVH262255 MFD262247:MFD262255 MOZ262247:MOZ262255 MYV262247:MYV262255 NIR262247:NIR262255 NSN262247:NSN262255 OCJ262247:OCJ262255 OMF262247:OMF262255 OWB262247:OWB262255 PFX262247:PFX262255 PPT262247:PPT262255 PZP262247:PZP262255 QJL262247:QJL262255 QTH262247:QTH262255 RDD262247:RDD262255 RMZ262247:RMZ262255 RWV262247:RWV262255 SGR262247:SGR262255 SQN262247:SQN262255 TAJ262247:TAJ262255 TKF262247:TKF262255 TUB262247:TUB262255 UDX262247:UDX262255 UNT262247:UNT262255 UXP262247:UXP262255 VHL262247:VHL262255 VRH262247:VRH262255 WBD262247:WBD262255 WKZ262247:WKZ262255 WUV262247:WUV262255 D327783:D327791 IJ327783:IJ327791 SF327783:SF327791 ACB327783:ACB327791 ALX327783:ALX327791 AVT327783:AVT327791 BFP327783:BFP327791 BPL327783:BPL327791 BZH327783:BZH327791 CJD327783:CJD327791 CSZ327783:CSZ327791 DCV327783:DCV327791 DMR327783:DMR327791 DWN327783:DWN327791 EGJ327783:EGJ327791 EQF327783:EQF327791 FAB327783:FAB327791 FJX327783:FJX327791 FTT327783:FTT327791 GDP327783:GDP327791 GNL327783:GNL327791 GXH327783:GXH327791 HHD327783:HHD327791 HQZ327783:HQZ327791 IAV327783:IAV327791 IKR327783:IKR327791 IUN327783:IUN327791 JEJ327783:JEJ327791 JOF327783:JOF327791 JYB327783:JYB327791 KHX327783:KHX327791 KRT327783:KRT327791 LBP327783:LBP327791 LLL327783:LLL327791 LVH327783:LVH327791 MFD327783:MFD327791 MOZ327783:MOZ327791 MYV327783:MYV327791 NIR327783:NIR327791 NSN327783:NSN327791 OCJ327783:OCJ327791 OMF327783:OMF327791 OWB327783:OWB327791 PFX327783:PFX327791 PPT327783:PPT327791 PZP327783:PZP327791 QJL327783:QJL327791 QTH327783:QTH327791 RDD327783:RDD327791 RMZ327783:RMZ327791 RWV327783:RWV327791 SGR327783:SGR327791 SQN327783:SQN327791 TAJ327783:TAJ327791 TKF327783:TKF327791 TUB327783:TUB327791 UDX327783:UDX327791 UNT327783:UNT327791 UXP327783:UXP327791 VHL327783:VHL327791 VRH327783:VRH327791 WBD327783:WBD327791 WKZ327783:WKZ327791 WUV327783:WUV327791 D393319:D393327 IJ393319:IJ393327 SF393319:SF393327 ACB393319:ACB393327 ALX393319:ALX393327 AVT393319:AVT393327 BFP393319:BFP393327 BPL393319:BPL393327 BZH393319:BZH393327 CJD393319:CJD393327 CSZ393319:CSZ393327 DCV393319:DCV393327 DMR393319:DMR393327 DWN393319:DWN393327 EGJ393319:EGJ393327 EQF393319:EQF393327 FAB393319:FAB393327 FJX393319:FJX393327 FTT393319:FTT393327 GDP393319:GDP393327 GNL393319:GNL393327 GXH393319:GXH393327 HHD393319:HHD393327 HQZ393319:HQZ393327 IAV393319:IAV393327 IKR393319:IKR393327 IUN393319:IUN393327 JEJ393319:JEJ393327 JOF393319:JOF393327 JYB393319:JYB393327 KHX393319:KHX393327 KRT393319:KRT393327 LBP393319:LBP393327 LLL393319:LLL393327 LVH393319:LVH393327 MFD393319:MFD393327 MOZ393319:MOZ393327 MYV393319:MYV393327 NIR393319:NIR393327 NSN393319:NSN393327 OCJ393319:OCJ393327 OMF393319:OMF393327 OWB393319:OWB393327 PFX393319:PFX393327 PPT393319:PPT393327 PZP393319:PZP393327 QJL393319:QJL393327 QTH393319:QTH393327 RDD393319:RDD393327 RMZ393319:RMZ393327 RWV393319:RWV393327 SGR393319:SGR393327 SQN393319:SQN393327 TAJ393319:TAJ393327 TKF393319:TKF393327 TUB393319:TUB393327 UDX393319:UDX393327 UNT393319:UNT393327 UXP393319:UXP393327 VHL393319:VHL393327 VRH393319:VRH393327 WBD393319:WBD393327 WKZ393319:WKZ393327 WUV393319:WUV393327 D458855:D458863 IJ458855:IJ458863 SF458855:SF458863 ACB458855:ACB458863 ALX458855:ALX458863 AVT458855:AVT458863 BFP458855:BFP458863 BPL458855:BPL458863 BZH458855:BZH458863 CJD458855:CJD458863 CSZ458855:CSZ458863 DCV458855:DCV458863 DMR458855:DMR458863 DWN458855:DWN458863 EGJ458855:EGJ458863 EQF458855:EQF458863 FAB458855:FAB458863 FJX458855:FJX458863 FTT458855:FTT458863 GDP458855:GDP458863 GNL458855:GNL458863 GXH458855:GXH458863 HHD458855:HHD458863 HQZ458855:HQZ458863 IAV458855:IAV458863 IKR458855:IKR458863 IUN458855:IUN458863 JEJ458855:JEJ458863 JOF458855:JOF458863 JYB458855:JYB458863 KHX458855:KHX458863 KRT458855:KRT458863 LBP458855:LBP458863 LLL458855:LLL458863 LVH458855:LVH458863 MFD458855:MFD458863 MOZ458855:MOZ458863 MYV458855:MYV458863 NIR458855:NIR458863 NSN458855:NSN458863 OCJ458855:OCJ458863 OMF458855:OMF458863 OWB458855:OWB458863 PFX458855:PFX458863 PPT458855:PPT458863 PZP458855:PZP458863 QJL458855:QJL458863 QTH458855:QTH458863 RDD458855:RDD458863 RMZ458855:RMZ458863 RWV458855:RWV458863 SGR458855:SGR458863 SQN458855:SQN458863 TAJ458855:TAJ458863 TKF458855:TKF458863 TUB458855:TUB458863 UDX458855:UDX458863 UNT458855:UNT458863 UXP458855:UXP458863 VHL458855:VHL458863 VRH458855:VRH458863 WBD458855:WBD458863 WKZ458855:WKZ458863 WUV458855:WUV458863 D524391:D524399 IJ524391:IJ524399 SF524391:SF524399 ACB524391:ACB524399 ALX524391:ALX524399 AVT524391:AVT524399 BFP524391:BFP524399 BPL524391:BPL524399 BZH524391:BZH524399 CJD524391:CJD524399 CSZ524391:CSZ524399 DCV524391:DCV524399 DMR524391:DMR524399 DWN524391:DWN524399 EGJ524391:EGJ524399 EQF524391:EQF524399 FAB524391:FAB524399 FJX524391:FJX524399 FTT524391:FTT524399 GDP524391:GDP524399 GNL524391:GNL524399 GXH524391:GXH524399 HHD524391:HHD524399 HQZ524391:HQZ524399 IAV524391:IAV524399 IKR524391:IKR524399 IUN524391:IUN524399 JEJ524391:JEJ524399 JOF524391:JOF524399 JYB524391:JYB524399 KHX524391:KHX524399 KRT524391:KRT524399 LBP524391:LBP524399 LLL524391:LLL524399 LVH524391:LVH524399 MFD524391:MFD524399 MOZ524391:MOZ524399 MYV524391:MYV524399 NIR524391:NIR524399 NSN524391:NSN524399 OCJ524391:OCJ524399 OMF524391:OMF524399 OWB524391:OWB524399 PFX524391:PFX524399 PPT524391:PPT524399 PZP524391:PZP524399 QJL524391:QJL524399 QTH524391:QTH524399 RDD524391:RDD524399 RMZ524391:RMZ524399 RWV524391:RWV524399 SGR524391:SGR524399 SQN524391:SQN524399 TAJ524391:TAJ524399 TKF524391:TKF524399 TUB524391:TUB524399 UDX524391:UDX524399 UNT524391:UNT524399 UXP524391:UXP524399 VHL524391:VHL524399 VRH524391:VRH524399 WBD524391:WBD524399 WKZ524391:WKZ524399 WUV524391:WUV524399 D589927:D589935 IJ589927:IJ589935 SF589927:SF589935 ACB589927:ACB589935 ALX589927:ALX589935 AVT589927:AVT589935 BFP589927:BFP589935 BPL589927:BPL589935 BZH589927:BZH589935 CJD589927:CJD589935 CSZ589927:CSZ589935 DCV589927:DCV589935 DMR589927:DMR589935 DWN589927:DWN589935 EGJ589927:EGJ589935 EQF589927:EQF589935 FAB589927:FAB589935 FJX589927:FJX589935 FTT589927:FTT589935 GDP589927:GDP589935 GNL589927:GNL589935 GXH589927:GXH589935 HHD589927:HHD589935 HQZ589927:HQZ589935 IAV589927:IAV589935 IKR589927:IKR589935 IUN589927:IUN589935 JEJ589927:JEJ589935 JOF589927:JOF589935 JYB589927:JYB589935 KHX589927:KHX589935 KRT589927:KRT589935 LBP589927:LBP589935 LLL589927:LLL589935 LVH589927:LVH589935 MFD589927:MFD589935 MOZ589927:MOZ589935 MYV589927:MYV589935 NIR589927:NIR589935 NSN589927:NSN589935 OCJ589927:OCJ589935 OMF589927:OMF589935 OWB589927:OWB589935 PFX589927:PFX589935 PPT589927:PPT589935 PZP589927:PZP589935 QJL589927:QJL589935 QTH589927:QTH589935 RDD589927:RDD589935 RMZ589927:RMZ589935 RWV589927:RWV589935 SGR589927:SGR589935 SQN589927:SQN589935 TAJ589927:TAJ589935 TKF589927:TKF589935 TUB589927:TUB589935 UDX589927:UDX589935 UNT589927:UNT589935 UXP589927:UXP589935 VHL589927:VHL589935 VRH589927:VRH589935 WBD589927:WBD589935 WKZ589927:WKZ589935 WUV589927:WUV589935 D655463:D655471 IJ655463:IJ655471 SF655463:SF655471 ACB655463:ACB655471 ALX655463:ALX655471 AVT655463:AVT655471 BFP655463:BFP655471 BPL655463:BPL655471 BZH655463:BZH655471 CJD655463:CJD655471 CSZ655463:CSZ655471 DCV655463:DCV655471 DMR655463:DMR655471 DWN655463:DWN655471 EGJ655463:EGJ655471 EQF655463:EQF655471 FAB655463:FAB655471 FJX655463:FJX655471 FTT655463:FTT655471 GDP655463:GDP655471 GNL655463:GNL655471 GXH655463:GXH655471 HHD655463:HHD655471 HQZ655463:HQZ655471 IAV655463:IAV655471 IKR655463:IKR655471 IUN655463:IUN655471 JEJ655463:JEJ655471 JOF655463:JOF655471 JYB655463:JYB655471 KHX655463:KHX655471 KRT655463:KRT655471 LBP655463:LBP655471 LLL655463:LLL655471 LVH655463:LVH655471 MFD655463:MFD655471 MOZ655463:MOZ655471 MYV655463:MYV655471 NIR655463:NIR655471 NSN655463:NSN655471 OCJ655463:OCJ655471 OMF655463:OMF655471 OWB655463:OWB655471 PFX655463:PFX655471 PPT655463:PPT655471 PZP655463:PZP655471 QJL655463:QJL655471 QTH655463:QTH655471 RDD655463:RDD655471 RMZ655463:RMZ655471 RWV655463:RWV655471 SGR655463:SGR655471 SQN655463:SQN655471 TAJ655463:TAJ655471 TKF655463:TKF655471 TUB655463:TUB655471 UDX655463:UDX655471 UNT655463:UNT655471 UXP655463:UXP655471 VHL655463:VHL655471 VRH655463:VRH655471 WBD655463:WBD655471 WKZ655463:WKZ655471 WUV655463:WUV655471 D720999:D721007 IJ720999:IJ721007 SF720999:SF721007 ACB720999:ACB721007 ALX720999:ALX721007 AVT720999:AVT721007 BFP720999:BFP721007 BPL720999:BPL721007 BZH720999:BZH721007 CJD720999:CJD721007 CSZ720999:CSZ721007 DCV720999:DCV721007 DMR720999:DMR721007 DWN720999:DWN721007 EGJ720999:EGJ721007 EQF720999:EQF721007 FAB720999:FAB721007 FJX720999:FJX721007 FTT720999:FTT721007 GDP720999:GDP721007 GNL720999:GNL721007 GXH720999:GXH721007 HHD720999:HHD721007 HQZ720999:HQZ721007 IAV720999:IAV721007 IKR720999:IKR721007 IUN720999:IUN721007 JEJ720999:JEJ721007 JOF720999:JOF721007 JYB720999:JYB721007 KHX720999:KHX721007 KRT720999:KRT721007 LBP720999:LBP721007 LLL720999:LLL721007 LVH720999:LVH721007 MFD720999:MFD721007 MOZ720999:MOZ721007 MYV720999:MYV721007 NIR720999:NIR721007 NSN720999:NSN721007 OCJ720999:OCJ721007 OMF720999:OMF721007 OWB720999:OWB721007 PFX720999:PFX721007 PPT720999:PPT721007 PZP720999:PZP721007 QJL720999:QJL721007 QTH720999:QTH721007 RDD720999:RDD721007 RMZ720999:RMZ721007 RWV720999:RWV721007 SGR720999:SGR721007 SQN720999:SQN721007 TAJ720999:TAJ721007 TKF720999:TKF721007 TUB720999:TUB721007 UDX720999:UDX721007 UNT720999:UNT721007 UXP720999:UXP721007 VHL720999:VHL721007 VRH720999:VRH721007 WBD720999:WBD721007 WKZ720999:WKZ721007 WUV720999:WUV721007 D786535:D786543 IJ786535:IJ786543 SF786535:SF786543 ACB786535:ACB786543 ALX786535:ALX786543 AVT786535:AVT786543 BFP786535:BFP786543 BPL786535:BPL786543 BZH786535:BZH786543 CJD786535:CJD786543 CSZ786535:CSZ786543 DCV786535:DCV786543 DMR786535:DMR786543 DWN786535:DWN786543 EGJ786535:EGJ786543 EQF786535:EQF786543 FAB786535:FAB786543 FJX786535:FJX786543 FTT786535:FTT786543 GDP786535:GDP786543 GNL786535:GNL786543 GXH786535:GXH786543 HHD786535:HHD786543 HQZ786535:HQZ786543 IAV786535:IAV786543 IKR786535:IKR786543 IUN786535:IUN786543 JEJ786535:JEJ786543 JOF786535:JOF786543 JYB786535:JYB786543 KHX786535:KHX786543 KRT786535:KRT786543 LBP786535:LBP786543 LLL786535:LLL786543 LVH786535:LVH786543 MFD786535:MFD786543 MOZ786535:MOZ786543 MYV786535:MYV786543 NIR786535:NIR786543 NSN786535:NSN786543 OCJ786535:OCJ786543 OMF786535:OMF786543 OWB786535:OWB786543 PFX786535:PFX786543 PPT786535:PPT786543 PZP786535:PZP786543 QJL786535:QJL786543 QTH786535:QTH786543 RDD786535:RDD786543 RMZ786535:RMZ786543 RWV786535:RWV786543 SGR786535:SGR786543 SQN786535:SQN786543 TAJ786535:TAJ786543 TKF786535:TKF786543 TUB786535:TUB786543 UDX786535:UDX786543 UNT786535:UNT786543 UXP786535:UXP786543 VHL786535:VHL786543 VRH786535:VRH786543 WBD786535:WBD786543 WKZ786535:WKZ786543 WUV786535:WUV786543 D852071:D852079 IJ852071:IJ852079 SF852071:SF852079 ACB852071:ACB852079 ALX852071:ALX852079 AVT852071:AVT852079 BFP852071:BFP852079 BPL852071:BPL852079 BZH852071:BZH852079 CJD852071:CJD852079 CSZ852071:CSZ852079 DCV852071:DCV852079 DMR852071:DMR852079 DWN852071:DWN852079 EGJ852071:EGJ852079 EQF852071:EQF852079 FAB852071:FAB852079 FJX852071:FJX852079 FTT852071:FTT852079 GDP852071:GDP852079 GNL852071:GNL852079 GXH852071:GXH852079 HHD852071:HHD852079 HQZ852071:HQZ852079 IAV852071:IAV852079 IKR852071:IKR852079 IUN852071:IUN852079 JEJ852071:JEJ852079 JOF852071:JOF852079 JYB852071:JYB852079 KHX852071:KHX852079 KRT852071:KRT852079 LBP852071:LBP852079 LLL852071:LLL852079 LVH852071:LVH852079 MFD852071:MFD852079 MOZ852071:MOZ852079 MYV852071:MYV852079 NIR852071:NIR852079 NSN852071:NSN852079 OCJ852071:OCJ852079 OMF852071:OMF852079 OWB852071:OWB852079 PFX852071:PFX852079 PPT852071:PPT852079 PZP852071:PZP852079 QJL852071:QJL852079 QTH852071:QTH852079 RDD852071:RDD852079 RMZ852071:RMZ852079 RWV852071:RWV852079 SGR852071:SGR852079 SQN852071:SQN852079 TAJ852071:TAJ852079 TKF852071:TKF852079 TUB852071:TUB852079 UDX852071:UDX852079 UNT852071:UNT852079 UXP852071:UXP852079 VHL852071:VHL852079 VRH852071:VRH852079 WBD852071:WBD852079 WKZ852071:WKZ852079 WUV852071:WUV852079 D917607:D917615 IJ917607:IJ917615 SF917607:SF917615 ACB917607:ACB917615 ALX917607:ALX917615 AVT917607:AVT917615 BFP917607:BFP917615 BPL917607:BPL917615 BZH917607:BZH917615 CJD917607:CJD917615 CSZ917607:CSZ917615 DCV917607:DCV917615 DMR917607:DMR917615 DWN917607:DWN917615 EGJ917607:EGJ917615 EQF917607:EQF917615 FAB917607:FAB917615 FJX917607:FJX917615 FTT917607:FTT917615 GDP917607:GDP917615 GNL917607:GNL917615 GXH917607:GXH917615 HHD917607:HHD917615 HQZ917607:HQZ917615 IAV917607:IAV917615 IKR917607:IKR917615 IUN917607:IUN917615 JEJ917607:JEJ917615 JOF917607:JOF917615 JYB917607:JYB917615 KHX917607:KHX917615 KRT917607:KRT917615 LBP917607:LBP917615 LLL917607:LLL917615 LVH917607:LVH917615 MFD917607:MFD917615 MOZ917607:MOZ917615 MYV917607:MYV917615 NIR917607:NIR917615 NSN917607:NSN917615 OCJ917607:OCJ917615 OMF917607:OMF917615 OWB917607:OWB917615 PFX917607:PFX917615 PPT917607:PPT917615 PZP917607:PZP917615 QJL917607:QJL917615 QTH917607:QTH917615 RDD917607:RDD917615 RMZ917607:RMZ917615 RWV917607:RWV917615 SGR917607:SGR917615 SQN917607:SQN917615 TAJ917607:TAJ917615 TKF917607:TKF917615 TUB917607:TUB917615 UDX917607:UDX917615 UNT917607:UNT917615 UXP917607:UXP917615 VHL917607:VHL917615 VRH917607:VRH917615 WBD917607:WBD917615 WKZ917607:WKZ917615 WUV917607:WUV917615 D983143:D983151 IJ983143:IJ983151 SF983143:SF983151 ACB983143:ACB983151 ALX983143:ALX983151 AVT983143:AVT983151 BFP983143:BFP983151 BPL983143:BPL983151 BZH983143:BZH983151 CJD983143:CJD983151 CSZ983143:CSZ983151 DCV983143:DCV983151 DMR983143:DMR983151 DWN983143:DWN983151 EGJ983143:EGJ983151 EQF983143:EQF983151 FAB983143:FAB983151 FJX983143:FJX983151 FTT983143:FTT983151 GDP983143:GDP983151 GNL983143:GNL983151 GXH983143:GXH983151 HHD983143:HHD983151 HQZ983143:HQZ983151 IAV983143:IAV983151 IKR983143:IKR983151 IUN983143:IUN983151 JEJ983143:JEJ983151 JOF983143:JOF983151 JYB983143:JYB983151 KHX983143:KHX983151 KRT983143:KRT983151 LBP983143:LBP983151 LLL983143:LLL983151 LVH983143:LVH983151 MFD983143:MFD983151 MOZ983143:MOZ983151 MYV983143:MYV983151 NIR983143:NIR983151 NSN983143:NSN983151 OCJ983143:OCJ983151 OMF983143:OMF983151 OWB983143:OWB983151 PFX983143:PFX983151 PPT983143:PPT983151 PZP983143:PZP983151 QJL983143:QJL983151 QTH983143:QTH983151 RDD983143:RDD983151 RMZ983143:RMZ983151 RWV983143:RWV983151 SGR983143:SGR983151 SQN983143:SQN983151 TAJ983143:TAJ983151 TKF983143:TKF983151 TUB983143:TUB983151 UDX983143:UDX983151 UNT983143:UNT983151 UXP983143:UXP983151 VHL983143:VHL983151 VRH983143:VRH983151 WBD983143:WBD983151 WKZ983143:WKZ983151 D54:D78" xr:uid="{2BCF4A87-1A9A-4F3E-B36E-C3951D2AD348}"/>
    <dataValidation allowBlank="1" showInputMessage="1" showErrorMessage="1" prompt="diligencie la cantidad de unidad de medida del valor unitario" sqref="IK11:IK51 SG11:SG51 ACC11:ACC51 ALY11:ALY51 AVU11:AVU51 BFQ11:BFQ51 BPM11:BPM51 BZI11:BZI51 CJE11:CJE51 CTA11:CTA51 DCW11:DCW51 DMS11:DMS51 DWO11:DWO51 EGK11:EGK51 EQG11:EQG51 FAC11:FAC51 FJY11:FJY51 FTU11:FTU51 GDQ11:GDQ51 GNM11:GNM51 GXI11:GXI51 HHE11:HHE51 HRA11:HRA51 IAW11:IAW51 IKS11:IKS51 IUO11:IUO51 JEK11:JEK51 JOG11:JOG51 JYC11:JYC51 KHY11:KHY51 KRU11:KRU51 LBQ11:LBQ51 LLM11:LLM51 LVI11:LVI51 MFE11:MFE51 MPA11:MPA51 MYW11:MYW51 NIS11:NIS51 NSO11:NSO51 OCK11:OCK51 OMG11:OMG51 OWC11:OWC51 PFY11:PFY51 PPU11:PPU51 PZQ11:PZQ51 QJM11:QJM51 QTI11:QTI51 RDE11:RDE51 RNA11:RNA51 RWW11:RWW51 SGS11:SGS51 SQO11:SQO51 TAK11:TAK51 TKG11:TKG51 TUC11:TUC51 UDY11:UDY51 UNU11:UNU51 UXQ11:UXQ51 VHM11:VHM51 VRI11:VRI51 WBE11:WBE51 WLA11:WLA51 WUW11:WUW51 IK65628:IK65636 SG65628:SG65636 ACC65628:ACC65636 ALY65628:ALY65636 AVU65628:AVU65636 BFQ65628:BFQ65636 BPM65628:BPM65636 BZI65628:BZI65636 CJE65628:CJE65636 CTA65628:CTA65636 DCW65628:DCW65636 DMS65628:DMS65636 DWO65628:DWO65636 EGK65628:EGK65636 EQG65628:EQG65636 FAC65628:FAC65636 FJY65628:FJY65636 FTU65628:FTU65636 GDQ65628:GDQ65636 GNM65628:GNM65636 GXI65628:GXI65636 HHE65628:HHE65636 HRA65628:HRA65636 IAW65628:IAW65636 IKS65628:IKS65636 IUO65628:IUO65636 JEK65628:JEK65636 JOG65628:JOG65636 JYC65628:JYC65636 KHY65628:KHY65636 KRU65628:KRU65636 LBQ65628:LBQ65636 LLM65628:LLM65636 LVI65628:LVI65636 MFE65628:MFE65636 MPA65628:MPA65636 MYW65628:MYW65636 NIS65628:NIS65636 NSO65628:NSO65636 OCK65628:OCK65636 OMG65628:OMG65636 OWC65628:OWC65636 PFY65628:PFY65636 PPU65628:PPU65636 PZQ65628:PZQ65636 QJM65628:QJM65636 QTI65628:QTI65636 RDE65628:RDE65636 RNA65628:RNA65636 RWW65628:RWW65636 SGS65628:SGS65636 SQO65628:SQO65636 TAK65628:TAK65636 TKG65628:TKG65636 TUC65628:TUC65636 UDY65628:UDY65636 UNU65628:UNU65636 UXQ65628:UXQ65636 VHM65628:VHM65636 VRI65628:VRI65636 WBE65628:WBE65636 WLA65628:WLA65636 WUW65628:WUW65636 IK131164:IK131172 SG131164:SG131172 ACC131164:ACC131172 ALY131164:ALY131172 AVU131164:AVU131172 BFQ131164:BFQ131172 BPM131164:BPM131172 BZI131164:BZI131172 CJE131164:CJE131172 CTA131164:CTA131172 DCW131164:DCW131172 DMS131164:DMS131172 DWO131164:DWO131172 EGK131164:EGK131172 EQG131164:EQG131172 FAC131164:FAC131172 FJY131164:FJY131172 FTU131164:FTU131172 GDQ131164:GDQ131172 GNM131164:GNM131172 GXI131164:GXI131172 HHE131164:HHE131172 HRA131164:HRA131172 IAW131164:IAW131172 IKS131164:IKS131172 IUO131164:IUO131172 JEK131164:JEK131172 JOG131164:JOG131172 JYC131164:JYC131172 KHY131164:KHY131172 KRU131164:KRU131172 LBQ131164:LBQ131172 LLM131164:LLM131172 LVI131164:LVI131172 MFE131164:MFE131172 MPA131164:MPA131172 MYW131164:MYW131172 NIS131164:NIS131172 NSO131164:NSO131172 OCK131164:OCK131172 OMG131164:OMG131172 OWC131164:OWC131172 PFY131164:PFY131172 PPU131164:PPU131172 PZQ131164:PZQ131172 QJM131164:QJM131172 QTI131164:QTI131172 RDE131164:RDE131172 RNA131164:RNA131172 RWW131164:RWW131172 SGS131164:SGS131172 SQO131164:SQO131172 TAK131164:TAK131172 TKG131164:TKG131172 TUC131164:TUC131172 UDY131164:UDY131172 UNU131164:UNU131172 UXQ131164:UXQ131172 VHM131164:VHM131172 VRI131164:VRI131172 WBE131164:WBE131172 WLA131164:WLA131172 WUW131164:WUW131172 IK196700:IK196708 SG196700:SG196708 ACC196700:ACC196708 ALY196700:ALY196708 AVU196700:AVU196708 BFQ196700:BFQ196708 BPM196700:BPM196708 BZI196700:BZI196708 CJE196700:CJE196708 CTA196700:CTA196708 DCW196700:DCW196708 DMS196700:DMS196708 DWO196700:DWO196708 EGK196700:EGK196708 EQG196700:EQG196708 FAC196700:FAC196708 FJY196700:FJY196708 FTU196700:FTU196708 GDQ196700:GDQ196708 GNM196700:GNM196708 GXI196700:GXI196708 HHE196700:HHE196708 HRA196700:HRA196708 IAW196700:IAW196708 IKS196700:IKS196708 IUO196700:IUO196708 JEK196700:JEK196708 JOG196700:JOG196708 JYC196700:JYC196708 KHY196700:KHY196708 KRU196700:KRU196708 LBQ196700:LBQ196708 LLM196700:LLM196708 LVI196700:LVI196708 MFE196700:MFE196708 MPA196700:MPA196708 MYW196700:MYW196708 NIS196700:NIS196708 NSO196700:NSO196708 OCK196700:OCK196708 OMG196700:OMG196708 OWC196700:OWC196708 PFY196700:PFY196708 PPU196700:PPU196708 PZQ196700:PZQ196708 QJM196700:QJM196708 QTI196700:QTI196708 RDE196700:RDE196708 RNA196700:RNA196708 RWW196700:RWW196708 SGS196700:SGS196708 SQO196700:SQO196708 TAK196700:TAK196708 TKG196700:TKG196708 TUC196700:TUC196708 UDY196700:UDY196708 UNU196700:UNU196708 UXQ196700:UXQ196708 VHM196700:VHM196708 VRI196700:VRI196708 WBE196700:WBE196708 WLA196700:WLA196708 WUW196700:WUW196708 IK262236:IK262244 SG262236:SG262244 ACC262236:ACC262244 ALY262236:ALY262244 AVU262236:AVU262244 BFQ262236:BFQ262244 BPM262236:BPM262244 BZI262236:BZI262244 CJE262236:CJE262244 CTA262236:CTA262244 DCW262236:DCW262244 DMS262236:DMS262244 DWO262236:DWO262244 EGK262236:EGK262244 EQG262236:EQG262244 FAC262236:FAC262244 FJY262236:FJY262244 FTU262236:FTU262244 GDQ262236:GDQ262244 GNM262236:GNM262244 GXI262236:GXI262244 HHE262236:HHE262244 HRA262236:HRA262244 IAW262236:IAW262244 IKS262236:IKS262244 IUO262236:IUO262244 JEK262236:JEK262244 JOG262236:JOG262244 JYC262236:JYC262244 KHY262236:KHY262244 KRU262236:KRU262244 LBQ262236:LBQ262244 LLM262236:LLM262244 LVI262236:LVI262244 MFE262236:MFE262244 MPA262236:MPA262244 MYW262236:MYW262244 NIS262236:NIS262244 NSO262236:NSO262244 OCK262236:OCK262244 OMG262236:OMG262244 OWC262236:OWC262244 PFY262236:PFY262244 PPU262236:PPU262244 PZQ262236:PZQ262244 QJM262236:QJM262244 QTI262236:QTI262244 RDE262236:RDE262244 RNA262236:RNA262244 RWW262236:RWW262244 SGS262236:SGS262244 SQO262236:SQO262244 TAK262236:TAK262244 TKG262236:TKG262244 TUC262236:TUC262244 UDY262236:UDY262244 UNU262236:UNU262244 UXQ262236:UXQ262244 VHM262236:VHM262244 VRI262236:VRI262244 WBE262236:WBE262244 WLA262236:WLA262244 WUW262236:WUW262244 IK327772:IK327780 SG327772:SG327780 ACC327772:ACC327780 ALY327772:ALY327780 AVU327772:AVU327780 BFQ327772:BFQ327780 BPM327772:BPM327780 BZI327772:BZI327780 CJE327772:CJE327780 CTA327772:CTA327780 DCW327772:DCW327780 DMS327772:DMS327780 DWO327772:DWO327780 EGK327772:EGK327780 EQG327772:EQG327780 FAC327772:FAC327780 FJY327772:FJY327780 FTU327772:FTU327780 GDQ327772:GDQ327780 GNM327772:GNM327780 GXI327772:GXI327780 HHE327772:HHE327780 HRA327772:HRA327780 IAW327772:IAW327780 IKS327772:IKS327780 IUO327772:IUO327780 JEK327772:JEK327780 JOG327772:JOG327780 JYC327772:JYC327780 KHY327772:KHY327780 KRU327772:KRU327780 LBQ327772:LBQ327780 LLM327772:LLM327780 LVI327772:LVI327780 MFE327772:MFE327780 MPA327772:MPA327780 MYW327772:MYW327780 NIS327772:NIS327780 NSO327772:NSO327780 OCK327772:OCK327780 OMG327772:OMG327780 OWC327772:OWC327780 PFY327772:PFY327780 PPU327772:PPU327780 PZQ327772:PZQ327780 QJM327772:QJM327780 QTI327772:QTI327780 RDE327772:RDE327780 RNA327772:RNA327780 RWW327772:RWW327780 SGS327772:SGS327780 SQO327772:SQO327780 TAK327772:TAK327780 TKG327772:TKG327780 TUC327772:TUC327780 UDY327772:UDY327780 UNU327772:UNU327780 UXQ327772:UXQ327780 VHM327772:VHM327780 VRI327772:VRI327780 WBE327772:WBE327780 WLA327772:WLA327780 WUW327772:WUW327780 IK393308:IK393316 SG393308:SG393316 ACC393308:ACC393316 ALY393308:ALY393316 AVU393308:AVU393316 BFQ393308:BFQ393316 BPM393308:BPM393316 BZI393308:BZI393316 CJE393308:CJE393316 CTA393308:CTA393316 DCW393308:DCW393316 DMS393308:DMS393316 DWO393308:DWO393316 EGK393308:EGK393316 EQG393308:EQG393316 FAC393308:FAC393316 FJY393308:FJY393316 FTU393308:FTU393316 GDQ393308:GDQ393316 GNM393308:GNM393316 GXI393308:GXI393316 HHE393308:HHE393316 HRA393308:HRA393316 IAW393308:IAW393316 IKS393308:IKS393316 IUO393308:IUO393316 JEK393308:JEK393316 JOG393308:JOG393316 JYC393308:JYC393316 KHY393308:KHY393316 KRU393308:KRU393316 LBQ393308:LBQ393316 LLM393308:LLM393316 LVI393308:LVI393316 MFE393308:MFE393316 MPA393308:MPA393316 MYW393308:MYW393316 NIS393308:NIS393316 NSO393308:NSO393316 OCK393308:OCK393316 OMG393308:OMG393316 OWC393308:OWC393316 PFY393308:PFY393316 PPU393308:PPU393316 PZQ393308:PZQ393316 QJM393308:QJM393316 QTI393308:QTI393316 RDE393308:RDE393316 RNA393308:RNA393316 RWW393308:RWW393316 SGS393308:SGS393316 SQO393308:SQO393316 TAK393308:TAK393316 TKG393308:TKG393316 TUC393308:TUC393316 UDY393308:UDY393316 UNU393308:UNU393316 UXQ393308:UXQ393316 VHM393308:VHM393316 VRI393308:VRI393316 WBE393308:WBE393316 WLA393308:WLA393316 WUW393308:WUW393316 IK458844:IK458852 SG458844:SG458852 ACC458844:ACC458852 ALY458844:ALY458852 AVU458844:AVU458852 BFQ458844:BFQ458852 BPM458844:BPM458852 BZI458844:BZI458852 CJE458844:CJE458852 CTA458844:CTA458852 DCW458844:DCW458852 DMS458844:DMS458852 DWO458844:DWO458852 EGK458844:EGK458852 EQG458844:EQG458852 FAC458844:FAC458852 FJY458844:FJY458852 FTU458844:FTU458852 GDQ458844:GDQ458852 GNM458844:GNM458852 GXI458844:GXI458852 HHE458844:HHE458852 HRA458844:HRA458852 IAW458844:IAW458852 IKS458844:IKS458852 IUO458844:IUO458852 JEK458844:JEK458852 JOG458844:JOG458852 JYC458844:JYC458852 KHY458844:KHY458852 KRU458844:KRU458852 LBQ458844:LBQ458852 LLM458844:LLM458852 LVI458844:LVI458852 MFE458844:MFE458852 MPA458844:MPA458852 MYW458844:MYW458852 NIS458844:NIS458852 NSO458844:NSO458852 OCK458844:OCK458852 OMG458844:OMG458852 OWC458844:OWC458852 PFY458844:PFY458852 PPU458844:PPU458852 PZQ458844:PZQ458852 QJM458844:QJM458852 QTI458844:QTI458852 RDE458844:RDE458852 RNA458844:RNA458852 RWW458844:RWW458852 SGS458844:SGS458852 SQO458844:SQO458852 TAK458844:TAK458852 TKG458844:TKG458852 TUC458844:TUC458852 UDY458844:UDY458852 UNU458844:UNU458852 UXQ458844:UXQ458852 VHM458844:VHM458852 VRI458844:VRI458852 WBE458844:WBE458852 WLA458844:WLA458852 WUW458844:WUW458852 IK524380:IK524388 SG524380:SG524388 ACC524380:ACC524388 ALY524380:ALY524388 AVU524380:AVU524388 BFQ524380:BFQ524388 BPM524380:BPM524388 BZI524380:BZI524388 CJE524380:CJE524388 CTA524380:CTA524388 DCW524380:DCW524388 DMS524380:DMS524388 DWO524380:DWO524388 EGK524380:EGK524388 EQG524380:EQG524388 FAC524380:FAC524388 FJY524380:FJY524388 FTU524380:FTU524388 GDQ524380:GDQ524388 GNM524380:GNM524388 GXI524380:GXI524388 HHE524380:HHE524388 HRA524380:HRA524388 IAW524380:IAW524388 IKS524380:IKS524388 IUO524380:IUO524388 JEK524380:JEK524388 JOG524380:JOG524388 JYC524380:JYC524388 KHY524380:KHY524388 KRU524380:KRU524388 LBQ524380:LBQ524388 LLM524380:LLM524388 LVI524380:LVI524388 MFE524380:MFE524388 MPA524380:MPA524388 MYW524380:MYW524388 NIS524380:NIS524388 NSO524380:NSO524388 OCK524380:OCK524388 OMG524380:OMG524388 OWC524380:OWC524388 PFY524380:PFY524388 PPU524380:PPU524388 PZQ524380:PZQ524388 QJM524380:QJM524388 QTI524380:QTI524388 RDE524380:RDE524388 RNA524380:RNA524388 RWW524380:RWW524388 SGS524380:SGS524388 SQO524380:SQO524388 TAK524380:TAK524388 TKG524380:TKG524388 TUC524380:TUC524388 UDY524380:UDY524388 UNU524380:UNU524388 UXQ524380:UXQ524388 VHM524380:VHM524388 VRI524380:VRI524388 WBE524380:WBE524388 WLA524380:WLA524388 WUW524380:WUW524388 IK589916:IK589924 SG589916:SG589924 ACC589916:ACC589924 ALY589916:ALY589924 AVU589916:AVU589924 BFQ589916:BFQ589924 BPM589916:BPM589924 BZI589916:BZI589924 CJE589916:CJE589924 CTA589916:CTA589924 DCW589916:DCW589924 DMS589916:DMS589924 DWO589916:DWO589924 EGK589916:EGK589924 EQG589916:EQG589924 FAC589916:FAC589924 FJY589916:FJY589924 FTU589916:FTU589924 GDQ589916:GDQ589924 GNM589916:GNM589924 GXI589916:GXI589924 HHE589916:HHE589924 HRA589916:HRA589924 IAW589916:IAW589924 IKS589916:IKS589924 IUO589916:IUO589924 JEK589916:JEK589924 JOG589916:JOG589924 JYC589916:JYC589924 KHY589916:KHY589924 KRU589916:KRU589924 LBQ589916:LBQ589924 LLM589916:LLM589924 LVI589916:LVI589924 MFE589916:MFE589924 MPA589916:MPA589924 MYW589916:MYW589924 NIS589916:NIS589924 NSO589916:NSO589924 OCK589916:OCK589924 OMG589916:OMG589924 OWC589916:OWC589924 PFY589916:PFY589924 PPU589916:PPU589924 PZQ589916:PZQ589924 QJM589916:QJM589924 QTI589916:QTI589924 RDE589916:RDE589924 RNA589916:RNA589924 RWW589916:RWW589924 SGS589916:SGS589924 SQO589916:SQO589924 TAK589916:TAK589924 TKG589916:TKG589924 TUC589916:TUC589924 UDY589916:UDY589924 UNU589916:UNU589924 UXQ589916:UXQ589924 VHM589916:VHM589924 VRI589916:VRI589924 WBE589916:WBE589924 WLA589916:WLA589924 WUW589916:WUW589924 IK655452:IK655460 SG655452:SG655460 ACC655452:ACC655460 ALY655452:ALY655460 AVU655452:AVU655460 BFQ655452:BFQ655460 BPM655452:BPM655460 BZI655452:BZI655460 CJE655452:CJE655460 CTA655452:CTA655460 DCW655452:DCW655460 DMS655452:DMS655460 DWO655452:DWO655460 EGK655452:EGK655460 EQG655452:EQG655460 FAC655452:FAC655460 FJY655452:FJY655460 FTU655452:FTU655460 GDQ655452:GDQ655460 GNM655452:GNM655460 GXI655452:GXI655460 HHE655452:HHE655460 HRA655452:HRA655460 IAW655452:IAW655460 IKS655452:IKS655460 IUO655452:IUO655460 JEK655452:JEK655460 JOG655452:JOG655460 JYC655452:JYC655460 KHY655452:KHY655460 KRU655452:KRU655460 LBQ655452:LBQ655460 LLM655452:LLM655460 LVI655452:LVI655460 MFE655452:MFE655460 MPA655452:MPA655460 MYW655452:MYW655460 NIS655452:NIS655460 NSO655452:NSO655460 OCK655452:OCK655460 OMG655452:OMG655460 OWC655452:OWC655460 PFY655452:PFY655460 PPU655452:PPU655460 PZQ655452:PZQ655460 QJM655452:QJM655460 QTI655452:QTI655460 RDE655452:RDE655460 RNA655452:RNA655460 RWW655452:RWW655460 SGS655452:SGS655460 SQO655452:SQO655460 TAK655452:TAK655460 TKG655452:TKG655460 TUC655452:TUC655460 UDY655452:UDY655460 UNU655452:UNU655460 UXQ655452:UXQ655460 VHM655452:VHM655460 VRI655452:VRI655460 WBE655452:WBE655460 WLA655452:WLA655460 WUW655452:WUW655460 IK720988:IK720996 SG720988:SG720996 ACC720988:ACC720996 ALY720988:ALY720996 AVU720988:AVU720996 BFQ720988:BFQ720996 BPM720988:BPM720996 BZI720988:BZI720996 CJE720988:CJE720996 CTA720988:CTA720996 DCW720988:DCW720996 DMS720988:DMS720996 DWO720988:DWO720996 EGK720988:EGK720996 EQG720988:EQG720996 FAC720988:FAC720996 FJY720988:FJY720996 FTU720988:FTU720996 GDQ720988:GDQ720996 GNM720988:GNM720996 GXI720988:GXI720996 HHE720988:HHE720996 HRA720988:HRA720996 IAW720988:IAW720996 IKS720988:IKS720996 IUO720988:IUO720996 JEK720988:JEK720996 JOG720988:JOG720996 JYC720988:JYC720996 KHY720988:KHY720996 KRU720988:KRU720996 LBQ720988:LBQ720996 LLM720988:LLM720996 LVI720988:LVI720996 MFE720988:MFE720996 MPA720988:MPA720996 MYW720988:MYW720996 NIS720988:NIS720996 NSO720988:NSO720996 OCK720988:OCK720996 OMG720988:OMG720996 OWC720988:OWC720996 PFY720988:PFY720996 PPU720988:PPU720996 PZQ720988:PZQ720996 QJM720988:QJM720996 QTI720988:QTI720996 RDE720988:RDE720996 RNA720988:RNA720996 RWW720988:RWW720996 SGS720988:SGS720996 SQO720988:SQO720996 TAK720988:TAK720996 TKG720988:TKG720996 TUC720988:TUC720996 UDY720988:UDY720996 UNU720988:UNU720996 UXQ720988:UXQ720996 VHM720988:VHM720996 VRI720988:VRI720996 WBE720988:WBE720996 WLA720988:WLA720996 WUW720988:WUW720996 IK786524:IK786532 SG786524:SG786532 ACC786524:ACC786532 ALY786524:ALY786532 AVU786524:AVU786532 BFQ786524:BFQ786532 BPM786524:BPM786532 BZI786524:BZI786532 CJE786524:CJE786532 CTA786524:CTA786532 DCW786524:DCW786532 DMS786524:DMS786532 DWO786524:DWO786532 EGK786524:EGK786532 EQG786524:EQG786532 FAC786524:FAC786532 FJY786524:FJY786532 FTU786524:FTU786532 GDQ786524:GDQ786532 GNM786524:GNM786532 GXI786524:GXI786532 HHE786524:HHE786532 HRA786524:HRA786532 IAW786524:IAW786532 IKS786524:IKS786532 IUO786524:IUO786532 JEK786524:JEK786532 JOG786524:JOG786532 JYC786524:JYC786532 KHY786524:KHY786532 KRU786524:KRU786532 LBQ786524:LBQ786532 LLM786524:LLM786532 LVI786524:LVI786532 MFE786524:MFE786532 MPA786524:MPA786532 MYW786524:MYW786532 NIS786524:NIS786532 NSO786524:NSO786532 OCK786524:OCK786532 OMG786524:OMG786532 OWC786524:OWC786532 PFY786524:PFY786532 PPU786524:PPU786532 PZQ786524:PZQ786532 QJM786524:QJM786532 QTI786524:QTI786532 RDE786524:RDE786532 RNA786524:RNA786532 RWW786524:RWW786532 SGS786524:SGS786532 SQO786524:SQO786532 TAK786524:TAK786532 TKG786524:TKG786532 TUC786524:TUC786532 UDY786524:UDY786532 UNU786524:UNU786532 UXQ786524:UXQ786532 VHM786524:VHM786532 VRI786524:VRI786532 WBE786524:WBE786532 WLA786524:WLA786532 WUW786524:WUW786532 IK852060:IK852068 SG852060:SG852068 ACC852060:ACC852068 ALY852060:ALY852068 AVU852060:AVU852068 BFQ852060:BFQ852068 BPM852060:BPM852068 BZI852060:BZI852068 CJE852060:CJE852068 CTA852060:CTA852068 DCW852060:DCW852068 DMS852060:DMS852068 DWO852060:DWO852068 EGK852060:EGK852068 EQG852060:EQG852068 FAC852060:FAC852068 FJY852060:FJY852068 FTU852060:FTU852068 GDQ852060:GDQ852068 GNM852060:GNM852068 GXI852060:GXI852068 HHE852060:HHE852068 HRA852060:HRA852068 IAW852060:IAW852068 IKS852060:IKS852068 IUO852060:IUO852068 JEK852060:JEK852068 JOG852060:JOG852068 JYC852060:JYC852068 KHY852060:KHY852068 KRU852060:KRU852068 LBQ852060:LBQ852068 LLM852060:LLM852068 LVI852060:LVI852068 MFE852060:MFE852068 MPA852060:MPA852068 MYW852060:MYW852068 NIS852060:NIS852068 NSO852060:NSO852068 OCK852060:OCK852068 OMG852060:OMG852068 OWC852060:OWC852068 PFY852060:PFY852068 PPU852060:PPU852068 PZQ852060:PZQ852068 QJM852060:QJM852068 QTI852060:QTI852068 RDE852060:RDE852068 RNA852060:RNA852068 RWW852060:RWW852068 SGS852060:SGS852068 SQO852060:SQO852068 TAK852060:TAK852068 TKG852060:TKG852068 TUC852060:TUC852068 UDY852060:UDY852068 UNU852060:UNU852068 UXQ852060:UXQ852068 VHM852060:VHM852068 VRI852060:VRI852068 WBE852060:WBE852068 WLA852060:WLA852068 WUW852060:WUW852068 IK917596:IK917604 SG917596:SG917604 ACC917596:ACC917604 ALY917596:ALY917604 AVU917596:AVU917604 BFQ917596:BFQ917604 BPM917596:BPM917604 BZI917596:BZI917604 CJE917596:CJE917604 CTA917596:CTA917604 DCW917596:DCW917604 DMS917596:DMS917604 DWO917596:DWO917604 EGK917596:EGK917604 EQG917596:EQG917604 FAC917596:FAC917604 FJY917596:FJY917604 FTU917596:FTU917604 GDQ917596:GDQ917604 GNM917596:GNM917604 GXI917596:GXI917604 HHE917596:HHE917604 HRA917596:HRA917604 IAW917596:IAW917604 IKS917596:IKS917604 IUO917596:IUO917604 JEK917596:JEK917604 JOG917596:JOG917604 JYC917596:JYC917604 KHY917596:KHY917604 KRU917596:KRU917604 LBQ917596:LBQ917604 LLM917596:LLM917604 LVI917596:LVI917604 MFE917596:MFE917604 MPA917596:MPA917604 MYW917596:MYW917604 NIS917596:NIS917604 NSO917596:NSO917604 OCK917596:OCK917604 OMG917596:OMG917604 OWC917596:OWC917604 PFY917596:PFY917604 PPU917596:PPU917604 PZQ917596:PZQ917604 QJM917596:QJM917604 QTI917596:QTI917604 RDE917596:RDE917604 RNA917596:RNA917604 RWW917596:RWW917604 SGS917596:SGS917604 SQO917596:SQO917604 TAK917596:TAK917604 TKG917596:TKG917604 TUC917596:TUC917604 UDY917596:UDY917604 UNU917596:UNU917604 UXQ917596:UXQ917604 VHM917596:VHM917604 VRI917596:VRI917604 WBE917596:WBE917604 WLA917596:WLA917604 WUW917596:WUW917604 IK983132:IK983140 SG983132:SG983140 ACC983132:ACC983140 ALY983132:ALY983140 AVU983132:AVU983140 BFQ983132:BFQ983140 BPM983132:BPM983140 BZI983132:BZI983140 CJE983132:CJE983140 CTA983132:CTA983140 DCW983132:DCW983140 DMS983132:DMS983140 DWO983132:DWO983140 EGK983132:EGK983140 EQG983132:EQG983140 FAC983132:FAC983140 FJY983132:FJY983140 FTU983132:FTU983140 GDQ983132:GDQ983140 GNM983132:GNM983140 GXI983132:GXI983140 HHE983132:HHE983140 HRA983132:HRA983140 IAW983132:IAW983140 IKS983132:IKS983140 IUO983132:IUO983140 JEK983132:JEK983140 JOG983132:JOG983140 JYC983132:JYC983140 KHY983132:KHY983140 KRU983132:KRU983140 LBQ983132:LBQ983140 LLM983132:LLM983140 LVI983132:LVI983140 MFE983132:MFE983140 MPA983132:MPA983140 MYW983132:MYW983140 NIS983132:NIS983140 NSO983132:NSO983140 OCK983132:OCK983140 OMG983132:OMG983140 OWC983132:OWC983140 PFY983132:PFY983140 PPU983132:PPU983140 PZQ983132:PZQ983140 QJM983132:QJM983140 QTI983132:QTI983140 RDE983132:RDE983140 RNA983132:RNA983140 RWW983132:RWW983140 SGS983132:SGS983140 SQO983132:SQO983140 TAK983132:TAK983140 TKG983132:TKG983140 TUC983132:TUC983140 UDY983132:UDY983140 UNU983132:UNU983140 UXQ983132:UXQ983140 VHM983132:VHM983140 VRI983132:VRI983140 WBE983132:WBE983140 WLA983132:WLA983140 WUW983132:WUW983140 IK54:IK78 SG54:SG78 ACC54:ACC78 ALY54:ALY78 AVU54:AVU78 BFQ54:BFQ78 BPM54:BPM78 BZI54:BZI78 CJE54:CJE78 CTA54:CTA78 DCW54:DCW78 DMS54:DMS78 DWO54:DWO78 EGK54:EGK78 EQG54:EQG78 FAC54:FAC78 FJY54:FJY78 FTU54:FTU78 GDQ54:GDQ78 GNM54:GNM78 GXI54:GXI78 HHE54:HHE78 HRA54:HRA78 IAW54:IAW78 IKS54:IKS78 IUO54:IUO78 JEK54:JEK78 JOG54:JOG78 JYC54:JYC78 KHY54:KHY78 KRU54:KRU78 LBQ54:LBQ78 LLM54:LLM78 LVI54:LVI78 MFE54:MFE78 MPA54:MPA78 MYW54:MYW78 NIS54:NIS78 NSO54:NSO78 OCK54:OCK78 OMG54:OMG78 OWC54:OWC78 PFY54:PFY78 PPU54:PPU78 PZQ54:PZQ78 QJM54:QJM78 QTI54:QTI78 RDE54:RDE78 RNA54:RNA78 RWW54:RWW78 SGS54:SGS78 SQO54:SQO78 TAK54:TAK78 TKG54:TKG78 TUC54:TUC78 UDY54:UDY78 UNU54:UNU78 UXQ54:UXQ78 VHM54:VHM78 VRI54:VRI78 WBE54:WBE78 WLA54:WLA78 WUW54:WUW78 IK65639:IK65647 SG65639:SG65647 ACC65639:ACC65647 ALY65639:ALY65647 AVU65639:AVU65647 BFQ65639:BFQ65647 BPM65639:BPM65647 BZI65639:BZI65647 CJE65639:CJE65647 CTA65639:CTA65647 DCW65639:DCW65647 DMS65639:DMS65647 DWO65639:DWO65647 EGK65639:EGK65647 EQG65639:EQG65647 FAC65639:FAC65647 FJY65639:FJY65647 FTU65639:FTU65647 GDQ65639:GDQ65647 GNM65639:GNM65647 GXI65639:GXI65647 HHE65639:HHE65647 HRA65639:HRA65647 IAW65639:IAW65647 IKS65639:IKS65647 IUO65639:IUO65647 JEK65639:JEK65647 JOG65639:JOG65647 JYC65639:JYC65647 KHY65639:KHY65647 KRU65639:KRU65647 LBQ65639:LBQ65647 LLM65639:LLM65647 LVI65639:LVI65647 MFE65639:MFE65647 MPA65639:MPA65647 MYW65639:MYW65647 NIS65639:NIS65647 NSO65639:NSO65647 OCK65639:OCK65647 OMG65639:OMG65647 OWC65639:OWC65647 PFY65639:PFY65647 PPU65639:PPU65647 PZQ65639:PZQ65647 QJM65639:QJM65647 QTI65639:QTI65647 RDE65639:RDE65647 RNA65639:RNA65647 RWW65639:RWW65647 SGS65639:SGS65647 SQO65639:SQO65647 TAK65639:TAK65647 TKG65639:TKG65647 TUC65639:TUC65647 UDY65639:UDY65647 UNU65639:UNU65647 UXQ65639:UXQ65647 VHM65639:VHM65647 VRI65639:VRI65647 WBE65639:WBE65647 WLA65639:WLA65647 WUW65639:WUW65647 IK131175:IK131183 SG131175:SG131183 ACC131175:ACC131183 ALY131175:ALY131183 AVU131175:AVU131183 BFQ131175:BFQ131183 BPM131175:BPM131183 BZI131175:BZI131183 CJE131175:CJE131183 CTA131175:CTA131183 DCW131175:DCW131183 DMS131175:DMS131183 DWO131175:DWO131183 EGK131175:EGK131183 EQG131175:EQG131183 FAC131175:FAC131183 FJY131175:FJY131183 FTU131175:FTU131183 GDQ131175:GDQ131183 GNM131175:GNM131183 GXI131175:GXI131183 HHE131175:HHE131183 HRA131175:HRA131183 IAW131175:IAW131183 IKS131175:IKS131183 IUO131175:IUO131183 JEK131175:JEK131183 JOG131175:JOG131183 JYC131175:JYC131183 KHY131175:KHY131183 KRU131175:KRU131183 LBQ131175:LBQ131183 LLM131175:LLM131183 LVI131175:LVI131183 MFE131175:MFE131183 MPA131175:MPA131183 MYW131175:MYW131183 NIS131175:NIS131183 NSO131175:NSO131183 OCK131175:OCK131183 OMG131175:OMG131183 OWC131175:OWC131183 PFY131175:PFY131183 PPU131175:PPU131183 PZQ131175:PZQ131183 QJM131175:QJM131183 QTI131175:QTI131183 RDE131175:RDE131183 RNA131175:RNA131183 RWW131175:RWW131183 SGS131175:SGS131183 SQO131175:SQO131183 TAK131175:TAK131183 TKG131175:TKG131183 TUC131175:TUC131183 UDY131175:UDY131183 UNU131175:UNU131183 UXQ131175:UXQ131183 VHM131175:VHM131183 VRI131175:VRI131183 WBE131175:WBE131183 WLA131175:WLA131183 WUW131175:WUW131183 IK196711:IK196719 SG196711:SG196719 ACC196711:ACC196719 ALY196711:ALY196719 AVU196711:AVU196719 BFQ196711:BFQ196719 BPM196711:BPM196719 BZI196711:BZI196719 CJE196711:CJE196719 CTA196711:CTA196719 DCW196711:DCW196719 DMS196711:DMS196719 DWO196711:DWO196719 EGK196711:EGK196719 EQG196711:EQG196719 FAC196711:FAC196719 FJY196711:FJY196719 FTU196711:FTU196719 GDQ196711:GDQ196719 GNM196711:GNM196719 GXI196711:GXI196719 HHE196711:HHE196719 HRA196711:HRA196719 IAW196711:IAW196719 IKS196711:IKS196719 IUO196711:IUO196719 JEK196711:JEK196719 JOG196711:JOG196719 JYC196711:JYC196719 KHY196711:KHY196719 KRU196711:KRU196719 LBQ196711:LBQ196719 LLM196711:LLM196719 LVI196711:LVI196719 MFE196711:MFE196719 MPA196711:MPA196719 MYW196711:MYW196719 NIS196711:NIS196719 NSO196711:NSO196719 OCK196711:OCK196719 OMG196711:OMG196719 OWC196711:OWC196719 PFY196711:PFY196719 PPU196711:PPU196719 PZQ196711:PZQ196719 QJM196711:QJM196719 QTI196711:QTI196719 RDE196711:RDE196719 RNA196711:RNA196719 RWW196711:RWW196719 SGS196711:SGS196719 SQO196711:SQO196719 TAK196711:TAK196719 TKG196711:TKG196719 TUC196711:TUC196719 UDY196711:UDY196719 UNU196711:UNU196719 UXQ196711:UXQ196719 VHM196711:VHM196719 VRI196711:VRI196719 WBE196711:WBE196719 WLA196711:WLA196719 WUW196711:WUW196719 IK262247:IK262255 SG262247:SG262255 ACC262247:ACC262255 ALY262247:ALY262255 AVU262247:AVU262255 BFQ262247:BFQ262255 BPM262247:BPM262255 BZI262247:BZI262255 CJE262247:CJE262255 CTA262247:CTA262255 DCW262247:DCW262255 DMS262247:DMS262255 DWO262247:DWO262255 EGK262247:EGK262255 EQG262247:EQG262255 FAC262247:FAC262255 FJY262247:FJY262255 FTU262247:FTU262255 GDQ262247:GDQ262255 GNM262247:GNM262255 GXI262247:GXI262255 HHE262247:HHE262255 HRA262247:HRA262255 IAW262247:IAW262255 IKS262247:IKS262255 IUO262247:IUO262255 JEK262247:JEK262255 JOG262247:JOG262255 JYC262247:JYC262255 KHY262247:KHY262255 KRU262247:KRU262255 LBQ262247:LBQ262255 LLM262247:LLM262255 LVI262247:LVI262255 MFE262247:MFE262255 MPA262247:MPA262255 MYW262247:MYW262255 NIS262247:NIS262255 NSO262247:NSO262255 OCK262247:OCK262255 OMG262247:OMG262255 OWC262247:OWC262255 PFY262247:PFY262255 PPU262247:PPU262255 PZQ262247:PZQ262255 QJM262247:QJM262255 QTI262247:QTI262255 RDE262247:RDE262255 RNA262247:RNA262255 RWW262247:RWW262255 SGS262247:SGS262255 SQO262247:SQO262255 TAK262247:TAK262255 TKG262247:TKG262255 TUC262247:TUC262255 UDY262247:UDY262255 UNU262247:UNU262255 UXQ262247:UXQ262255 VHM262247:VHM262255 VRI262247:VRI262255 WBE262247:WBE262255 WLA262247:WLA262255 WUW262247:WUW262255 IK327783:IK327791 SG327783:SG327791 ACC327783:ACC327791 ALY327783:ALY327791 AVU327783:AVU327791 BFQ327783:BFQ327791 BPM327783:BPM327791 BZI327783:BZI327791 CJE327783:CJE327791 CTA327783:CTA327791 DCW327783:DCW327791 DMS327783:DMS327791 DWO327783:DWO327791 EGK327783:EGK327791 EQG327783:EQG327791 FAC327783:FAC327791 FJY327783:FJY327791 FTU327783:FTU327791 GDQ327783:GDQ327791 GNM327783:GNM327791 GXI327783:GXI327791 HHE327783:HHE327791 HRA327783:HRA327791 IAW327783:IAW327791 IKS327783:IKS327791 IUO327783:IUO327791 JEK327783:JEK327791 JOG327783:JOG327791 JYC327783:JYC327791 KHY327783:KHY327791 KRU327783:KRU327791 LBQ327783:LBQ327791 LLM327783:LLM327791 LVI327783:LVI327791 MFE327783:MFE327791 MPA327783:MPA327791 MYW327783:MYW327791 NIS327783:NIS327791 NSO327783:NSO327791 OCK327783:OCK327791 OMG327783:OMG327791 OWC327783:OWC327791 PFY327783:PFY327791 PPU327783:PPU327791 PZQ327783:PZQ327791 QJM327783:QJM327791 QTI327783:QTI327791 RDE327783:RDE327791 RNA327783:RNA327791 RWW327783:RWW327791 SGS327783:SGS327791 SQO327783:SQO327791 TAK327783:TAK327791 TKG327783:TKG327791 TUC327783:TUC327791 UDY327783:UDY327791 UNU327783:UNU327791 UXQ327783:UXQ327791 VHM327783:VHM327791 VRI327783:VRI327791 WBE327783:WBE327791 WLA327783:WLA327791 WUW327783:WUW327791 IK393319:IK393327 SG393319:SG393327 ACC393319:ACC393327 ALY393319:ALY393327 AVU393319:AVU393327 BFQ393319:BFQ393327 BPM393319:BPM393327 BZI393319:BZI393327 CJE393319:CJE393327 CTA393319:CTA393327 DCW393319:DCW393327 DMS393319:DMS393327 DWO393319:DWO393327 EGK393319:EGK393327 EQG393319:EQG393327 FAC393319:FAC393327 FJY393319:FJY393327 FTU393319:FTU393327 GDQ393319:GDQ393327 GNM393319:GNM393327 GXI393319:GXI393327 HHE393319:HHE393327 HRA393319:HRA393327 IAW393319:IAW393327 IKS393319:IKS393327 IUO393319:IUO393327 JEK393319:JEK393327 JOG393319:JOG393327 JYC393319:JYC393327 KHY393319:KHY393327 KRU393319:KRU393327 LBQ393319:LBQ393327 LLM393319:LLM393327 LVI393319:LVI393327 MFE393319:MFE393327 MPA393319:MPA393327 MYW393319:MYW393327 NIS393319:NIS393327 NSO393319:NSO393327 OCK393319:OCK393327 OMG393319:OMG393327 OWC393319:OWC393327 PFY393319:PFY393327 PPU393319:PPU393327 PZQ393319:PZQ393327 QJM393319:QJM393327 QTI393319:QTI393327 RDE393319:RDE393327 RNA393319:RNA393327 RWW393319:RWW393327 SGS393319:SGS393327 SQO393319:SQO393327 TAK393319:TAK393327 TKG393319:TKG393327 TUC393319:TUC393327 UDY393319:UDY393327 UNU393319:UNU393327 UXQ393319:UXQ393327 VHM393319:VHM393327 VRI393319:VRI393327 WBE393319:WBE393327 WLA393319:WLA393327 WUW393319:WUW393327 IK458855:IK458863 SG458855:SG458863 ACC458855:ACC458863 ALY458855:ALY458863 AVU458855:AVU458863 BFQ458855:BFQ458863 BPM458855:BPM458863 BZI458855:BZI458863 CJE458855:CJE458863 CTA458855:CTA458863 DCW458855:DCW458863 DMS458855:DMS458863 DWO458855:DWO458863 EGK458855:EGK458863 EQG458855:EQG458863 FAC458855:FAC458863 FJY458855:FJY458863 FTU458855:FTU458863 GDQ458855:GDQ458863 GNM458855:GNM458863 GXI458855:GXI458863 HHE458855:HHE458863 HRA458855:HRA458863 IAW458855:IAW458863 IKS458855:IKS458863 IUO458855:IUO458863 JEK458855:JEK458863 JOG458855:JOG458863 JYC458855:JYC458863 KHY458855:KHY458863 KRU458855:KRU458863 LBQ458855:LBQ458863 LLM458855:LLM458863 LVI458855:LVI458863 MFE458855:MFE458863 MPA458855:MPA458863 MYW458855:MYW458863 NIS458855:NIS458863 NSO458855:NSO458863 OCK458855:OCK458863 OMG458855:OMG458863 OWC458855:OWC458863 PFY458855:PFY458863 PPU458855:PPU458863 PZQ458855:PZQ458863 QJM458855:QJM458863 QTI458855:QTI458863 RDE458855:RDE458863 RNA458855:RNA458863 RWW458855:RWW458863 SGS458855:SGS458863 SQO458855:SQO458863 TAK458855:TAK458863 TKG458855:TKG458863 TUC458855:TUC458863 UDY458855:UDY458863 UNU458855:UNU458863 UXQ458855:UXQ458863 VHM458855:VHM458863 VRI458855:VRI458863 WBE458855:WBE458863 WLA458855:WLA458863 WUW458855:WUW458863 IK524391:IK524399 SG524391:SG524399 ACC524391:ACC524399 ALY524391:ALY524399 AVU524391:AVU524399 BFQ524391:BFQ524399 BPM524391:BPM524399 BZI524391:BZI524399 CJE524391:CJE524399 CTA524391:CTA524399 DCW524391:DCW524399 DMS524391:DMS524399 DWO524391:DWO524399 EGK524391:EGK524399 EQG524391:EQG524399 FAC524391:FAC524399 FJY524391:FJY524399 FTU524391:FTU524399 GDQ524391:GDQ524399 GNM524391:GNM524399 GXI524391:GXI524399 HHE524391:HHE524399 HRA524391:HRA524399 IAW524391:IAW524399 IKS524391:IKS524399 IUO524391:IUO524399 JEK524391:JEK524399 JOG524391:JOG524399 JYC524391:JYC524399 KHY524391:KHY524399 KRU524391:KRU524399 LBQ524391:LBQ524399 LLM524391:LLM524399 LVI524391:LVI524399 MFE524391:MFE524399 MPA524391:MPA524399 MYW524391:MYW524399 NIS524391:NIS524399 NSO524391:NSO524399 OCK524391:OCK524399 OMG524391:OMG524399 OWC524391:OWC524399 PFY524391:PFY524399 PPU524391:PPU524399 PZQ524391:PZQ524399 QJM524391:QJM524399 QTI524391:QTI524399 RDE524391:RDE524399 RNA524391:RNA524399 RWW524391:RWW524399 SGS524391:SGS524399 SQO524391:SQO524399 TAK524391:TAK524399 TKG524391:TKG524399 TUC524391:TUC524399 UDY524391:UDY524399 UNU524391:UNU524399 UXQ524391:UXQ524399 VHM524391:VHM524399 VRI524391:VRI524399 WBE524391:WBE524399 WLA524391:WLA524399 WUW524391:WUW524399 IK589927:IK589935 SG589927:SG589935 ACC589927:ACC589935 ALY589927:ALY589935 AVU589927:AVU589935 BFQ589927:BFQ589935 BPM589927:BPM589935 BZI589927:BZI589935 CJE589927:CJE589935 CTA589927:CTA589935 DCW589927:DCW589935 DMS589927:DMS589935 DWO589927:DWO589935 EGK589927:EGK589935 EQG589927:EQG589935 FAC589927:FAC589935 FJY589927:FJY589935 FTU589927:FTU589935 GDQ589927:GDQ589935 GNM589927:GNM589935 GXI589927:GXI589935 HHE589927:HHE589935 HRA589927:HRA589935 IAW589927:IAW589935 IKS589927:IKS589935 IUO589927:IUO589935 JEK589927:JEK589935 JOG589927:JOG589935 JYC589927:JYC589935 KHY589927:KHY589935 KRU589927:KRU589935 LBQ589927:LBQ589935 LLM589927:LLM589935 LVI589927:LVI589935 MFE589927:MFE589935 MPA589927:MPA589935 MYW589927:MYW589935 NIS589927:NIS589935 NSO589927:NSO589935 OCK589927:OCK589935 OMG589927:OMG589935 OWC589927:OWC589935 PFY589927:PFY589935 PPU589927:PPU589935 PZQ589927:PZQ589935 QJM589927:QJM589935 QTI589927:QTI589935 RDE589927:RDE589935 RNA589927:RNA589935 RWW589927:RWW589935 SGS589927:SGS589935 SQO589927:SQO589935 TAK589927:TAK589935 TKG589927:TKG589935 TUC589927:TUC589935 UDY589927:UDY589935 UNU589927:UNU589935 UXQ589927:UXQ589935 VHM589927:VHM589935 VRI589927:VRI589935 WBE589927:WBE589935 WLA589927:WLA589935 WUW589927:WUW589935 IK655463:IK655471 SG655463:SG655471 ACC655463:ACC655471 ALY655463:ALY655471 AVU655463:AVU655471 BFQ655463:BFQ655471 BPM655463:BPM655471 BZI655463:BZI655471 CJE655463:CJE655471 CTA655463:CTA655471 DCW655463:DCW655471 DMS655463:DMS655471 DWO655463:DWO655471 EGK655463:EGK655471 EQG655463:EQG655471 FAC655463:FAC655471 FJY655463:FJY655471 FTU655463:FTU655471 GDQ655463:GDQ655471 GNM655463:GNM655471 GXI655463:GXI655471 HHE655463:HHE655471 HRA655463:HRA655471 IAW655463:IAW655471 IKS655463:IKS655471 IUO655463:IUO655471 JEK655463:JEK655471 JOG655463:JOG655471 JYC655463:JYC655471 KHY655463:KHY655471 KRU655463:KRU655471 LBQ655463:LBQ655471 LLM655463:LLM655471 LVI655463:LVI655471 MFE655463:MFE655471 MPA655463:MPA655471 MYW655463:MYW655471 NIS655463:NIS655471 NSO655463:NSO655471 OCK655463:OCK655471 OMG655463:OMG655471 OWC655463:OWC655471 PFY655463:PFY655471 PPU655463:PPU655471 PZQ655463:PZQ655471 QJM655463:QJM655471 QTI655463:QTI655471 RDE655463:RDE655471 RNA655463:RNA655471 RWW655463:RWW655471 SGS655463:SGS655471 SQO655463:SQO655471 TAK655463:TAK655471 TKG655463:TKG655471 TUC655463:TUC655471 UDY655463:UDY655471 UNU655463:UNU655471 UXQ655463:UXQ655471 VHM655463:VHM655471 VRI655463:VRI655471 WBE655463:WBE655471 WLA655463:WLA655471 WUW655463:WUW655471 IK720999:IK721007 SG720999:SG721007 ACC720999:ACC721007 ALY720999:ALY721007 AVU720999:AVU721007 BFQ720999:BFQ721007 BPM720999:BPM721007 BZI720999:BZI721007 CJE720999:CJE721007 CTA720999:CTA721007 DCW720999:DCW721007 DMS720999:DMS721007 DWO720999:DWO721007 EGK720999:EGK721007 EQG720999:EQG721007 FAC720999:FAC721007 FJY720999:FJY721007 FTU720999:FTU721007 GDQ720999:GDQ721007 GNM720999:GNM721007 GXI720999:GXI721007 HHE720999:HHE721007 HRA720999:HRA721007 IAW720999:IAW721007 IKS720999:IKS721007 IUO720999:IUO721007 JEK720999:JEK721007 JOG720999:JOG721007 JYC720999:JYC721007 KHY720999:KHY721007 KRU720999:KRU721007 LBQ720999:LBQ721007 LLM720999:LLM721007 LVI720999:LVI721007 MFE720999:MFE721007 MPA720999:MPA721007 MYW720999:MYW721007 NIS720999:NIS721007 NSO720999:NSO721007 OCK720999:OCK721007 OMG720999:OMG721007 OWC720999:OWC721007 PFY720999:PFY721007 PPU720999:PPU721007 PZQ720999:PZQ721007 QJM720999:QJM721007 QTI720999:QTI721007 RDE720999:RDE721007 RNA720999:RNA721007 RWW720999:RWW721007 SGS720999:SGS721007 SQO720999:SQO721007 TAK720999:TAK721007 TKG720999:TKG721007 TUC720999:TUC721007 UDY720999:UDY721007 UNU720999:UNU721007 UXQ720999:UXQ721007 VHM720999:VHM721007 VRI720999:VRI721007 WBE720999:WBE721007 WLA720999:WLA721007 WUW720999:WUW721007 IK786535:IK786543 SG786535:SG786543 ACC786535:ACC786543 ALY786535:ALY786543 AVU786535:AVU786543 BFQ786535:BFQ786543 BPM786535:BPM786543 BZI786535:BZI786543 CJE786535:CJE786543 CTA786535:CTA786543 DCW786535:DCW786543 DMS786535:DMS786543 DWO786535:DWO786543 EGK786535:EGK786543 EQG786535:EQG786543 FAC786535:FAC786543 FJY786535:FJY786543 FTU786535:FTU786543 GDQ786535:GDQ786543 GNM786535:GNM786543 GXI786535:GXI786543 HHE786535:HHE786543 HRA786535:HRA786543 IAW786535:IAW786543 IKS786535:IKS786543 IUO786535:IUO786543 JEK786535:JEK786543 JOG786535:JOG786543 JYC786535:JYC786543 KHY786535:KHY786543 KRU786535:KRU786543 LBQ786535:LBQ786543 LLM786535:LLM786543 LVI786535:LVI786543 MFE786535:MFE786543 MPA786535:MPA786543 MYW786535:MYW786543 NIS786535:NIS786543 NSO786535:NSO786543 OCK786535:OCK786543 OMG786535:OMG786543 OWC786535:OWC786543 PFY786535:PFY786543 PPU786535:PPU786543 PZQ786535:PZQ786543 QJM786535:QJM786543 QTI786535:QTI786543 RDE786535:RDE786543 RNA786535:RNA786543 RWW786535:RWW786543 SGS786535:SGS786543 SQO786535:SQO786543 TAK786535:TAK786543 TKG786535:TKG786543 TUC786535:TUC786543 UDY786535:UDY786543 UNU786535:UNU786543 UXQ786535:UXQ786543 VHM786535:VHM786543 VRI786535:VRI786543 WBE786535:WBE786543 WLA786535:WLA786543 WUW786535:WUW786543 IK852071:IK852079 SG852071:SG852079 ACC852071:ACC852079 ALY852071:ALY852079 AVU852071:AVU852079 BFQ852071:BFQ852079 BPM852071:BPM852079 BZI852071:BZI852079 CJE852071:CJE852079 CTA852071:CTA852079 DCW852071:DCW852079 DMS852071:DMS852079 DWO852071:DWO852079 EGK852071:EGK852079 EQG852071:EQG852079 FAC852071:FAC852079 FJY852071:FJY852079 FTU852071:FTU852079 GDQ852071:GDQ852079 GNM852071:GNM852079 GXI852071:GXI852079 HHE852071:HHE852079 HRA852071:HRA852079 IAW852071:IAW852079 IKS852071:IKS852079 IUO852071:IUO852079 JEK852071:JEK852079 JOG852071:JOG852079 JYC852071:JYC852079 KHY852071:KHY852079 KRU852071:KRU852079 LBQ852071:LBQ852079 LLM852071:LLM852079 LVI852071:LVI852079 MFE852071:MFE852079 MPA852071:MPA852079 MYW852071:MYW852079 NIS852071:NIS852079 NSO852071:NSO852079 OCK852071:OCK852079 OMG852071:OMG852079 OWC852071:OWC852079 PFY852071:PFY852079 PPU852071:PPU852079 PZQ852071:PZQ852079 QJM852071:QJM852079 QTI852071:QTI852079 RDE852071:RDE852079 RNA852071:RNA852079 RWW852071:RWW852079 SGS852071:SGS852079 SQO852071:SQO852079 TAK852071:TAK852079 TKG852071:TKG852079 TUC852071:TUC852079 UDY852071:UDY852079 UNU852071:UNU852079 UXQ852071:UXQ852079 VHM852071:VHM852079 VRI852071:VRI852079 WBE852071:WBE852079 WLA852071:WLA852079 WUW852071:WUW852079 IK917607:IK917615 SG917607:SG917615 ACC917607:ACC917615 ALY917607:ALY917615 AVU917607:AVU917615 BFQ917607:BFQ917615 BPM917607:BPM917615 BZI917607:BZI917615 CJE917607:CJE917615 CTA917607:CTA917615 DCW917607:DCW917615 DMS917607:DMS917615 DWO917607:DWO917615 EGK917607:EGK917615 EQG917607:EQG917615 FAC917607:FAC917615 FJY917607:FJY917615 FTU917607:FTU917615 GDQ917607:GDQ917615 GNM917607:GNM917615 GXI917607:GXI917615 HHE917607:HHE917615 HRA917607:HRA917615 IAW917607:IAW917615 IKS917607:IKS917615 IUO917607:IUO917615 JEK917607:JEK917615 JOG917607:JOG917615 JYC917607:JYC917615 KHY917607:KHY917615 KRU917607:KRU917615 LBQ917607:LBQ917615 LLM917607:LLM917615 LVI917607:LVI917615 MFE917607:MFE917615 MPA917607:MPA917615 MYW917607:MYW917615 NIS917607:NIS917615 NSO917607:NSO917615 OCK917607:OCK917615 OMG917607:OMG917615 OWC917607:OWC917615 PFY917607:PFY917615 PPU917607:PPU917615 PZQ917607:PZQ917615 QJM917607:QJM917615 QTI917607:QTI917615 RDE917607:RDE917615 RNA917607:RNA917615 RWW917607:RWW917615 SGS917607:SGS917615 SQO917607:SQO917615 TAK917607:TAK917615 TKG917607:TKG917615 TUC917607:TUC917615 UDY917607:UDY917615 UNU917607:UNU917615 UXQ917607:UXQ917615 VHM917607:VHM917615 VRI917607:VRI917615 WBE917607:WBE917615 WLA917607:WLA917615 WUW917607:WUW917615 IK983143:IK983151 SG983143:SG983151 ACC983143:ACC983151 ALY983143:ALY983151 AVU983143:AVU983151 BFQ983143:BFQ983151 BPM983143:BPM983151 BZI983143:BZI983151 CJE983143:CJE983151 CTA983143:CTA983151 DCW983143:DCW983151 DMS983143:DMS983151 DWO983143:DWO983151 EGK983143:EGK983151 EQG983143:EQG983151 FAC983143:FAC983151 FJY983143:FJY983151 FTU983143:FTU983151 GDQ983143:GDQ983151 GNM983143:GNM983151 GXI983143:GXI983151 HHE983143:HHE983151 HRA983143:HRA983151 IAW983143:IAW983151 IKS983143:IKS983151 IUO983143:IUO983151 JEK983143:JEK983151 JOG983143:JOG983151 JYC983143:JYC983151 KHY983143:KHY983151 KRU983143:KRU983151 LBQ983143:LBQ983151 LLM983143:LLM983151 LVI983143:LVI983151 MFE983143:MFE983151 MPA983143:MPA983151 MYW983143:MYW983151 NIS983143:NIS983151 NSO983143:NSO983151 OCK983143:OCK983151 OMG983143:OMG983151 OWC983143:OWC983151 PFY983143:PFY983151 PPU983143:PPU983151 PZQ983143:PZQ983151 QJM983143:QJM983151 QTI983143:QTI983151 RDE983143:RDE983151 RNA983143:RNA983151 RWW983143:RWW983151 SGS983143:SGS983151 SQO983143:SQO983151 TAK983143:TAK983151 TKG983143:TKG983151 TUC983143:TUC983151 UDY983143:UDY983151 UNU983143:UNU983151 UXQ983143:UXQ983151 VHM983143:VHM983151 VRI983143:VRI983151 WBE983143:WBE983151 WLA983143:WLA983151 WUW983143:WUW983151 E11:E27" xr:uid="{9C19EF10-7866-4482-825A-B2ADC41E40DF}"/>
    <dataValidation allowBlank="1" showInputMessage="1" showErrorMessage="1" prompt="traer el valor definido en la hoja &quot;honorarios Corporativos&quot;" sqref="WUX983143:WUX983151 IL11:IL51 SH11:SH51 ACD11:ACD51 ALZ11:ALZ51 AVV11:AVV51 BFR11:BFR51 BPN11:BPN51 BZJ11:BZJ51 CJF11:CJF51 CTB11:CTB51 DCX11:DCX51 DMT11:DMT51 DWP11:DWP51 EGL11:EGL51 EQH11:EQH51 FAD11:FAD51 FJZ11:FJZ51 FTV11:FTV51 GDR11:GDR51 GNN11:GNN51 GXJ11:GXJ51 HHF11:HHF51 HRB11:HRB51 IAX11:IAX51 IKT11:IKT51 IUP11:IUP51 JEL11:JEL51 JOH11:JOH51 JYD11:JYD51 KHZ11:KHZ51 KRV11:KRV51 LBR11:LBR51 LLN11:LLN51 LVJ11:LVJ51 MFF11:MFF51 MPB11:MPB51 MYX11:MYX51 NIT11:NIT51 NSP11:NSP51 OCL11:OCL51 OMH11:OMH51 OWD11:OWD51 PFZ11:PFZ51 PPV11:PPV51 PZR11:PZR51 QJN11:QJN51 QTJ11:QTJ51 RDF11:RDF51 RNB11:RNB51 RWX11:RWX51 SGT11:SGT51 SQP11:SQP51 TAL11:TAL51 TKH11:TKH51 TUD11:TUD51 UDZ11:UDZ51 UNV11:UNV51 UXR11:UXR51 VHN11:VHN51 VRJ11:VRJ51 WBF11:WBF51 WLB11:WLB51 WUX11:WUX51 E65628:E65636 IL65628:IL65636 SH65628:SH65636 ACD65628:ACD65636 ALZ65628:ALZ65636 AVV65628:AVV65636 BFR65628:BFR65636 BPN65628:BPN65636 BZJ65628:BZJ65636 CJF65628:CJF65636 CTB65628:CTB65636 DCX65628:DCX65636 DMT65628:DMT65636 DWP65628:DWP65636 EGL65628:EGL65636 EQH65628:EQH65636 FAD65628:FAD65636 FJZ65628:FJZ65636 FTV65628:FTV65636 GDR65628:GDR65636 GNN65628:GNN65636 GXJ65628:GXJ65636 HHF65628:HHF65636 HRB65628:HRB65636 IAX65628:IAX65636 IKT65628:IKT65636 IUP65628:IUP65636 JEL65628:JEL65636 JOH65628:JOH65636 JYD65628:JYD65636 KHZ65628:KHZ65636 KRV65628:KRV65636 LBR65628:LBR65636 LLN65628:LLN65636 LVJ65628:LVJ65636 MFF65628:MFF65636 MPB65628:MPB65636 MYX65628:MYX65636 NIT65628:NIT65636 NSP65628:NSP65636 OCL65628:OCL65636 OMH65628:OMH65636 OWD65628:OWD65636 PFZ65628:PFZ65636 PPV65628:PPV65636 PZR65628:PZR65636 QJN65628:QJN65636 QTJ65628:QTJ65636 RDF65628:RDF65636 RNB65628:RNB65636 RWX65628:RWX65636 SGT65628:SGT65636 SQP65628:SQP65636 TAL65628:TAL65636 TKH65628:TKH65636 TUD65628:TUD65636 UDZ65628:UDZ65636 UNV65628:UNV65636 UXR65628:UXR65636 VHN65628:VHN65636 VRJ65628:VRJ65636 WBF65628:WBF65636 WLB65628:WLB65636 WUX65628:WUX65636 E131164:E131172 IL131164:IL131172 SH131164:SH131172 ACD131164:ACD131172 ALZ131164:ALZ131172 AVV131164:AVV131172 BFR131164:BFR131172 BPN131164:BPN131172 BZJ131164:BZJ131172 CJF131164:CJF131172 CTB131164:CTB131172 DCX131164:DCX131172 DMT131164:DMT131172 DWP131164:DWP131172 EGL131164:EGL131172 EQH131164:EQH131172 FAD131164:FAD131172 FJZ131164:FJZ131172 FTV131164:FTV131172 GDR131164:GDR131172 GNN131164:GNN131172 GXJ131164:GXJ131172 HHF131164:HHF131172 HRB131164:HRB131172 IAX131164:IAX131172 IKT131164:IKT131172 IUP131164:IUP131172 JEL131164:JEL131172 JOH131164:JOH131172 JYD131164:JYD131172 KHZ131164:KHZ131172 KRV131164:KRV131172 LBR131164:LBR131172 LLN131164:LLN131172 LVJ131164:LVJ131172 MFF131164:MFF131172 MPB131164:MPB131172 MYX131164:MYX131172 NIT131164:NIT131172 NSP131164:NSP131172 OCL131164:OCL131172 OMH131164:OMH131172 OWD131164:OWD131172 PFZ131164:PFZ131172 PPV131164:PPV131172 PZR131164:PZR131172 QJN131164:QJN131172 QTJ131164:QTJ131172 RDF131164:RDF131172 RNB131164:RNB131172 RWX131164:RWX131172 SGT131164:SGT131172 SQP131164:SQP131172 TAL131164:TAL131172 TKH131164:TKH131172 TUD131164:TUD131172 UDZ131164:UDZ131172 UNV131164:UNV131172 UXR131164:UXR131172 VHN131164:VHN131172 VRJ131164:VRJ131172 WBF131164:WBF131172 WLB131164:WLB131172 WUX131164:WUX131172 E196700:E196708 IL196700:IL196708 SH196700:SH196708 ACD196700:ACD196708 ALZ196700:ALZ196708 AVV196700:AVV196708 BFR196700:BFR196708 BPN196700:BPN196708 BZJ196700:BZJ196708 CJF196700:CJF196708 CTB196700:CTB196708 DCX196700:DCX196708 DMT196700:DMT196708 DWP196700:DWP196708 EGL196700:EGL196708 EQH196700:EQH196708 FAD196700:FAD196708 FJZ196700:FJZ196708 FTV196700:FTV196708 GDR196700:GDR196708 GNN196700:GNN196708 GXJ196700:GXJ196708 HHF196700:HHF196708 HRB196700:HRB196708 IAX196700:IAX196708 IKT196700:IKT196708 IUP196700:IUP196708 JEL196700:JEL196708 JOH196700:JOH196708 JYD196700:JYD196708 KHZ196700:KHZ196708 KRV196700:KRV196708 LBR196700:LBR196708 LLN196700:LLN196708 LVJ196700:LVJ196708 MFF196700:MFF196708 MPB196700:MPB196708 MYX196700:MYX196708 NIT196700:NIT196708 NSP196700:NSP196708 OCL196700:OCL196708 OMH196700:OMH196708 OWD196700:OWD196708 PFZ196700:PFZ196708 PPV196700:PPV196708 PZR196700:PZR196708 QJN196700:QJN196708 QTJ196700:QTJ196708 RDF196700:RDF196708 RNB196700:RNB196708 RWX196700:RWX196708 SGT196700:SGT196708 SQP196700:SQP196708 TAL196700:TAL196708 TKH196700:TKH196708 TUD196700:TUD196708 UDZ196700:UDZ196708 UNV196700:UNV196708 UXR196700:UXR196708 VHN196700:VHN196708 VRJ196700:VRJ196708 WBF196700:WBF196708 WLB196700:WLB196708 WUX196700:WUX196708 E262236:E262244 IL262236:IL262244 SH262236:SH262244 ACD262236:ACD262244 ALZ262236:ALZ262244 AVV262236:AVV262244 BFR262236:BFR262244 BPN262236:BPN262244 BZJ262236:BZJ262244 CJF262236:CJF262244 CTB262236:CTB262244 DCX262236:DCX262244 DMT262236:DMT262244 DWP262236:DWP262244 EGL262236:EGL262244 EQH262236:EQH262244 FAD262236:FAD262244 FJZ262236:FJZ262244 FTV262236:FTV262244 GDR262236:GDR262244 GNN262236:GNN262244 GXJ262236:GXJ262244 HHF262236:HHF262244 HRB262236:HRB262244 IAX262236:IAX262244 IKT262236:IKT262244 IUP262236:IUP262244 JEL262236:JEL262244 JOH262236:JOH262244 JYD262236:JYD262244 KHZ262236:KHZ262244 KRV262236:KRV262244 LBR262236:LBR262244 LLN262236:LLN262244 LVJ262236:LVJ262244 MFF262236:MFF262244 MPB262236:MPB262244 MYX262236:MYX262244 NIT262236:NIT262244 NSP262236:NSP262244 OCL262236:OCL262244 OMH262236:OMH262244 OWD262236:OWD262244 PFZ262236:PFZ262244 PPV262236:PPV262244 PZR262236:PZR262244 QJN262236:QJN262244 QTJ262236:QTJ262244 RDF262236:RDF262244 RNB262236:RNB262244 RWX262236:RWX262244 SGT262236:SGT262244 SQP262236:SQP262244 TAL262236:TAL262244 TKH262236:TKH262244 TUD262236:TUD262244 UDZ262236:UDZ262244 UNV262236:UNV262244 UXR262236:UXR262244 VHN262236:VHN262244 VRJ262236:VRJ262244 WBF262236:WBF262244 WLB262236:WLB262244 WUX262236:WUX262244 E327772:E327780 IL327772:IL327780 SH327772:SH327780 ACD327772:ACD327780 ALZ327772:ALZ327780 AVV327772:AVV327780 BFR327772:BFR327780 BPN327772:BPN327780 BZJ327772:BZJ327780 CJF327772:CJF327780 CTB327772:CTB327780 DCX327772:DCX327780 DMT327772:DMT327780 DWP327772:DWP327780 EGL327772:EGL327780 EQH327772:EQH327780 FAD327772:FAD327780 FJZ327772:FJZ327780 FTV327772:FTV327780 GDR327772:GDR327780 GNN327772:GNN327780 GXJ327772:GXJ327780 HHF327772:HHF327780 HRB327772:HRB327780 IAX327772:IAX327780 IKT327772:IKT327780 IUP327772:IUP327780 JEL327772:JEL327780 JOH327772:JOH327780 JYD327772:JYD327780 KHZ327772:KHZ327780 KRV327772:KRV327780 LBR327772:LBR327780 LLN327772:LLN327780 LVJ327772:LVJ327780 MFF327772:MFF327780 MPB327772:MPB327780 MYX327772:MYX327780 NIT327772:NIT327780 NSP327772:NSP327780 OCL327772:OCL327780 OMH327772:OMH327780 OWD327772:OWD327780 PFZ327772:PFZ327780 PPV327772:PPV327780 PZR327772:PZR327780 QJN327772:QJN327780 QTJ327772:QTJ327780 RDF327772:RDF327780 RNB327772:RNB327780 RWX327772:RWX327780 SGT327772:SGT327780 SQP327772:SQP327780 TAL327772:TAL327780 TKH327772:TKH327780 TUD327772:TUD327780 UDZ327772:UDZ327780 UNV327772:UNV327780 UXR327772:UXR327780 VHN327772:VHN327780 VRJ327772:VRJ327780 WBF327772:WBF327780 WLB327772:WLB327780 WUX327772:WUX327780 E393308:E393316 IL393308:IL393316 SH393308:SH393316 ACD393308:ACD393316 ALZ393308:ALZ393316 AVV393308:AVV393316 BFR393308:BFR393316 BPN393308:BPN393316 BZJ393308:BZJ393316 CJF393308:CJF393316 CTB393308:CTB393316 DCX393308:DCX393316 DMT393308:DMT393316 DWP393308:DWP393316 EGL393308:EGL393316 EQH393308:EQH393316 FAD393308:FAD393316 FJZ393308:FJZ393316 FTV393308:FTV393316 GDR393308:GDR393316 GNN393308:GNN393316 GXJ393308:GXJ393316 HHF393308:HHF393316 HRB393308:HRB393316 IAX393308:IAX393316 IKT393308:IKT393316 IUP393308:IUP393316 JEL393308:JEL393316 JOH393308:JOH393316 JYD393308:JYD393316 KHZ393308:KHZ393316 KRV393308:KRV393316 LBR393308:LBR393316 LLN393308:LLN393316 LVJ393308:LVJ393316 MFF393308:MFF393316 MPB393308:MPB393316 MYX393308:MYX393316 NIT393308:NIT393316 NSP393308:NSP393316 OCL393308:OCL393316 OMH393308:OMH393316 OWD393308:OWD393316 PFZ393308:PFZ393316 PPV393308:PPV393316 PZR393308:PZR393316 QJN393308:QJN393316 QTJ393308:QTJ393316 RDF393308:RDF393316 RNB393308:RNB393316 RWX393308:RWX393316 SGT393308:SGT393316 SQP393308:SQP393316 TAL393308:TAL393316 TKH393308:TKH393316 TUD393308:TUD393316 UDZ393308:UDZ393316 UNV393308:UNV393316 UXR393308:UXR393316 VHN393308:VHN393316 VRJ393308:VRJ393316 WBF393308:WBF393316 WLB393308:WLB393316 WUX393308:WUX393316 E458844:E458852 IL458844:IL458852 SH458844:SH458852 ACD458844:ACD458852 ALZ458844:ALZ458852 AVV458844:AVV458852 BFR458844:BFR458852 BPN458844:BPN458852 BZJ458844:BZJ458852 CJF458844:CJF458852 CTB458844:CTB458852 DCX458844:DCX458852 DMT458844:DMT458852 DWP458844:DWP458852 EGL458844:EGL458852 EQH458844:EQH458852 FAD458844:FAD458852 FJZ458844:FJZ458852 FTV458844:FTV458852 GDR458844:GDR458852 GNN458844:GNN458852 GXJ458844:GXJ458852 HHF458844:HHF458852 HRB458844:HRB458852 IAX458844:IAX458852 IKT458844:IKT458852 IUP458844:IUP458852 JEL458844:JEL458852 JOH458844:JOH458852 JYD458844:JYD458852 KHZ458844:KHZ458852 KRV458844:KRV458852 LBR458844:LBR458852 LLN458844:LLN458852 LVJ458844:LVJ458852 MFF458844:MFF458852 MPB458844:MPB458852 MYX458844:MYX458852 NIT458844:NIT458852 NSP458844:NSP458852 OCL458844:OCL458852 OMH458844:OMH458852 OWD458844:OWD458852 PFZ458844:PFZ458852 PPV458844:PPV458852 PZR458844:PZR458852 QJN458844:QJN458852 QTJ458844:QTJ458852 RDF458844:RDF458852 RNB458844:RNB458852 RWX458844:RWX458852 SGT458844:SGT458852 SQP458844:SQP458852 TAL458844:TAL458852 TKH458844:TKH458852 TUD458844:TUD458852 UDZ458844:UDZ458852 UNV458844:UNV458852 UXR458844:UXR458852 VHN458844:VHN458852 VRJ458844:VRJ458852 WBF458844:WBF458852 WLB458844:WLB458852 WUX458844:WUX458852 E524380:E524388 IL524380:IL524388 SH524380:SH524388 ACD524380:ACD524388 ALZ524380:ALZ524388 AVV524380:AVV524388 BFR524380:BFR524388 BPN524380:BPN524388 BZJ524380:BZJ524388 CJF524380:CJF524388 CTB524380:CTB524388 DCX524380:DCX524388 DMT524380:DMT524388 DWP524380:DWP524388 EGL524380:EGL524388 EQH524380:EQH524388 FAD524380:FAD524388 FJZ524380:FJZ524388 FTV524380:FTV524388 GDR524380:GDR524388 GNN524380:GNN524388 GXJ524380:GXJ524388 HHF524380:HHF524388 HRB524380:HRB524388 IAX524380:IAX524388 IKT524380:IKT524388 IUP524380:IUP524388 JEL524380:JEL524388 JOH524380:JOH524388 JYD524380:JYD524388 KHZ524380:KHZ524388 KRV524380:KRV524388 LBR524380:LBR524388 LLN524380:LLN524388 LVJ524380:LVJ524388 MFF524380:MFF524388 MPB524380:MPB524388 MYX524380:MYX524388 NIT524380:NIT524388 NSP524380:NSP524388 OCL524380:OCL524388 OMH524380:OMH524388 OWD524380:OWD524388 PFZ524380:PFZ524388 PPV524380:PPV524388 PZR524380:PZR524388 QJN524380:QJN524388 QTJ524380:QTJ524388 RDF524380:RDF524388 RNB524380:RNB524388 RWX524380:RWX524388 SGT524380:SGT524388 SQP524380:SQP524388 TAL524380:TAL524388 TKH524380:TKH524388 TUD524380:TUD524388 UDZ524380:UDZ524388 UNV524380:UNV524388 UXR524380:UXR524388 VHN524380:VHN524388 VRJ524380:VRJ524388 WBF524380:WBF524388 WLB524380:WLB524388 WUX524380:WUX524388 E589916:E589924 IL589916:IL589924 SH589916:SH589924 ACD589916:ACD589924 ALZ589916:ALZ589924 AVV589916:AVV589924 BFR589916:BFR589924 BPN589916:BPN589924 BZJ589916:BZJ589924 CJF589916:CJF589924 CTB589916:CTB589924 DCX589916:DCX589924 DMT589916:DMT589924 DWP589916:DWP589924 EGL589916:EGL589924 EQH589916:EQH589924 FAD589916:FAD589924 FJZ589916:FJZ589924 FTV589916:FTV589924 GDR589916:GDR589924 GNN589916:GNN589924 GXJ589916:GXJ589924 HHF589916:HHF589924 HRB589916:HRB589924 IAX589916:IAX589924 IKT589916:IKT589924 IUP589916:IUP589924 JEL589916:JEL589924 JOH589916:JOH589924 JYD589916:JYD589924 KHZ589916:KHZ589924 KRV589916:KRV589924 LBR589916:LBR589924 LLN589916:LLN589924 LVJ589916:LVJ589924 MFF589916:MFF589924 MPB589916:MPB589924 MYX589916:MYX589924 NIT589916:NIT589924 NSP589916:NSP589924 OCL589916:OCL589924 OMH589916:OMH589924 OWD589916:OWD589924 PFZ589916:PFZ589924 PPV589916:PPV589924 PZR589916:PZR589924 QJN589916:QJN589924 QTJ589916:QTJ589924 RDF589916:RDF589924 RNB589916:RNB589924 RWX589916:RWX589924 SGT589916:SGT589924 SQP589916:SQP589924 TAL589916:TAL589924 TKH589916:TKH589924 TUD589916:TUD589924 UDZ589916:UDZ589924 UNV589916:UNV589924 UXR589916:UXR589924 VHN589916:VHN589924 VRJ589916:VRJ589924 WBF589916:WBF589924 WLB589916:WLB589924 WUX589916:WUX589924 E655452:E655460 IL655452:IL655460 SH655452:SH655460 ACD655452:ACD655460 ALZ655452:ALZ655460 AVV655452:AVV655460 BFR655452:BFR655460 BPN655452:BPN655460 BZJ655452:BZJ655460 CJF655452:CJF655460 CTB655452:CTB655460 DCX655452:DCX655460 DMT655452:DMT655460 DWP655452:DWP655460 EGL655452:EGL655460 EQH655452:EQH655460 FAD655452:FAD655460 FJZ655452:FJZ655460 FTV655452:FTV655460 GDR655452:GDR655460 GNN655452:GNN655460 GXJ655452:GXJ655460 HHF655452:HHF655460 HRB655452:HRB655460 IAX655452:IAX655460 IKT655452:IKT655460 IUP655452:IUP655460 JEL655452:JEL655460 JOH655452:JOH655460 JYD655452:JYD655460 KHZ655452:KHZ655460 KRV655452:KRV655460 LBR655452:LBR655460 LLN655452:LLN655460 LVJ655452:LVJ655460 MFF655452:MFF655460 MPB655452:MPB655460 MYX655452:MYX655460 NIT655452:NIT655460 NSP655452:NSP655460 OCL655452:OCL655460 OMH655452:OMH655460 OWD655452:OWD655460 PFZ655452:PFZ655460 PPV655452:PPV655460 PZR655452:PZR655460 QJN655452:QJN655460 QTJ655452:QTJ655460 RDF655452:RDF655460 RNB655452:RNB655460 RWX655452:RWX655460 SGT655452:SGT655460 SQP655452:SQP655460 TAL655452:TAL655460 TKH655452:TKH655460 TUD655452:TUD655460 UDZ655452:UDZ655460 UNV655452:UNV655460 UXR655452:UXR655460 VHN655452:VHN655460 VRJ655452:VRJ655460 WBF655452:WBF655460 WLB655452:WLB655460 WUX655452:WUX655460 E720988:E720996 IL720988:IL720996 SH720988:SH720996 ACD720988:ACD720996 ALZ720988:ALZ720996 AVV720988:AVV720996 BFR720988:BFR720996 BPN720988:BPN720996 BZJ720988:BZJ720996 CJF720988:CJF720996 CTB720988:CTB720996 DCX720988:DCX720996 DMT720988:DMT720996 DWP720988:DWP720996 EGL720988:EGL720996 EQH720988:EQH720996 FAD720988:FAD720996 FJZ720988:FJZ720996 FTV720988:FTV720996 GDR720988:GDR720996 GNN720988:GNN720996 GXJ720988:GXJ720996 HHF720988:HHF720996 HRB720988:HRB720996 IAX720988:IAX720996 IKT720988:IKT720996 IUP720988:IUP720996 JEL720988:JEL720996 JOH720988:JOH720996 JYD720988:JYD720996 KHZ720988:KHZ720996 KRV720988:KRV720996 LBR720988:LBR720996 LLN720988:LLN720996 LVJ720988:LVJ720996 MFF720988:MFF720996 MPB720988:MPB720996 MYX720988:MYX720996 NIT720988:NIT720996 NSP720988:NSP720996 OCL720988:OCL720996 OMH720988:OMH720996 OWD720988:OWD720996 PFZ720988:PFZ720996 PPV720988:PPV720996 PZR720988:PZR720996 QJN720988:QJN720996 QTJ720988:QTJ720996 RDF720988:RDF720996 RNB720988:RNB720996 RWX720988:RWX720996 SGT720988:SGT720996 SQP720988:SQP720996 TAL720988:TAL720996 TKH720988:TKH720996 TUD720988:TUD720996 UDZ720988:UDZ720996 UNV720988:UNV720996 UXR720988:UXR720996 VHN720988:VHN720996 VRJ720988:VRJ720996 WBF720988:WBF720996 WLB720988:WLB720996 WUX720988:WUX720996 E786524:E786532 IL786524:IL786532 SH786524:SH786532 ACD786524:ACD786532 ALZ786524:ALZ786532 AVV786524:AVV786532 BFR786524:BFR786532 BPN786524:BPN786532 BZJ786524:BZJ786532 CJF786524:CJF786532 CTB786524:CTB786532 DCX786524:DCX786532 DMT786524:DMT786532 DWP786524:DWP786532 EGL786524:EGL786532 EQH786524:EQH786532 FAD786524:FAD786532 FJZ786524:FJZ786532 FTV786524:FTV786532 GDR786524:GDR786532 GNN786524:GNN786532 GXJ786524:GXJ786532 HHF786524:HHF786532 HRB786524:HRB786532 IAX786524:IAX786532 IKT786524:IKT786532 IUP786524:IUP786532 JEL786524:JEL786532 JOH786524:JOH786532 JYD786524:JYD786532 KHZ786524:KHZ786532 KRV786524:KRV786532 LBR786524:LBR786532 LLN786524:LLN786532 LVJ786524:LVJ786532 MFF786524:MFF786532 MPB786524:MPB786532 MYX786524:MYX786532 NIT786524:NIT786532 NSP786524:NSP786532 OCL786524:OCL786532 OMH786524:OMH786532 OWD786524:OWD786532 PFZ786524:PFZ786532 PPV786524:PPV786532 PZR786524:PZR786532 QJN786524:QJN786532 QTJ786524:QTJ786532 RDF786524:RDF786532 RNB786524:RNB786532 RWX786524:RWX786532 SGT786524:SGT786532 SQP786524:SQP786532 TAL786524:TAL786532 TKH786524:TKH786532 TUD786524:TUD786532 UDZ786524:UDZ786532 UNV786524:UNV786532 UXR786524:UXR786532 VHN786524:VHN786532 VRJ786524:VRJ786532 WBF786524:WBF786532 WLB786524:WLB786532 WUX786524:WUX786532 E852060:E852068 IL852060:IL852068 SH852060:SH852068 ACD852060:ACD852068 ALZ852060:ALZ852068 AVV852060:AVV852068 BFR852060:BFR852068 BPN852060:BPN852068 BZJ852060:BZJ852068 CJF852060:CJF852068 CTB852060:CTB852068 DCX852060:DCX852068 DMT852060:DMT852068 DWP852060:DWP852068 EGL852060:EGL852068 EQH852060:EQH852068 FAD852060:FAD852068 FJZ852060:FJZ852068 FTV852060:FTV852068 GDR852060:GDR852068 GNN852060:GNN852068 GXJ852060:GXJ852068 HHF852060:HHF852068 HRB852060:HRB852068 IAX852060:IAX852068 IKT852060:IKT852068 IUP852060:IUP852068 JEL852060:JEL852068 JOH852060:JOH852068 JYD852060:JYD852068 KHZ852060:KHZ852068 KRV852060:KRV852068 LBR852060:LBR852068 LLN852060:LLN852068 LVJ852060:LVJ852068 MFF852060:MFF852068 MPB852060:MPB852068 MYX852060:MYX852068 NIT852060:NIT852068 NSP852060:NSP852068 OCL852060:OCL852068 OMH852060:OMH852068 OWD852060:OWD852068 PFZ852060:PFZ852068 PPV852060:PPV852068 PZR852060:PZR852068 QJN852060:QJN852068 QTJ852060:QTJ852068 RDF852060:RDF852068 RNB852060:RNB852068 RWX852060:RWX852068 SGT852060:SGT852068 SQP852060:SQP852068 TAL852060:TAL852068 TKH852060:TKH852068 TUD852060:TUD852068 UDZ852060:UDZ852068 UNV852060:UNV852068 UXR852060:UXR852068 VHN852060:VHN852068 VRJ852060:VRJ852068 WBF852060:WBF852068 WLB852060:WLB852068 WUX852060:WUX852068 E917596:E917604 IL917596:IL917604 SH917596:SH917604 ACD917596:ACD917604 ALZ917596:ALZ917604 AVV917596:AVV917604 BFR917596:BFR917604 BPN917596:BPN917604 BZJ917596:BZJ917604 CJF917596:CJF917604 CTB917596:CTB917604 DCX917596:DCX917604 DMT917596:DMT917604 DWP917596:DWP917604 EGL917596:EGL917604 EQH917596:EQH917604 FAD917596:FAD917604 FJZ917596:FJZ917604 FTV917596:FTV917604 GDR917596:GDR917604 GNN917596:GNN917604 GXJ917596:GXJ917604 HHF917596:HHF917604 HRB917596:HRB917604 IAX917596:IAX917604 IKT917596:IKT917604 IUP917596:IUP917604 JEL917596:JEL917604 JOH917596:JOH917604 JYD917596:JYD917604 KHZ917596:KHZ917604 KRV917596:KRV917604 LBR917596:LBR917604 LLN917596:LLN917604 LVJ917596:LVJ917604 MFF917596:MFF917604 MPB917596:MPB917604 MYX917596:MYX917604 NIT917596:NIT917604 NSP917596:NSP917604 OCL917596:OCL917604 OMH917596:OMH917604 OWD917596:OWD917604 PFZ917596:PFZ917604 PPV917596:PPV917604 PZR917596:PZR917604 QJN917596:QJN917604 QTJ917596:QTJ917604 RDF917596:RDF917604 RNB917596:RNB917604 RWX917596:RWX917604 SGT917596:SGT917604 SQP917596:SQP917604 TAL917596:TAL917604 TKH917596:TKH917604 TUD917596:TUD917604 UDZ917596:UDZ917604 UNV917596:UNV917604 UXR917596:UXR917604 VHN917596:VHN917604 VRJ917596:VRJ917604 WBF917596:WBF917604 WLB917596:WLB917604 WUX917596:WUX917604 E983132:E983140 IL983132:IL983140 SH983132:SH983140 ACD983132:ACD983140 ALZ983132:ALZ983140 AVV983132:AVV983140 BFR983132:BFR983140 BPN983132:BPN983140 BZJ983132:BZJ983140 CJF983132:CJF983140 CTB983132:CTB983140 DCX983132:DCX983140 DMT983132:DMT983140 DWP983132:DWP983140 EGL983132:EGL983140 EQH983132:EQH983140 FAD983132:FAD983140 FJZ983132:FJZ983140 FTV983132:FTV983140 GDR983132:GDR983140 GNN983132:GNN983140 GXJ983132:GXJ983140 HHF983132:HHF983140 HRB983132:HRB983140 IAX983132:IAX983140 IKT983132:IKT983140 IUP983132:IUP983140 JEL983132:JEL983140 JOH983132:JOH983140 JYD983132:JYD983140 KHZ983132:KHZ983140 KRV983132:KRV983140 LBR983132:LBR983140 LLN983132:LLN983140 LVJ983132:LVJ983140 MFF983132:MFF983140 MPB983132:MPB983140 MYX983132:MYX983140 NIT983132:NIT983140 NSP983132:NSP983140 OCL983132:OCL983140 OMH983132:OMH983140 OWD983132:OWD983140 PFZ983132:PFZ983140 PPV983132:PPV983140 PZR983132:PZR983140 QJN983132:QJN983140 QTJ983132:QTJ983140 RDF983132:RDF983140 RNB983132:RNB983140 RWX983132:RWX983140 SGT983132:SGT983140 SQP983132:SQP983140 TAL983132:TAL983140 TKH983132:TKH983140 TUD983132:TUD983140 UDZ983132:UDZ983140 UNV983132:UNV983140 UXR983132:UXR983140 VHN983132:VHN983140 VRJ983132:VRJ983140 WBF983132:WBF983140 WLB983132:WLB983140 WUX983132:WUX983140 E28:E51 IL54:IL78 SH54:SH78 ACD54:ACD78 ALZ54:ALZ78 AVV54:AVV78 BFR54:BFR78 BPN54:BPN78 BZJ54:BZJ78 CJF54:CJF78 CTB54:CTB78 DCX54:DCX78 DMT54:DMT78 DWP54:DWP78 EGL54:EGL78 EQH54:EQH78 FAD54:FAD78 FJZ54:FJZ78 FTV54:FTV78 GDR54:GDR78 GNN54:GNN78 GXJ54:GXJ78 HHF54:HHF78 HRB54:HRB78 IAX54:IAX78 IKT54:IKT78 IUP54:IUP78 JEL54:JEL78 JOH54:JOH78 JYD54:JYD78 KHZ54:KHZ78 KRV54:KRV78 LBR54:LBR78 LLN54:LLN78 LVJ54:LVJ78 MFF54:MFF78 MPB54:MPB78 MYX54:MYX78 NIT54:NIT78 NSP54:NSP78 OCL54:OCL78 OMH54:OMH78 OWD54:OWD78 PFZ54:PFZ78 PPV54:PPV78 PZR54:PZR78 QJN54:QJN78 QTJ54:QTJ78 RDF54:RDF78 RNB54:RNB78 RWX54:RWX78 SGT54:SGT78 SQP54:SQP78 TAL54:TAL78 TKH54:TKH78 TUD54:TUD78 UDZ54:UDZ78 UNV54:UNV78 UXR54:UXR78 VHN54:VHN78 VRJ54:VRJ78 WBF54:WBF78 WLB54:WLB78 WUX54:WUX78 E65639:E65647 IL65639:IL65647 SH65639:SH65647 ACD65639:ACD65647 ALZ65639:ALZ65647 AVV65639:AVV65647 BFR65639:BFR65647 BPN65639:BPN65647 BZJ65639:BZJ65647 CJF65639:CJF65647 CTB65639:CTB65647 DCX65639:DCX65647 DMT65639:DMT65647 DWP65639:DWP65647 EGL65639:EGL65647 EQH65639:EQH65647 FAD65639:FAD65647 FJZ65639:FJZ65647 FTV65639:FTV65647 GDR65639:GDR65647 GNN65639:GNN65647 GXJ65639:GXJ65647 HHF65639:HHF65647 HRB65639:HRB65647 IAX65639:IAX65647 IKT65639:IKT65647 IUP65639:IUP65647 JEL65639:JEL65647 JOH65639:JOH65647 JYD65639:JYD65647 KHZ65639:KHZ65647 KRV65639:KRV65647 LBR65639:LBR65647 LLN65639:LLN65647 LVJ65639:LVJ65647 MFF65639:MFF65647 MPB65639:MPB65647 MYX65639:MYX65647 NIT65639:NIT65647 NSP65639:NSP65647 OCL65639:OCL65647 OMH65639:OMH65647 OWD65639:OWD65647 PFZ65639:PFZ65647 PPV65639:PPV65647 PZR65639:PZR65647 QJN65639:QJN65647 QTJ65639:QTJ65647 RDF65639:RDF65647 RNB65639:RNB65647 RWX65639:RWX65647 SGT65639:SGT65647 SQP65639:SQP65647 TAL65639:TAL65647 TKH65639:TKH65647 TUD65639:TUD65647 UDZ65639:UDZ65647 UNV65639:UNV65647 UXR65639:UXR65647 VHN65639:VHN65647 VRJ65639:VRJ65647 WBF65639:WBF65647 WLB65639:WLB65647 WUX65639:WUX65647 E131175:E131183 IL131175:IL131183 SH131175:SH131183 ACD131175:ACD131183 ALZ131175:ALZ131183 AVV131175:AVV131183 BFR131175:BFR131183 BPN131175:BPN131183 BZJ131175:BZJ131183 CJF131175:CJF131183 CTB131175:CTB131183 DCX131175:DCX131183 DMT131175:DMT131183 DWP131175:DWP131183 EGL131175:EGL131183 EQH131175:EQH131183 FAD131175:FAD131183 FJZ131175:FJZ131183 FTV131175:FTV131183 GDR131175:GDR131183 GNN131175:GNN131183 GXJ131175:GXJ131183 HHF131175:HHF131183 HRB131175:HRB131183 IAX131175:IAX131183 IKT131175:IKT131183 IUP131175:IUP131183 JEL131175:JEL131183 JOH131175:JOH131183 JYD131175:JYD131183 KHZ131175:KHZ131183 KRV131175:KRV131183 LBR131175:LBR131183 LLN131175:LLN131183 LVJ131175:LVJ131183 MFF131175:MFF131183 MPB131175:MPB131183 MYX131175:MYX131183 NIT131175:NIT131183 NSP131175:NSP131183 OCL131175:OCL131183 OMH131175:OMH131183 OWD131175:OWD131183 PFZ131175:PFZ131183 PPV131175:PPV131183 PZR131175:PZR131183 QJN131175:QJN131183 QTJ131175:QTJ131183 RDF131175:RDF131183 RNB131175:RNB131183 RWX131175:RWX131183 SGT131175:SGT131183 SQP131175:SQP131183 TAL131175:TAL131183 TKH131175:TKH131183 TUD131175:TUD131183 UDZ131175:UDZ131183 UNV131175:UNV131183 UXR131175:UXR131183 VHN131175:VHN131183 VRJ131175:VRJ131183 WBF131175:WBF131183 WLB131175:WLB131183 WUX131175:WUX131183 E196711:E196719 IL196711:IL196719 SH196711:SH196719 ACD196711:ACD196719 ALZ196711:ALZ196719 AVV196711:AVV196719 BFR196711:BFR196719 BPN196711:BPN196719 BZJ196711:BZJ196719 CJF196711:CJF196719 CTB196711:CTB196719 DCX196711:DCX196719 DMT196711:DMT196719 DWP196711:DWP196719 EGL196711:EGL196719 EQH196711:EQH196719 FAD196711:FAD196719 FJZ196711:FJZ196719 FTV196711:FTV196719 GDR196711:GDR196719 GNN196711:GNN196719 GXJ196711:GXJ196719 HHF196711:HHF196719 HRB196711:HRB196719 IAX196711:IAX196719 IKT196711:IKT196719 IUP196711:IUP196719 JEL196711:JEL196719 JOH196711:JOH196719 JYD196711:JYD196719 KHZ196711:KHZ196719 KRV196711:KRV196719 LBR196711:LBR196719 LLN196711:LLN196719 LVJ196711:LVJ196719 MFF196711:MFF196719 MPB196711:MPB196719 MYX196711:MYX196719 NIT196711:NIT196719 NSP196711:NSP196719 OCL196711:OCL196719 OMH196711:OMH196719 OWD196711:OWD196719 PFZ196711:PFZ196719 PPV196711:PPV196719 PZR196711:PZR196719 QJN196711:QJN196719 QTJ196711:QTJ196719 RDF196711:RDF196719 RNB196711:RNB196719 RWX196711:RWX196719 SGT196711:SGT196719 SQP196711:SQP196719 TAL196711:TAL196719 TKH196711:TKH196719 TUD196711:TUD196719 UDZ196711:UDZ196719 UNV196711:UNV196719 UXR196711:UXR196719 VHN196711:VHN196719 VRJ196711:VRJ196719 WBF196711:WBF196719 WLB196711:WLB196719 WUX196711:WUX196719 E262247:E262255 IL262247:IL262255 SH262247:SH262255 ACD262247:ACD262255 ALZ262247:ALZ262255 AVV262247:AVV262255 BFR262247:BFR262255 BPN262247:BPN262255 BZJ262247:BZJ262255 CJF262247:CJF262255 CTB262247:CTB262255 DCX262247:DCX262255 DMT262247:DMT262255 DWP262247:DWP262255 EGL262247:EGL262255 EQH262247:EQH262255 FAD262247:FAD262255 FJZ262247:FJZ262255 FTV262247:FTV262255 GDR262247:GDR262255 GNN262247:GNN262255 GXJ262247:GXJ262255 HHF262247:HHF262255 HRB262247:HRB262255 IAX262247:IAX262255 IKT262247:IKT262255 IUP262247:IUP262255 JEL262247:JEL262255 JOH262247:JOH262255 JYD262247:JYD262255 KHZ262247:KHZ262255 KRV262247:KRV262255 LBR262247:LBR262255 LLN262247:LLN262255 LVJ262247:LVJ262255 MFF262247:MFF262255 MPB262247:MPB262255 MYX262247:MYX262255 NIT262247:NIT262255 NSP262247:NSP262255 OCL262247:OCL262255 OMH262247:OMH262255 OWD262247:OWD262255 PFZ262247:PFZ262255 PPV262247:PPV262255 PZR262247:PZR262255 QJN262247:QJN262255 QTJ262247:QTJ262255 RDF262247:RDF262255 RNB262247:RNB262255 RWX262247:RWX262255 SGT262247:SGT262255 SQP262247:SQP262255 TAL262247:TAL262255 TKH262247:TKH262255 TUD262247:TUD262255 UDZ262247:UDZ262255 UNV262247:UNV262255 UXR262247:UXR262255 VHN262247:VHN262255 VRJ262247:VRJ262255 WBF262247:WBF262255 WLB262247:WLB262255 WUX262247:WUX262255 E327783:E327791 IL327783:IL327791 SH327783:SH327791 ACD327783:ACD327791 ALZ327783:ALZ327791 AVV327783:AVV327791 BFR327783:BFR327791 BPN327783:BPN327791 BZJ327783:BZJ327791 CJF327783:CJF327791 CTB327783:CTB327791 DCX327783:DCX327791 DMT327783:DMT327791 DWP327783:DWP327791 EGL327783:EGL327791 EQH327783:EQH327791 FAD327783:FAD327791 FJZ327783:FJZ327791 FTV327783:FTV327791 GDR327783:GDR327791 GNN327783:GNN327791 GXJ327783:GXJ327791 HHF327783:HHF327791 HRB327783:HRB327791 IAX327783:IAX327791 IKT327783:IKT327791 IUP327783:IUP327791 JEL327783:JEL327791 JOH327783:JOH327791 JYD327783:JYD327791 KHZ327783:KHZ327791 KRV327783:KRV327791 LBR327783:LBR327791 LLN327783:LLN327791 LVJ327783:LVJ327791 MFF327783:MFF327791 MPB327783:MPB327791 MYX327783:MYX327791 NIT327783:NIT327791 NSP327783:NSP327791 OCL327783:OCL327791 OMH327783:OMH327791 OWD327783:OWD327791 PFZ327783:PFZ327791 PPV327783:PPV327791 PZR327783:PZR327791 QJN327783:QJN327791 QTJ327783:QTJ327791 RDF327783:RDF327791 RNB327783:RNB327791 RWX327783:RWX327791 SGT327783:SGT327791 SQP327783:SQP327791 TAL327783:TAL327791 TKH327783:TKH327791 TUD327783:TUD327791 UDZ327783:UDZ327791 UNV327783:UNV327791 UXR327783:UXR327791 VHN327783:VHN327791 VRJ327783:VRJ327791 WBF327783:WBF327791 WLB327783:WLB327791 WUX327783:WUX327791 E393319:E393327 IL393319:IL393327 SH393319:SH393327 ACD393319:ACD393327 ALZ393319:ALZ393327 AVV393319:AVV393327 BFR393319:BFR393327 BPN393319:BPN393327 BZJ393319:BZJ393327 CJF393319:CJF393327 CTB393319:CTB393327 DCX393319:DCX393327 DMT393319:DMT393327 DWP393319:DWP393327 EGL393319:EGL393327 EQH393319:EQH393327 FAD393319:FAD393327 FJZ393319:FJZ393327 FTV393319:FTV393327 GDR393319:GDR393327 GNN393319:GNN393327 GXJ393319:GXJ393327 HHF393319:HHF393327 HRB393319:HRB393327 IAX393319:IAX393327 IKT393319:IKT393327 IUP393319:IUP393327 JEL393319:JEL393327 JOH393319:JOH393327 JYD393319:JYD393327 KHZ393319:KHZ393327 KRV393319:KRV393327 LBR393319:LBR393327 LLN393319:LLN393327 LVJ393319:LVJ393327 MFF393319:MFF393327 MPB393319:MPB393327 MYX393319:MYX393327 NIT393319:NIT393327 NSP393319:NSP393327 OCL393319:OCL393327 OMH393319:OMH393327 OWD393319:OWD393327 PFZ393319:PFZ393327 PPV393319:PPV393327 PZR393319:PZR393327 QJN393319:QJN393327 QTJ393319:QTJ393327 RDF393319:RDF393327 RNB393319:RNB393327 RWX393319:RWX393327 SGT393319:SGT393327 SQP393319:SQP393327 TAL393319:TAL393327 TKH393319:TKH393327 TUD393319:TUD393327 UDZ393319:UDZ393327 UNV393319:UNV393327 UXR393319:UXR393327 VHN393319:VHN393327 VRJ393319:VRJ393327 WBF393319:WBF393327 WLB393319:WLB393327 WUX393319:WUX393327 E458855:E458863 IL458855:IL458863 SH458855:SH458863 ACD458855:ACD458863 ALZ458855:ALZ458863 AVV458855:AVV458863 BFR458855:BFR458863 BPN458855:BPN458863 BZJ458855:BZJ458863 CJF458855:CJF458863 CTB458855:CTB458863 DCX458855:DCX458863 DMT458855:DMT458863 DWP458855:DWP458863 EGL458855:EGL458863 EQH458855:EQH458863 FAD458855:FAD458863 FJZ458855:FJZ458863 FTV458855:FTV458863 GDR458855:GDR458863 GNN458855:GNN458863 GXJ458855:GXJ458863 HHF458855:HHF458863 HRB458855:HRB458863 IAX458855:IAX458863 IKT458855:IKT458863 IUP458855:IUP458863 JEL458855:JEL458863 JOH458855:JOH458863 JYD458855:JYD458863 KHZ458855:KHZ458863 KRV458855:KRV458863 LBR458855:LBR458863 LLN458855:LLN458863 LVJ458855:LVJ458863 MFF458855:MFF458863 MPB458855:MPB458863 MYX458855:MYX458863 NIT458855:NIT458863 NSP458855:NSP458863 OCL458855:OCL458863 OMH458855:OMH458863 OWD458855:OWD458863 PFZ458855:PFZ458863 PPV458855:PPV458863 PZR458855:PZR458863 QJN458855:QJN458863 QTJ458855:QTJ458863 RDF458855:RDF458863 RNB458855:RNB458863 RWX458855:RWX458863 SGT458855:SGT458863 SQP458855:SQP458863 TAL458855:TAL458863 TKH458855:TKH458863 TUD458855:TUD458863 UDZ458855:UDZ458863 UNV458855:UNV458863 UXR458855:UXR458863 VHN458855:VHN458863 VRJ458855:VRJ458863 WBF458855:WBF458863 WLB458855:WLB458863 WUX458855:WUX458863 E524391:E524399 IL524391:IL524399 SH524391:SH524399 ACD524391:ACD524399 ALZ524391:ALZ524399 AVV524391:AVV524399 BFR524391:BFR524399 BPN524391:BPN524399 BZJ524391:BZJ524399 CJF524391:CJF524399 CTB524391:CTB524399 DCX524391:DCX524399 DMT524391:DMT524399 DWP524391:DWP524399 EGL524391:EGL524399 EQH524391:EQH524399 FAD524391:FAD524399 FJZ524391:FJZ524399 FTV524391:FTV524399 GDR524391:GDR524399 GNN524391:GNN524399 GXJ524391:GXJ524399 HHF524391:HHF524399 HRB524391:HRB524399 IAX524391:IAX524399 IKT524391:IKT524399 IUP524391:IUP524399 JEL524391:JEL524399 JOH524391:JOH524399 JYD524391:JYD524399 KHZ524391:KHZ524399 KRV524391:KRV524399 LBR524391:LBR524399 LLN524391:LLN524399 LVJ524391:LVJ524399 MFF524391:MFF524399 MPB524391:MPB524399 MYX524391:MYX524399 NIT524391:NIT524399 NSP524391:NSP524399 OCL524391:OCL524399 OMH524391:OMH524399 OWD524391:OWD524399 PFZ524391:PFZ524399 PPV524391:PPV524399 PZR524391:PZR524399 QJN524391:QJN524399 QTJ524391:QTJ524399 RDF524391:RDF524399 RNB524391:RNB524399 RWX524391:RWX524399 SGT524391:SGT524399 SQP524391:SQP524399 TAL524391:TAL524399 TKH524391:TKH524399 TUD524391:TUD524399 UDZ524391:UDZ524399 UNV524391:UNV524399 UXR524391:UXR524399 VHN524391:VHN524399 VRJ524391:VRJ524399 WBF524391:WBF524399 WLB524391:WLB524399 WUX524391:WUX524399 E589927:E589935 IL589927:IL589935 SH589927:SH589935 ACD589927:ACD589935 ALZ589927:ALZ589935 AVV589927:AVV589935 BFR589927:BFR589935 BPN589927:BPN589935 BZJ589927:BZJ589935 CJF589927:CJF589935 CTB589927:CTB589935 DCX589927:DCX589935 DMT589927:DMT589935 DWP589927:DWP589935 EGL589927:EGL589935 EQH589927:EQH589935 FAD589927:FAD589935 FJZ589927:FJZ589935 FTV589927:FTV589935 GDR589927:GDR589935 GNN589927:GNN589935 GXJ589927:GXJ589935 HHF589927:HHF589935 HRB589927:HRB589935 IAX589927:IAX589935 IKT589927:IKT589935 IUP589927:IUP589935 JEL589927:JEL589935 JOH589927:JOH589935 JYD589927:JYD589935 KHZ589927:KHZ589935 KRV589927:KRV589935 LBR589927:LBR589935 LLN589927:LLN589935 LVJ589927:LVJ589935 MFF589927:MFF589935 MPB589927:MPB589935 MYX589927:MYX589935 NIT589927:NIT589935 NSP589927:NSP589935 OCL589927:OCL589935 OMH589927:OMH589935 OWD589927:OWD589935 PFZ589927:PFZ589935 PPV589927:PPV589935 PZR589927:PZR589935 QJN589927:QJN589935 QTJ589927:QTJ589935 RDF589927:RDF589935 RNB589927:RNB589935 RWX589927:RWX589935 SGT589927:SGT589935 SQP589927:SQP589935 TAL589927:TAL589935 TKH589927:TKH589935 TUD589927:TUD589935 UDZ589927:UDZ589935 UNV589927:UNV589935 UXR589927:UXR589935 VHN589927:VHN589935 VRJ589927:VRJ589935 WBF589927:WBF589935 WLB589927:WLB589935 WUX589927:WUX589935 E655463:E655471 IL655463:IL655471 SH655463:SH655471 ACD655463:ACD655471 ALZ655463:ALZ655471 AVV655463:AVV655471 BFR655463:BFR655471 BPN655463:BPN655471 BZJ655463:BZJ655471 CJF655463:CJF655471 CTB655463:CTB655471 DCX655463:DCX655471 DMT655463:DMT655471 DWP655463:DWP655471 EGL655463:EGL655471 EQH655463:EQH655471 FAD655463:FAD655471 FJZ655463:FJZ655471 FTV655463:FTV655471 GDR655463:GDR655471 GNN655463:GNN655471 GXJ655463:GXJ655471 HHF655463:HHF655471 HRB655463:HRB655471 IAX655463:IAX655471 IKT655463:IKT655471 IUP655463:IUP655471 JEL655463:JEL655471 JOH655463:JOH655471 JYD655463:JYD655471 KHZ655463:KHZ655471 KRV655463:KRV655471 LBR655463:LBR655471 LLN655463:LLN655471 LVJ655463:LVJ655471 MFF655463:MFF655471 MPB655463:MPB655471 MYX655463:MYX655471 NIT655463:NIT655471 NSP655463:NSP655471 OCL655463:OCL655471 OMH655463:OMH655471 OWD655463:OWD655471 PFZ655463:PFZ655471 PPV655463:PPV655471 PZR655463:PZR655471 QJN655463:QJN655471 QTJ655463:QTJ655471 RDF655463:RDF655471 RNB655463:RNB655471 RWX655463:RWX655471 SGT655463:SGT655471 SQP655463:SQP655471 TAL655463:TAL655471 TKH655463:TKH655471 TUD655463:TUD655471 UDZ655463:UDZ655471 UNV655463:UNV655471 UXR655463:UXR655471 VHN655463:VHN655471 VRJ655463:VRJ655471 WBF655463:WBF655471 WLB655463:WLB655471 WUX655463:WUX655471 E720999:E721007 IL720999:IL721007 SH720999:SH721007 ACD720999:ACD721007 ALZ720999:ALZ721007 AVV720999:AVV721007 BFR720999:BFR721007 BPN720999:BPN721007 BZJ720999:BZJ721007 CJF720999:CJF721007 CTB720999:CTB721007 DCX720999:DCX721007 DMT720999:DMT721007 DWP720999:DWP721007 EGL720999:EGL721007 EQH720999:EQH721007 FAD720999:FAD721007 FJZ720999:FJZ721007 FTV720999:FTV721007 GDR720999:GDR721007 GNN720999:GNN721007 GXJ720999:GXJ721007 HHF720999:HHF721007 HRB720999:HRB721007 IAX720999:IAX721007 IKT720999:IKT721007 IUP720999:IUP721007 JEL720999:JEL721007 JOH720999:JOH721007 JYD720999:JYD721007 KHZ720999:KHZ721007 KRV720999:KRV721007 LBR720999:LBR721007 LLN720999:LLN721007 LVJ720999:LVJ721007 MFF720999:MFF721007 MPB720999:MPB721007 MYX720999:MYX721007 NIT720999:NIT721007 NSP720999:NSP721007 OCL720999:OCL721007 OMH720999:OMH721007 OWD720999:OWD721007 PFZ720999:PFZ721007 PPV720999:PPV721007 PZR720999:PZR721007 QJN720999:QJN721007 QTJ720999:QTJ721007 RDF720999:RDF721007 RNB720999:RNB721007 RWX720999:RWX721007 SGT720999:SGT721007 SQP720999:SQP721007 TAL720999:TAL721007 TKH720999:TKH721007 TUD720999:TUD721007 UDZ720999:UDZ721007 UNV720999:UNV721007 UXR720999:UXR721007 VHN720999:VHN721007 VRJ720999:VRJ721007 WBF720999:WBF721007 WLB720999:WLB721007 WUX720999:WUX721007 E786535:E786543 IL786535:IL786543 SH786535:SH786543 ACD786535:ACD786543 ALZ786535:ALZ786543 AVV786535:AVV786543 BFR786535:BFR786543 BPN786535:BPN786543 BZJ786535:BZJ786543 CJF786535:CJF786543 CTB786535:CTB786543 DCX786535:DCX786543 DMT786535:DMT786543 DWP786535:DWP786543 EGL786535:EGL786543 EQH786535:EQH786543 FAD786535:FAD786543 FJZ786535:FJZ786543 FTV786535:FTV786543 GDR786535:GDR786543 GNN786535:GNN786543 GXJ786535:GXJ786543 HHF786535:HHF786543 HRB786535:HRB786543 IAX786535:IAX786543 IKT786535:IKT786543 IUP786535:IUP786543 JEL786535:JEL786543 JOH786535:JOH786543 JYD786535:JYD786543 KHZ786535:KHZ786543 KRV786535:KRV786543 LBR786535:LBR786543 LLN786535:LLN786543 LVJ786535:LVJ786543 MFF786535:MFF786543 MPB786535:MPB786543 MYX786535:MYX786543 NIT786535:NIT786543 NSP786535:NSP786543 OCL786535:OCL786543 OMH786535:OMH786543 OWD786535:OWD786543 PFZ786535:PFZ786543 PPV786535:PPV786543 PZR786535:PZR786543 QJN786535:QJN786543 QTJ786535:QTJ786543 RDF786535:RDF786543 RNB786535:RNB786543 RWX786535:RWX786543 SGT786535:SGT786543 SQP786535:SQP786543 TAL786535:TAL786543 TKH786535:TKH786543 TUD786535:TUD786543 UDZ786535:UDZ786543 UNV786535:UNV786543 UXR786535:UXR786543 VHN786535:VHN786543 VRJ786535:VRJ786543 WBF786535:WBF786543 WLB786535:WLB786543 WUX786535:WUX786543 E852071:E852079 IL852071:IL852079 SH852071:SH852079 ACD852071:ACD852079 ALZ852071:ALZ852079 AVV852071:AVV852079 BFR852071:BFR852079 BPN852071:BPN852079 BZJ852071:BZJ852079 CJF852071:CJF852079 CTB852071:CTB852079 DCX852071:DCX852079 DMT852071:DMT852079 DWP852071:DWP852079 EGL852071:EGL852079 EQH852071:EQH852079 FAD852071:FAD852079 FJZ852071:FJZ852079 FTV852071:FTV852079 GDR852071:GDR852079 GNN852071:GNN852079 GXJ852071:GXJ852079 HHF852071:HHF852079 HRB852071:HRB852079 IAX852071:IAX852079 IKT852071:IKT852079 IUP852071:IUP852079 JEL852071:JEL852079 JOH852071:JOH852079 JYD852071:JYD852079 KHZ852071:KHZ852079 KRV852071:KRV852079 LBR852071:LBR852079 LLN852071:LLN852079 LVJ852071:LVJ852079 MFF852071:MFF852079 MPB852071:MPB852079 MYX852071:MYX852079 NIT852071:NIT852079 NSP852071:NSP852079 OCL852071:OCL852079 OMH852071:OMH852079 OWD852071:OWD852079 PFZ852071:PFZ852079 PPV852071:PPV852079 PZR852071:PZR852079 QJN852071:QJN852079 QTJ852071:QTJ852079 RDF852071:RDF852079 RNB852071:RNB852079 RWX852071:RWX852079 SGT852071:SGT852079 SQP852071:SQP852079 TAL852071:TAL852079 TKH852071:TKH852079 TUD852071:TUD852079 UDZ852071:UDZ852079 UNV852071:UNV852079 UXR852071:UXR852079 VHN852071:VHN852079 VRJ852071:VRJ852079 WBF852071:WBF852079 WLB852071:WLB852079 WUX852071:WUX852079 E917607:E917615 IL917607:IL917615 SH917607:SH917615 ACD917607:ACD917615 ALZ917607:ALZ917615 AVV917607:AVV917615 BFR917607:BFR917615 BPN917607:BPN917615 BZJ917607:BZJ917615 CJF917607:CJF917615 CTB917607:CTB917615 DCX917607:DCX917615 DMT917607:DMT917615 DWP917607:DWP917615 EGL917607:EGL917615 EQH917607:EQH917615 FAD917607:FAD917615 FJZ917607:FJZ917615 FTV917607:FTV917615 GDR917607:GDR917615 GNN917607:GNN917615 GXJ917607:GXJ917615 HHF917607:HHF917615 HRB917607:HRB917615 IAX917607:IAX917615 IKT917607:IKT917615 IUP917607:IUP917615 JEL917607:JEL917615 JOH917607:JOH917615 JYD917607:JYD917615 KHZ917607:KHZ917615 KRV917607:KRV917615 LBR917607:LBR917615 LLN917607:LLN917615 LVJ917607:LVJ917615 MFF917607:MFF917615 MPB917607:MPB917615 MYX917607:MYX917615 NIT917607:NIT917615 NSP917607:NSP917615 OCL917607:OCL917615 OMH917607:OMH917615 OWD917607:OWD917615 PFZ917607:PFZ917615 PPV917607:PPV917615 PZR917607:PZR917615 QJN917607:QJN917615 QTJ917607:QTJ917615 RDF917607:RDF917615 RNB917607:RNB917615 RWX917607:RWX917615 SGT917607:SGT917615 SQP917607:SQP917615 TAL917607:TAL917615 TKH917607:TKH917615 TUD917607:TUD917615 UDZ917607:UDZ917615 UNV917607:UNV917615 UXR917607:UXR917615 VHN917607:VHN917615 VRJ917607:VRJ917615 WBF917607:WBF917615 WLB917607:WLB917615 WUX917607:WUX917615 E983143:E983151 IL983143:IL983151 SH983143:SH983151 ACD983143:ACD983151 ALZ983143:ALZ983151 AVV983143:AVV983151 BFR983143:BFR983151 BPN983143:BPN983151 BZJ983143:BZJ983151 CJF983143:CJF983151 CTB983143:CTB983151 DCX983143:DCX983151 DMT983143:DMT983151 DWP983143:DWP983151 EGL983143:EGL983151 EQH983143:EQH983151 FAD983143:FAD983151 FJZ983143:FJZ983151 FTV983143:FTV983151 GDR983143:GDR983151 GNN983143:GNN983151 GXJ983143:GXJ983151 HHF983143:HHF983151 HRB983143:HRB983151 IAX983143:IAX983151 IKT983143:IKT983151 IUP983143:IUP983151 JEL983143:JEL983151 JOH983143:JOH983151 JYD983143:JYD983151 KHZ983143:KHZ983151 KRV983143:KRV983151 LBR983143:LBR983151 LLN983143:LLN983151 LVJ983143:LVJ983151 MFF983143:MFF983151 MPB983143:MPB983151 MYX983143:MYX983151 NIT983143:NIT983151 NSP983143:NSP983151 OCL983143:OCL983151 OMH983143:OMH983151 OWD983143:OWD983151 PFZ983143:PFZ983151 PPV983143:PPV983151 PZR983143:PZR983151 QJN983143:QJN983151 QTJ983143:QTJ983151 RDF983143:RDF983151 RNB983143:RNB983151 RWX983143:RWX983151 SGT983143:SGT983151 SQP983143:SQP983151 TAL983143:TAL983151 TKH983143:TKH983151 TUD983143:TUD983151 UDZ983143:UDZ983151 UNV983143:UNV983151 UXR983143:UXR983151 VHN983143:VHN983151 VRJ983143:VRJ983151 WBF983143:WBF983151 WLB983143:WLB983151 E54:E78" xr:uid="{AB50D4E3-4899-476C-99C7-BE2A97231EB7}"/>
    <dataValidation allowBlank="1" showInputMessage="1" showErrorMessage="1" prompt="ingrese el valor del Factor Prestacional asignado para el personal." sqref="WUY983143:WUY983151 IM11:IM51 SI11:SI51 ACE11:ACE51 AMA11:AMA51 AVW11:AVW51 BFS11:BFS51 BPO11:BPO51 BZK11:BZK51 CJG11:CJG51 CTC11:CTC51 DCY11:DCY51 DMU11:DMU51 DWQ11:DWQ51 EGM11:EGM51 EQI11:EQI51 FAE11:FAE51 FKA11:FKA51 FTW11:FTW51 GDS11:GDS51 GNO11:GNO51 GXK11:GXK51 HHG11:HHG51 HRC11:HRC51 IAY11:IAY51 IKU11:IKU51 IUQ11:IUQ51 JEM11:JEM51 JOI11:JOI51 JYE11:JYE51 KIA11:KIA51 KRW11:KRW51 LBS11:LBS51 LLO11:LLO51 LVK11:LVK51 MFG11:MFG51 MPC11:MPC51 MYY11:MYY51 NIU11:NIU51 NSQ11:NSQ51 OCM11:OCM51 OMI11:OMI51 OWE11:OWE51 PGA11:PGA51 PPW11:PPW51 PZS11:PZS51 QJO11:QJO51 QTK11:QTK51 RDG11:RDG51 RNC11:RNC51 RWY11:RWY51 SGU11:SGU51 SQQ11:SQQ51 TAM11:TAM51 TKI11:TKI51 TUE11:TUE51 UEA11:UEA51 UNW11:UNW51 UXS11:UXS51 VHO11:VHO51 VRK11:VRK51 WBG11:WBG51 WLC11:WLC51 WUY11:WUY51 F65628:G65636 IM65628:IM65636 SI65628:SI65636 ACE65628:ACE65636 AMA65628:AMA65636 AVW65628:AVW65636 BFS65628:BFS65636 BPO65628:BPO65636 BZK65628:BZK65636 CJG65628:CJG65636 CTC65628:CTC65636 DCY65628:DCY65636 DMU65628:DMU65636 DWQ65628:DWQ65636 EGM65628:EGM65636 EQI65628:EQI65636 FAE65628:FAE65636 FKA65628:FKA65636 FTW65628:FTW65636 GDS65628:GDS65636 GNO65628:GNO65636 GXK65628:GXK65636 HHG65628:HHG65636 HRC65628:HRC65636 IAY65628:IAY65636 IKU65628:IKU65636 IUQ65628:IUQ65636 JEM65628:JEM65636 JOI65628:JOI65636 JYE65628:JYE65636 KIA65628:KIA65636 KRW65628:KRW65636 LBS65628:LBS65636 LLO65628:LLO65636 LVK65628:LVK65636 MFG65628:MFG65636 MPC65628:MPC65636 MYY65628:MYY65636 NIU65628:NIU65636 NSQ65628:NSQ65636 OCM65628:OCM65636 OMI65628:OMI65636 OWE65628:OWE65636 PGA65628:PGA65636 PPW65628:PPW65636 PZS65628:PZS65636 QJO65628:QJO65636 QTK65628:QTK65636 RDG65628:RDG65636 RNC65628:RNC65636 RWY65628:RWY65636 SGU65628:SGU65636 SQQ65628:SQQ65636 TAM65628:TAM65636 TKI65628:TKI65636 TUE65628:TUE65636 UEA65628:UEA65636 UNW65628:UNW65636 UXS65628:UXS65636 VHO65628:VHO65636 VRK65628:VRK65636 WBG65628:WBG65636 WLC65628:WLC65636 WUY65628:WUY65636 F131164:G131172 IM131164:IM131172 SI131164:SI131172 ACE131164:ACE131172 AMA131164:AMA131172 AVW131164:AVW131172 BFS131164:BFS131172 BPO131164:BPO131172 BZK131164:BZK131172 CJG131164:CJG131172 CTC131164:CTC131172 DCY131164:DCY131172 DMU131164:DMU131172 DWQ131164:DWQ131172 EGM131164:EGM131172 EQI131164:EQI131172 FAE131164:FAE131172 FKA131164:FKA131172 FTW131164:FTW131172 GDS131164:GDS131172 GNO131164:GNO131172 GXK131164:GXK131172 HHG131164:HHG131172 HRC131164:HRC131172 IAY131164:IAY131172 IKU131164:IKU131172 IUQ131164:IUQ131172 JEM131164:JEM131172 JOI131164:JOI131172 JYE131164:JYE131172 KIA131164:KIA131172 KRW131164:KRW131172 LBS131164:LBS131172 LLO131164:LLO131172 LVK131164:LVK131172 MFG131164:MFG131172 MPC131164:MPC131172 MYY131164:MYY131172 NIU131164:NIU131172 NSQ131164:NSQ131172 OCM131164:OCM131172 OMI131164:OMI131172 OWE131164:OWE131172 PGA131164:PGA131172 PPW131164:PPW131172 PZS131164:PZS131172 QJO131164:QJO131172 QTK131164:QTK131172 RDG131164:RDG131172 RNC131164:RNC131172 RWY131164:RWY131172 SGU131164:SGU131172 SQQ131164:SQQ131172 TAM131164:TAM131172 TKI131164:TKI131172 TUE131164:TUE131172 UEA131164:UEA131172 UNW131164:UNW131172 UXS131164:UXS131172 VHO131164:VHO131172 VRK131164:VRK131172 WBG131164:WBG131172 WLC131164:WLC131172 WUY131164:WUY131172 F196700:G196708 IM196700:IM196708 SI196700:SI196708 ACE196700:ACE196708 AMA196700:AMA196708 AVW196700:AVW196708 BFS196700:BFS196708 BPO196700:BPO196708 BZK196700:BZK196708 CJG196700:CJG196708 CTC196700:CTC196708 DCY196700:DCY196708 DMU196700:DMU196708 DWQ196700:DWQ196708 EGM196700:EGM196708 EQI196700:EQI196708 FAE196700:FAE196708 FKA196700:FKA196708 FTW196700:FTW196708 GDS196700:GDS196708 GNO196700:GNO196708 GXK196700:GXK196708 HHG196700:HHG196708 HRC196700:HRC196708 IAY196700:IAY196708 IKU196700:IKU196708 IUQ196700:IUQ196708 JEM196700:JEM196708 JOI196700:JOI196708 JYE196700:JYE196708 KIA196700:KIA196708 KRW196700:KRW196708 LBS196700:LBS196708 LLO196700:LLO196708 LVK196700:LVK196708 MFG196700:MFG196708 MPC196700:MPC196708 MYY196700:MYY196708 NIU196700:NIU196708 NSQ196700:NSQ196708 OCM196700:OCM196708 OMI196700:OMI196708 OWE196700:OWE196708 PGA196700:PGA196708 PPW196700:PPW196708 PZS196700:PZS196708 QJO196700:QJO196708 QTK196700:QTK196708 RDG196700:RDG196708 RNC196700:RNC196708 RWY196700:RWY196708 SGU196700:SGU196708 SQQ196700:SQQ196708 TAM196700:TAM196708 TKI196700:TKI196708 TUE196700:TUE196708 UEA196700:UEA196708 UNW196700:UNW196708 UXS196700:UXS196708 VHO196700:VHO196708 VRK196700:VRK196708 WBG196700:WBG196708 WLC196700:WLC196708 WUY196700:WUY196708 F262236:G262244 IM262236:IM262244 SI262236:SI262244 ACE262236:ACE262244 AMA262236:AMA262244 AVW262236:AVW262244 BFS262236:BFS262244 BPO262236:BPO262244 BZK262236:BZK262244 CJG262236:CJG262244 CTC262236:CTC262244 DCY262236:DCY262244 DMU262236:DMU262244 DWQ262236:DWQ262244 EGM262236:EGM262244 EQI262236:EQI262244 FAE262236:FAE262244 FKA262236:FKA262244 FTW262236:FTW262244 GDS262236:GDS262244 GNO262236:GNO262244 GXK262236:GXK262244 HHG262236:HHG262244 HRC262236:HRC262244 IAY262236:IAY262244 IKU262236:IKU262244 IUQ262236:IUQ262244 JEM262236:JEM262244 JOI262236:JOI262244 JYE262236:JYE262244 KIA262236:KIA262244 KRW262236:KRW262244 LBS262236:LBS262244 LLO262236:LLO262244 LVK262236:LVK262244 MFG262236:MFG262244 MPC262236:MPC262244 MYY262236:MYY262244 NIU262236:NIU262244 NSQ262236:NSQ262244 OCM262236:OCM262244 OMI262236:OMI262244 OWE262236:OWE262244 PGA262236:PGA262244 PPW262236:PPW262244 PZS262236:PZS262244 QJO262236:QJO262244 QTK262236:QTK262244 RDG262236:RDG262244 RNC262236:RNC262244 RWY262236:RWY262244 SGU262236:SGU262244 SQQ262236:SQQ262244 TAM262236:TAM262244 TKI262236:TKI262244 TUE262236:TUE262244 UEA262236:UEA262244 UNW262236:UNW262244 UXS262236:UXS262244 VHO262236:VHO262244 VRK262236:VRK262244 WBG262236:WBG262244 WLC262236:WLC262244 WUY262236:WUY262244 F327772:G327780 IM327772:IM327780 SI327772:SI327780 ACE327772:ACE327780 AMA327772:AMA327780 AVW327772:AVW327780 BFS327772:BFS327780 BPO327772:BPO327780 BZK327772:BZK327780 CJG327772:CJG327780 CTC327772:CTC327780 DCY327772:DCY327780 DMU327772:DMU327780 DWQ327772:DWQ327780 EGM327772:EGM327780 EQI327772:EQI327780 FAE327772:FAE327780 FKA327772:FKA327780 FTW327772:FTW327780 GDS327772:GDS327780 GNO327772:GNO327780 GXK327772:GXK327780 HHG327772:HHG327780 HRC327772:HRC327780 IAY327772:IAY327780 IKU327772:IKU327780 IUQ327772:IUQ327780 JEM327772:JEM327780 JOI327772:JOI327780 JYE327772:JYE327780 KIA327772:KIA327780 KRW327772:KRW327780 LBS327772:LBS327780 LLO327772:LLO327780 LVK327772:LVK327780 MFG327772:MFG327780 MPC327772:MPC327780 MYY327772:MYY327780 NIU327772:NIU327780 NSQ327772:NSQ327780 OCM327772:OCM327780 OMI327772:OMI327780 OWE327772:OWE327780 PGA327772:PGA327780 PPW327772:PPW327780 PZS327772:PZS327780 QJO327772:QJO327780 QTK327772:QTK327780 RDG327772:RDG327780 RNC327772:RNC327780 RWY327772:RWY327780 SGU327772:SGU327780 SQQ327772:SQQ327780 TAM327772:TAM327780 TKI327772:TKI327780 TUE327772:TUE327780 UEA327772:UEA327780 UNW327772:UNW327780 UXS327772:UXS327780 VHO327772:VHO327780 VRK327772:VRK327780 WBG327772:WBG327780 WLC327772:WLC327780 WUY327772:WUY327780 F393308:G393316 IM393308:IM393316 SI393308:SI393316 ACE393308:ACE393316 AMA393308:AMA393316 AVW393308:AVW393316 BFS393308:BFS393316 BPO393308:BPO393316 BZK393308:BZK393316 CJG393308:CJG393316 CTC393308:CTC393316 DCY393308:DCY393316 DMU393308:DMU393316 DWQ393308:DWQ393316 EGM393308:EGM393316 EQI393308:EQI393316 FAE393308:FAE393316 FKA393308:FKA393316 FTW393308:FTW393316 GDS393308:GDS393316 GNO393308:GNO393316 GXK393308:GXK393316 HHG393308:HHG393316 HRC393308:HRC393316 IAY393308:IAY393316 IKU393308:IKU393316 IUQ393308:IUQ393316 JEM393308:JEM393316 JOI393308:JOI393316 JYE393308:JYE393316 KIA393308:KIA393316 KRW393308:KRW393316 LBS393308:LBS393316 LLO393308:LLO393316 LVK393308:LVK393316 MFG393308:MFG393316 MPC393308:MPC393316 MYY393308:MYY393316 NIU393308:NIU393316 NSQ393308:NSQ393316 OCM393308:OCM393316 OMI393308:OMI393316 OWE393308:OWE393316 PGA393308:PGA393316 PPW393308:PPW393316 PZS393308:PZS393316 QJO393308:QJO393316 QTK393308:QTK393316 RDG393308:RDG393316 RNC393308:RNC393316 RWY393308:RWY393316 SGU393308:SGU393316 SQQ393308:SQQ393316 TAM393308:TAM393316 TKI393308:TKI393316 TUE393308:TUE393316 UEA393308:UEA393316 UNW393308:UNW393316 UXS393308:UXS393316 VHO393308:VHO393316 VRK393308:VRK393316 WBG393308:WBG393316 WLC393308:WLC393316 WUY393308:WUY393316 F458844:G458852 IM458844:IM458852 SI458844:SI458852 ACE458844:ACE458852 AMA458844:AMA458852 AVW458844:AVW458852 BFS458844:BFS458852 BPO458844:BPO458852 BZK458844:BZK458852 CJG458844:CJG458852 CTC458844:CTC458852 DCY458844:DCY458852 DMU458844:DMU458852 DWQ458844:DWQ458852 EGM458844:EGM458852 EQI458844:EQI458852 FAE458844:FAE458852 FKA458844:FKA458852 FTW458844:FTW458852 GDS458844:GDS458852 GNO458844:GNO458852 GXK458844:GXK458852 HHG458844:HHG458852 HRC458844:HRC458852 IAY458844:IAY458852 IKU458844:IKU458852 IUQ458844:IUQ458852 JEM458844:JEM458852 JOI458844:JOI458852 JYE458844:JYE458852 KIA458844:KIA458852 KRW458844:KRW458852 LBS458844:LBS458852 LLO458844:LLO458852 LVK458844:LVK458852 MFG458844:MFG458852 MPC458844:MPC458852 MYY458844:MYY458852 NIU458844:NIU458852 NSQ458844:NSQ458852 OCM458844:OCM458852 OMI458844:OMI458852 OWE458844:OWE458852 PGA458844:PGA458852 PPW458844:PPW458852 PZS458844:PZS458852 QJO458844:QJO458852 QTK458844:QTK458852 RDG458844:RDG458852 RNC458844:RNC458852 RWY458844:RWY458852 SGU458844:SGU458852 SQQ458844:SQQ458852 TAM458844:TAM458852 TKI458844:TKI458852 TUE458844:TUE458852 UEA458844:UEA458852 UNW458844:UNW458852 UXS458844:UXS458852 VHO458844:VHO458852 VRK458844:VRK458852 WBG458844:WBG458852 WLC458844:WLC458852 WUY458844:WUY458852 F524380:G524388 IM524380:IM524388 SI524380:SI524388 ACE524380:ACE524388 AMA524380:AMA524388 AVW524380:AVW524388 BFS524380:BFS524388 BPO524380:BPO524388 BZK524380:BZK524388 CJG524380:CJG524388 CTC524380:CTC524388 DCY524380:DCY524388 DMU524380:DMU524388 DWQ524380:DWQ524388 EGM524380:EGM524388 EQI524380:EQI524388 FAE524380:FAE524388 FKA524380:FKA524388 FTW524380:FTW524388 GDS524380:GDS524388 GNO524380:GNO524388 GXK524380:GXK524388 HHG524380:HHG524388 HRC524380:HRC524388 IAY524380:IAY524388 IKU524380:IKU524388 IUQ524380:IUQ524388 JEM524380:JEM524388 JOI524380:JOI524388 JYE524380:JYE524388 KIA524380:KIA524388 KRW524380:KRW524388 LBS524380:LBS524388 LLO524380:LLO524388 LVK524380:LVK524388 MFG524380:MFG524388 MPC524380:MPC524388 MYY524380:MYY524388 NIU524380:NIU524388 NSQ524380:NSQ524388 OCM524380:OCM524388 OMI524380:OMI524388 OWE524380:OWE524388 PGA524380:PGA524388 PPW524380:PPW524388 PZS524380:PZS524388 QJO524380:QJO524388 QTK524380:QTK524388 RDG524380:RDG524388 RNC524380:RNC524388 RWY524380:RWY524388 SGU524380:SGU524388 SQQ524380:SQQ524388 TAM524380:TAM524388 TKI524380:TKI524388 TUE524380:TUE524388 UEA524380:UEA524388 UNW524380:UNW524388 UXS524380:UXS524388 VHO524380:VHO524388 VRK524380:VRK524388 WBG524380:WBG524388 WLC524380:WLC524388 WUY524380:WUY524388 F589916:G589924 IM589916:IM589924 SI589916:SI589924 ACE589916:ACE589924 AMA589916:AMA589924 AVW589916:AVW589924 BFS589916:BFS589924 BPO589916:BPO589924 BZK589916:BZK589924 CJG589916:CJG589924 CTC589916:CTC589924 DCY589916:DCY589924 DMU589916:DMU589924 DWQ589916:DWQ589924 EGM589916:EGM589924 EQI589916:EQI589924 FAE589916:FAE589924 FKA589916:FKA589924 FTW589916:FTW589924 GDS589916:GDS589924 GNO589916:GNO589924 GXK589916:GXK589924 HHG589916:HHG589924 HRC589916:HRC589924 IAY589916:IAY589924 IKU589916:IKU589924 IUQ589916:IUQ589924 JEM589916:JEM589924 JOI589916:JOI589924 JYE589916:JYE589924 KIA589916:KIA589924 KRW589916:KRW589924 LBS589916:LBS589924 LLO589916:LLO589924 LVK589916:LVK589924 MFG589916:MFG589924 MPC589916:MPC589924 MYY589916:MYY589924 NIU589916:NIU589924 NSQ589916:NSQ589924 OCM589916:OCM589924 OMI589916:OMI589924 OWE589916:OWE589924 PGA589916:PGA589924 PPW589916:PPW589924 PZS589916:PZS589924 QJO589916:QJO589924 QTK589916:QTK589924 RDG589916:RDG589924 RNC589916:RNC589924 RWY589916:RWY589924 SGU589916:SGU589924 SQQ589916:SQQ589924 TAM589916:TAM589924 TKI589916:TKI589924 TUE589916:TUE589924 UEA589916:UEA589924 UNW589916:UNW589924 UXS589916:UXS589924 VHO589916:VHO589924 VRK589916:VRK589924 WBG589916:WBG589924 WLC589916:WLC589924 WUY589916:WUY589924 F655452:G655460 IM655452:IM655460 SI655452:SI655460 ACE655452:ACE655460 AMA655452:AMA655460 AVW655452:AVW655460 BFS655452:BFS655460 BPO655452:BPO655460 BZK655452:BZK655460 CJG655452:CJG655460 CTC655452:CTC655460 DCY655452:DCY655460 DMU655452:DMU655460 DWQ655452:DWQ655460 EGM655452:EGM655460 EQI655452:EQI655460 FAE655452:FAE655460 FKA655452:FKA655460 FTW655452:FTW655460 GDS655452:GDS655460 GNO655452:GNO655460 GXK655452:GXK655460 HHG655452:HHG655460 HRC655452:HRC655460 IAY655452:IAY655460 IKU655452:IKU655460 IUQ655452:IUQ655460 JEM655452:JEM655460 JOI655452:JOI655460 JYE655452:JYE655460 KIA655452:KIA655460 KRW655452:KRW655460 LBS655452:LBS655460 LLO655452:LLO655460 LVK655452:LVK655460 MFG655452:MFG655460 MPC655452:MPC655460 MYY655452:MYY655460 NIU655452:NIU655460 NSQ655452:NSQ655460 OCM655452:OCM655460 OMI655452:OMI655460 OWE655452:OWE655460 PGA655452:PGA655460 PPW655452:PPW655460 PZS655452:PZS655460 QJO655452:QJO655460 QTK655452:QTK655460 RDG655452:RDG655460 RNC655452:RNC655460 RWY655452:RWY655460 SGU655452:SGU655460 SQQ655452:SQQ655460 TAM655452:TAM655460 TKI655452:TKI655460 TUE655452:TUE655460 UEA655452:UEA655460 UNW655452:UNW655460 UXS655452:UXS655460 VHO655452:VHO655460 VRK655452:VRK655460 WBG655452:WBG655460 WLC655452:WLC655460 WUY655452:WUY655460 F720988:G720996 IM720988:IM720996 SI720988:SI720996 ACE720988:ACE720996 AMA720988:AMA720996 AVW720988:AVW720996 BFS720988:BFS720996 BPO720988:BPO720996 BZK720988:BZK720996 CJG720988:CJG720996 CTC720988:CTC720996 DCY720988:DCY720996 DMU720988:DMU720996 DWQ720988:DWQ720996 EGM720988:EGM720996 EQI720988:EQI720996 FAE720988:FAE720996 FKA720988:FKA720996 FTW720988:FTW720996 GDS720988:GDS720996 GNO720988:GNO720996 GXK720988:GXK720996 HHG720988:HHG720996 HRC720988:HRC720996 IAY720988:IAY720996 IKU720988:IKU720996 IUQ720988:IUQ720996 JEM720988:JEM720996 JOI720988:JOI720996 JYE720988:JYE720996 KIA720988:KIA720996 KRW720988:KRW720996 LBS720988:LBS720996 LLO720988:LLO720996 LVK720988:LVK720996 MFG720988:MFG720996 MPC720988:MPC720996 MYY720988:MYY720996 NIU720988:NIU720996 NSQ720988:NSQ720996 OCM720988:OCM720996 OMI720988:OMI720996 OWE720988:OWE720996 PGA720988:PGA720996 PPW720988:PPW720996 PZS720988:PZS720996 QJO720988:QJO720996 QTK720988:QTK720996 RDG720988:RDG720996 RNC720988:RNC720996 RWY720988:RWY720996 SGU720988:SGU720996 SQQ720988:SQQ720996 TAM720988:TAM720996 TKI720988:TKI720996 TUE720988:TUE720996 UEA720988:UEA720996 UNW720988:UNW720996 UXS720988:UXS720996 VHO720988:VHO720996 VRK720988:VRK720996 WBG720988:WBG720996 WLC720988:WLC720996 WUY720988:WUY720996 F786524:G786532 IM786524:IM786532 SI786524:SI786532 ACE786524:ACE786532 AMA786524:AMA786532 AVW786524:AVW786532 BFS786524:BFS786532 BPO786524:BPO786532 BZK786524:BZK786532 CJG786524:CJG786532 CTC786524:CTC786532 DCY786524:DCY786532 DMU786524:DMU786532 DWQ786524:DWQ786532 EGM786524:EGM786532 EQI786524:EQI786532 FAE786524:FAE786532 FKA786524:FKA786532 FTW786524:FTW786532 GDS786524:GDS786532 GNO786524:GNO786532 GXK786524:GXK786532 HHG786524:HHG786532 HRC786524:HRC786532 IAY786524:IAY786532 IKU786524:IKU786532 IUQ786524:IUQ786532 JEM786524:JEM786532 JOI786524:JOI786532 JYE786524:JYE786532 KIA786524:KIA786532 KRW786524:KRW786532 LBS786524:LBS786532 LLO786524:LLO786532 LVK786524:LVK786532 MFG786524:MFG786532 MPC786524:MPC786532 MYY786524:MYY786532 NIU786524:NIU786532 NSQ786524:NSQ786532 OCM786524:OCM786532 OMI786524:OMI786532 OWE786524:OWE786532 PGA786524:PGA786532 PPW786524:PPW786532 PZS786524:PZS786532 QJO786524:QJO786532 QTK786524:QTK786532 RDG786524:RDG786532 RNC786524:RNC786532 RWY786524:RWY786532 SGU786524:SGU786532 SQQ786524:SQQ786532 TAM786524:TAM786532 TKI786524:TKI786532 TUE786524:TUE786532 UEA786524:UEA786532 UNW786524:UNW786532 UXS786524:UXS786532 VHO786524:VHO786532 VRK786524:VRK786532 WBG786524:WBG786532 WLC786524:WLC786532 WUY786524:WUY786532 F852060:G852068 IM852060:IM852068 SI852060:SI852068 ACE852060:ACE852068 AMA852060:AMA852068 AVW852060:AVW852068 BFS852060:BFS852068 BPO852060:BPO852068 BZK852060:BZK852068 CJG852060:CJG852068 CTC852060:CTC852068 DCY852060:DCY852068 DMU852060:DMU852068 DWQ852060:DWQ852068 EGM852060:EGM852068 EQI852060:EQI852068 FAE852060:FAE852068 FKA852060:FKA852068 FTW852060:FTW852068 GDS852060:GDS852068 GNO852060:GNO852068 GXK852060:GXK852068 HHG852060:HHG852068 HRC852060:HRC852068 IAY852060:IAY852068 IKU852060:IKU852068 IUQ852060:IUQ852068 JEM852060:JEM852068 JOI852060:JOI852068 JYE852060:JYE852068 KIA852060:KIA852068 KRW852060:KRW852068 LBS852060:LBS852068 LLO852060:LLO852068 LVK852060:LVK852068 MFG852060:MFG852068 MPC852060:MPC852068 MYY852060:MYY852068 NIU852060:NIU852068 NSQ852060:NSQ852068 OCM852060:OCM852068 OMI852060:OMI852068 OWE852060:OWE852068 PGA852060:PGA852068 PPW852060:PPW852068 PZS852060:PZS852068 QJO852060:QJO852068 QTK852060:QTK852068 RDG852060:RDG852068 RNC852060:RNC852068 RWY852060:RWY852068 SGU852060:SGU852068 SQQ852060:SQQ852068 TAM852060:TAM852068 TKI852060:TKI852068 TUE852060:TUE852068 UEA852060:UEA852068 UNW852060:UNW852068 UXS852060:UXS852068 VHO852060:VHO852068 VRK852060:VRK852068 WBG852060:WBG852068 WLC852060:WLC852068 WUY852060:WUY852068 F917596:G917604 IM917596:IM917604 SI917596:SI917604 ACE917596:ACE917604 AMA917596:AMA917604 AVW917596:AVW917604 BFS917596:BFS917604 BPO917596:BPO917604 BZK917596:BZK917604 CJG917596:CJG917604 CTC917596:CTC917604 DCY917596:DCY917604 DMU917596:DMU917604 DWQ917596:DWQ917604 EGM917596:EGM917604 EQI917596:EQI917604 FAE917596:FAE917604 FKA917596:FKA917604 FTW917596:FTW917604 GDS917596:GDS917604 GNO917596:GNO917604 GXK917596:GXK917604 HHG917596:HHG917604 HRC917596:HRC917604 IAY917596:IAY917604 IKU917596:IKU917604 IUQ917596:IUQ917604 JEM917596:JEM917604 JOI917596:JOI917604 JYE917596:JYE917604 KIA917596:KIA917604 KRW917596:KRW917604 LBS917596:LBS917604 LLO917596:LLO917604 LVK917596:LVK917604 MFG917596:MFG917604 MPC917596:MPC917604 MYY917596:MYY917604 NIU917596:NIU917604 NSQ917596:NSQ917604 OCM917596:OCM917604 OMI917596:OMI917604 OWE917596:OWE917604 PGA917596:PGA917604 PPW917596:PPW917604 PZS917596:PZS917604 QJO917596:QJO917604 QTK917596:QTK917604 RDG917596:RDG917604 RNC917596:RNC917604 RWY917596:RWY917604 SGU917596:SGU917604 SQQ917596:SQQ917604 TAM917596:TAM917604 TKI917596:TKI917604 TUE917596:TUE917604 UEA917596:UEA917604 UNW917596:UNW917604 UXS917596:UXS917604 VHO917596:VHO917604 VRK917596:VRK917604 WBG917596:WBG917604 WLC917596:WLC917604 WUY917596:WUY917604 F983132:G983140 IM983132:IM983140 SI983132:SI983140 ACE983132:ACE983140 AMA983132:AMA983140 AVW983132:AVW983140 BFS983132:BFS983140 BPO983132:BPO983140 BZK983132:BZK983140 CJG983132:CJG983140 CTC983132:CTC983140 DCY983132:DCY983140 DMU983132:DMU983140 DWQ983132:DWQ983140 EGM983132:EGM983140 EQI983132:EQI983140 FAE983132:FAE983140 FKA983132:FKA983140 FTW983132:FTW983140 GDS983132:GDS983140 GNO983132:GNO983140 GXK983132:GXK983140 HHG983132:HHG983140 HRC983132:HRC983140 IAY983132:IAY983140 IKU983132:IKU983140 IUQ983132:IUQ983140 JEM983132:JEM983140 JOI983132:JOI983140 JYE983132:JYE983140 KIA983132:KIA983140 KRW983132:KRW983140 LBS983132:LBS983140 LLO983132:LLO983140 LVK983132:LVK983140 MFG983132:MFG983140 MPC983132:MPC983140 MYY983132:MYY983140 NIU983132:NIU983140 NSQ983132:NSQ983140 OCM983132:OCM983140 OMI983132:OMI983140 OWE983132:OWE983140 PGA983132:PGA983140 PPW983132:PPW983140 PZS983132:PZS983140 QJO983132:QJO983140 QTK983132:QTK983140 RDG983132:RDG983140 RNC983132:RNC983140 RWY983132:RWY983140 SGU983132:SGU983140 SQQ983132:SQQ983140 TAM983132:TAM983140 TKI983132:TKI983140 TUE983132:TUE983140 UEA983132:UEA983140 UNW983132:UNW983140 UXS983132:UXS983140 VHO983132:VHO983140 VRK983132:VRK983140 WBG983132:WBG983140 WLC983132:WLC983140 WUY983132:WUY983140 F11:G51 IM54:IM78 SI54:SI78 ACE54:ACE78 AMA54:AMA78 AVW54:AVW78 BFS54:BFS78 BPO54:BPO78 BZK54:BZK78 CJG54:CJG78 CTC54:CTC78 DCY54:DCY78 DMU54:DMU78 DWQ54:DWQ78 EGM54:EGM78 EQI54:EQI78 FAE54:FAE78 FKA54:FKA78 FTW54:FTW78 GDS54:GDS78 GNO54:GNO78 GXK54:GXK78 HHG54:HHG78 HRC54:HRC78 IAY54:IAY78 IKU54:IKU78 IUQ54:IUQ78 JEM54:JEM78 JOI54:JOI78 JYE54:JYE78 KIA54:KIA78 KRW54:KRW78 LBS54:LBS78 LLO54:LLO78 LVK54:LVK78 MFG54:MFG78 MPC54:MPC78 MYY54:MYY78 NIU54:NIU78 NSQ54:NSQ78 OCM54:OCM78 OMI54:OMI78 OWE54:OWE78 PGA54:PGA78 PPW54:PPW78 PZS54:PZS78 QJO54:QJO78 QTK54:QTK78 RDG54:RDG78 RNC54:RNC78 RWY54:RWY78 SGU54:SGU78 SQQ54:SQQ78 TAM54:TAM78 TKI54:TKI78 TUE54:TUE78 UEA54:UEA78 UNW54:UNW78 UXS54:UXS78 VHO54:VHO78 VRK54:VRK78 WBG54:WBG78 WLC54:WLC78 WUY54:WUY78 F65639:G65647 IM65639:IM65647 SI65639:SI65647 ACE65639:ACE65647 AMA65639:AMA65647 AVW65639:AVW65647 BFS65639:BFS65647 BPO65639:BPO65647 BZK65639:BZK65647 CJG65639:CJG65647 CTC65639:CTC65647 DCY65639:DCY65647 DMU65639:DMU65647 DWQ65639:DWQ65647 EGM65639:EGM65647 EQI65639:EQI65647 FAE65639:FAE65647 FKA65639:FKA65647 FTW65639:FTW65647 GDS65639:GDS65647 GNO65639:GNO65647 GXK65639:GXK65647 HHG65639:HHG65647 HRC65639:HRC65647 IAY65639:IAY65647 IKU65639:IKU65647 IUQ65639:IUQ65647 JEM65639:JEM65647 JOI65639:JOI65647 JYE65639:JYE65647 KIA65639:KIA65647 KRW65639:KRW65647 LBS65639:LBS65647 LLO65639:LLO65647 LVK65639:LVK65647 MFG65639:MFG65647 MPC65639:MPC65647 MYY65639:MYY65647 NIU65639:NIU65647 NSQ65639:NSQ65647 OCM65639:OCM65647 OMI65639:OMI65647 OWE65639:OWE65647 PGA65639:PGA65647 PPW65639:PPW65647 PZS65639:PZS65647 QJO65639:QJO65647 QTK65639:QTK65647 RDG65639:RDG65647 RNC65639:RNC65647 RWY65639:RWY65647 SGU65639:SGU65647 SQQ65639:SQQ65647 TAM65639:TAM65647 TKI65639:TKI65647 TUE65639:TUE65647 UEA65639:UEA65647 UNW65639:UNW65647 UXS65639:UXS65647 VHO65639:VHO65647 VRK65639:VRK65647 WBG65639:WBG65647 WLC65639:WLC65647 WUY65639:WUY65647 F131175:G131183 IM131175:IM131183 SI131175:SI131183 ACE131175:ACE131183 AMA131175:AMA131183 AVW131175:AVW131183 BFS131175:BFS131183 BPO131175:BPO131183 BZK131175:BZK131183 CJG131175:CJG131183 CTC131175:CTC131183 DCY131175:DCY131183 DMU131175:DMU131183 DWQ131175:DWQ131183 EGM131175:EGM131183 EQI131175:EQI131183 FAE131175:FAE131183 FKA131175:FKA131183 FTW131175:FTW131183 GDS131175:GDS131183 GNO131175:GNO131183 GXK131175:GXK131183 HHG131175:HHG131183 HRC131175:HRC131183 IAY131175:IAY131183 IKU131175:IKU131183 IUQ131175:IUQ131183 JEM131175:JEM131183 JOI131175:JOI131183 JYE131175:JYE131183 KIA131175:KIA131183 KRW131175:KRW131183 LBS131175:LBS131183 LLO131175:LLO131183 LVK131175:LVK131183 MFG131175:MFG131183 MPC131175:MPC131183 MYY131175:MYY131183 NIU131175:NIU131183 NSQ131175:NSQ131183 OCM131175:OCM131183 OMI131175:OMI131183 OWE131175:OWE131183 PGA131175:PGA131183 PPW131175:PPW131183 PZS131175:PZS131183 QJO131175:QJO131183 QTK131175:QTK131183 RDG131175:RDG131183 RNC131175:RNC131183 RWY131175:RWY131183 SGU131175:SGU131183 SQQ131175:SQQ131183 TAM131175:TAM131183 TKI131175:TKI131183 TUE131175:TUE131183 UEA131175:UEA131183 UNW131175:UNW131183 UXS131175:UXS131183 VHO131175:VHO131183 VRK131175:VRK131183 WBG131175:WBG131183 WLC131175:WLC131183 WUY131175:WUY131183 F196711:G196719 IM196711:IM196719 SI196711:SI196719 ACE196711:ACE196719 AMA196711:AMA196719 AVW196711:AVW196719 BFS196711:BFS196719 BPO196711:BPO196719 BZK196711:BZK196719 CJG196711:CJG196719 CTC196711:CTC196719 DCY196711:DCY196719 DMU196711:DMU196719 DWQ196711:DWQ196719 EGM196711:EGM196719 EQI196711:EQI196719 FAE196711:FAE196719 FKA196711:FKA196719 FTW196711:FTW196719 GDS196711:GDS196719 GNO196711:GNO196719 GXK196711:GXK196719 HHG196711:HHG196719 HRC196711:HRC196719 IAY196711:IAY196719 IKU196711:IKU196719 IUQ196711:IUQ196719 JEM196711:JEM196719 JOI196711:JOI196719 JYE196711:JYE196719 KIA196711:KIA196719 KRW196711:KRW196719 LBS196711:LBS196719 LLO196711:LLO196719 LVK196711:LVK196719 MFG196711:MFG196719 MPC196711:MPC196719 MYY196711:MYY196719 NIU196711:NIU196719 NSQ196711:NSQ196719 OCM196711:OCM196719 OMI196711:OMI196719 OWE196711:OWE196719 PGA196711:PGA196719 PPW196711:PPW196719 PZS196711:PZS196719 QJO196711:QJO196719 QTK196711:QTK196719 RDG196711:RDG196719 RNC196711:RNC196719 RWY196711:RWY196719 SGU196711:SGU196719 SQQ196711:SQQ196719 TAM196711:TAM196719 TKI196711:TKI196719 TUE196711:TUE196719 UEA196711:UEA196719 UNW196711:UNW196719 UXS196711:UXS196719 VHO196711:VHO196719 VRK196711:VRK196719 WBG196711:WBG196719 WLC196711:WLC196719 WUY196711:WUY196719 F262247:G262255 IM262247:IM262255 SI262247:SI262255 ACE262247:ACE262255 AMA262247:AMA262255 AVW262247:AVW262255 BFS262247:BFS262255 BPO262247:BPO262255 BZK262247:BZK262255 CJG262247:CJG262255 CTC262247:CTC262255 DCY262247:DCY262255 DMU262247:DMU262255 DWQ262247:DWQ262255 EGM262247:EGM262255 EQI262247:EQI262255 FAE262247:FAE262255 FKA262247:FKA262255 FTW262247:FTW262255 GDS262247:GDS262255 GNO262247:GNO262255 GXK262247:GXK262255 HHG262247:HHG262255 HRC262247:HRC262255 IAY262247:IAY262255 IKU262247:IKU262255 IUQ262247:IUQ262255 JEM262247:JEM262255 JOI262247:JOI262255 JYE262247:JYE262255 KIA262247:KIA262255 KRW262247:KRW262255 LBS262247:LBS262255 LLO262247:LLO262255 LVK262247:LVK262255 MFG262247:MFG262255 MPC262247:MPC262255 MYY262247:MYY262255 NIU262247:NIU262255 NSQ262247:NSQ262255 OCM262247:OCM262255 OMI262247:OMI262255 OWE262247:OWE262255 PGA262247:PGA262255 PPW262247:PPW262255 PZS262247:PZS262255 QJO262247:QJO262255 QTK262247:QTK262255 RDG262247:RDG262255 RNC262247:RNC262255 RWY262247:RWY262255 SGU262247:SGU262255 SQQ262247:SQQ262255 TAM262247:TAM262255 TKI262247:TKI262255 TUE262247:TUE262255 UEA262247:UEA262255 UNW262247:UNW262255 UXS262247:UXS262255 VHO262247:VHO262255 VRK262247:VRK262255 WBG262247:WBG262255 WLC262247:WLC262255 WUY262247:WUY262255 F327783:G327791 IM327783:IM327791 SI327783:SI327791 ACE327783:ACE327791 AMA327783:AMA327791 AVW327783:AVW327791 BFS327783:BFS327791 BPO327783:BPO327791 BZK327783:BZK327791 CJG327783:CJG327791 CTC327783:CTC327791 DCY327783:DCY327791 DMU327783:DMU327791 DWQ327783:DWQ327791 EGM327783:EGM327791 EQI327783:EQI327791 FAE327783:FAE327791 FKA327783:FKA327791 FTW327783:FTW327791 GDS327783:GDS327791 GNO327783:GNO327791 GXK327783:GXK327791 HHG327783:HHG327791 HRC327783:HRC327791 IAY327783:IAY327791 IKU327783:IKU327791 IUQ327783:IUQ327791 JEM327783:JEM327791 JOI327783:JOI327791 JYE327783:JYE327791 KIA327783:KIA327791 KRW327783:KRW327791 LBS327783:LBS327791 LLO327783:LLO327791 LVK327783:LVK327791 MFG327783:MFG327791 MPC327783:MPC327791 MYY327783:MYY327791 NIU327783:NIU327791 NSQ327783:NSQ327791 OCM327783:OCM327791 OMI327783:OMI327791 OWE327783:OWE327791 PGA327783:PGA327791 PPW327783:PPW327791 PZS327783:PZS327791 QJO327783:QJO327791 QTK327783:QTK327791 RDG327783:RDG327791 RNC327783:RNC327791 RWY327783:RWY327791 SGU327783:SGU327791 SQQ327783:SQQ327791 TAM327783:TAM327791 TKI327783:TKI327791 TUE327783:TUE327791 UEA327783:UEA327791 UNW327783:UNW327791 UXS327783:UXS327791 VHO327783:VHO327791 VRK327783:VRK327791 WBG327783:WBG327791 WLC327783:WLC327791 WUY327783:WUY327791 F393319:G393327 IM393319:IM393327 SI393319:SI393327 ACE393319:ACE393327 AMA393319:AMA393327 AVW393319:AVW393327 BFS393319:BFS393327 BPO393319:BPO393327 BZK393319:BZK393327 CJG393319:CJG393327 CTC393319:CTC393327 DCY393319:DCY393327 DMU393319:DMU393327 DWQ393319:DWQ393327 EGM393319:EGM393327 EQI393319:EQI393327 FAE393319:FAE393327 FKA393319:FKA393327 FTW393319:FTW393327 GDS393319:GDS393327 GNO393319:GNO393327 GXK393319:GXK393327 HHG393319:HHG393327 HRC393319:HRC393327 IAY393319:IAY393327 IKU393319:IKU393327 IUQ393319:IUQ393327 JEM393319:JEM393327 JOI393319:JOI393327 JYE393319:JYE393327 KIA393319:KIA393327 KRW393319:KRW393327 LBS393319:LBS393327 LLO393319:LLO393327 LVK393319:LVK393327 MFG393319:MFG393327 MPC393319:MPC393327 MYY393319:MYY393327 NIU393319:NIU393327 NSQ393319:NSQ393327 OCM393319:OCM393327 OMI393319:OMI393327 OWE393319:OWE393327 PGA393319:PGA393327 PPW393319:PPW393327 PZS393319:PZS393327 QJO393319:QJO393327 QTK393319:QTK393327 RDG393319:RDG393327 RNC393319:RNC393327 RWY393319:RWY393327 SGU393319:SGU393327 SQQ393319:SQQ393327 TAM393319:TAM393327 TKI393319:TKI393327 TUE393319:TUE393327 UEA393319:UEA393327 UNW393319:UNW393327 UXS393319:UXS393327 VHO393319:VHO393327 VRK393319:VRK393327 WBG393319:WBG393327 WLC393319:WLC393327 WUY393319:WUY393327 F458855:G458863 IM458855:IM458863 SI458855:SI458863 ACE458855:ACE458863 AMA458855:AMA458863 AVW458855:AVW458863 BFS458855:BFS458863 BPO458855:BPO458863 BZK458855:BZK458863 CJG458855:CJG458863 CTC458855:CTC458863 DCY458855:DCY458863 DMU458855:DMU458863 DWQ458855:DWQ458863 EGM458855:EGM458863 EQI458855:EQI458863 FAE458855:FAE458863 FKA458855:FKA458863 FTW458855:FTW458863 GDS458855:GDS458863 GNO458855:GNO458863 GXK458855:GXK458863 HHG458855:HHG458863 HRC458855:HRC458863 IAY458855:IAY458863 IKU458855:IKU458863 IUQ458855:IUQ458863 JEM458855:JEM458863 JOI458855:JOI458863 JYE458855:JYE458863 KIA458855:KIA458863 KRW458855:KRW458863 LBS458855:LBS458863 LLO458855:LLO458863 LVK458855:LVK458863 MFG458855:MFG458863 MPC458855:MPC458863 MYY458855:MYY458863 NIU458855:NIU458863 NSQ458855:NSQ458863 OCM458855:OCM458863 OMI458855:OMI458863 OWE458855:OWE458863 PGA458855:PGA458863 PPW458855:PPW458863 PZS458855:PZS458863 QJO458855:QJO458863 QTK458855:QTK458863 RDG458855:RDG458863 RNC458855:RNC458863 RWY458855:RWY458863 SGU458855:SGU458863 SQQ458855:SQQ458863 TAM458855:TAM458863 TKI458855:TKI458863 TUE458855:TUE458863 UEA458855:UEA458863 UNW458855:UNW458863 UXS458855:UXS458863 VHO458855:VHO458863 VRK458855:VRK458863 WBG458855:WBG458863 WLC458855:WLC458863 WUY458855:WUY458863 F524391:G524399 IM524391:IM524399 SI524391:SI524399 ACE524391:ACE524399 AMA524391:AMA524399 AVW524391:AVW524399 BFS524391:BFS524399 BPO524391:BPO524399 BZK524391:BZK524399 CJG524391:CJG524399 CTC524391:CTC524399 DCY524391:DCY524399 DMU524391:DMU524399 DWQ524391:DWQ524399 EGM524391:EGM524399 EQI524391:EQI524399 FAE524391:FAE524399 FKA524391:FKA524399 FTW524391:FTW524399 GDS524391:GDS524399 GNO524391:GNO524399 GXK524391:GXK524399 HHG524391:HHG524399 HRC524391:HRC524399 IAY524391:IAY524399 IKU524391:IKU524399 IUQ524391:IUQ524399 JEM524391:JEM524399 JOI524391:JOI524399 JYE524391:JYE524399 KIA524391:KIA524399 KRW524391:KRW524399 LBS524391:LBS524399 LLO524391:LLO524399 LVK524391:LVK524399 MFG524391:MFG524399 MPC524391:MPC524399 MYY524391:MYY524399 NIU524391:NIU524399 NSQ524391:NSQ524399 OCM524391:OCM524399 OMI524391:OMI524399 OWE524391:OWE524399 PGA524391:PGA524399 PPW524391:PPW524399 PZS524391:PZS524399 QJO524391:QJO524399 QTK524391:QTK524399 RDG524391:RDG524399 RNC524391:RNC524399 RWY524391:RWY524399 SGU524391:SGU524399 SQQ524391:SQQ524399 TAM524391:TAM524399 TKI524391:TKI524399 TUE524391:TUE524399 UEA524391:UEA524399 UNW524391:UNW524399 UXS524391:UXS524399 VHO524391:VHO524399 VRK524391:VRK524399 WBG524391:WBG524399 WLC524391:WLC524399 WUY524391:WUY524399 F589927:G589935 IM589927:IM589935 SI589927:SI589935 ACE589927:ACE589935 AMA589927:AMA589935 AVW589927:AVW589935 BFS589927:BFS589935 BPO589927:BPO589935 BZK589927:BZK589935 CJG589927:CJG589935 CTC589927:CTC589935 DCY589927:DCY589935 DMU589927:DMU589935 DWQ589927:DWQ589935 EGM589927:EGM589935 EQI589927:EQI589935 FAE589927:FAE589935 FKA589927:FKA589935 FTW589927:FTW589935 GDS589927:GDS589935 GNO589927:GNO589935 GXK589927:GXK589935 HHG589927:HHG589935 HRC589927:HRC589935 IAY589927:IAY589935 IKU589927:IKU589935 IUQ589927:IUQ589935 JEM589927:JEM589935 JOI589927:JOI589935 JYE589927:JYE589935 KIA589927:KIA589935 KRW589927:KRW589935 LBS589927:LBS589935 LLO589927:LLO589935 LVK589927:LVK589935 MFG589927:MFG589935 MPC589927:MPC589935 MYY589927:MYY589935 NIU589927:NIU589935 NSQ589927:NSQ589935 OCM589927:OCM589935 OMI589927:OMI589935 OWE589927:OWE589935 PGA589927:PGA589935 PPW589927:PPW589935 PZS589927:PZS589935 QJO589927:QJO589935 QTK589927:QTK589935 RDG589927:RDG589935 RNC589927:RNC589935 RWY589927:RWY589935 SGU589927:SGU589935 SQQ589927:SQQ589935 TAM589927:TAM589935 TKI589927:TKI589935 TUE589927:TUE589935 UEA589927:UEA589935 UNW589927:UNW589935 UXS589927:UXS589935 VHO589927:VHO589935 VRK589927:VRK589935 WBG589927:WBG589935 WLC589927:WLC589935 WUY589927:WUY589935 F655463:G655471 IM655463:IM655471 SI655463:SI655471 ACE655463:ACE655471 AMA655463:AMA655471 AVW655463:AVW655471 BFS655463:BFS655471 BPO655463:BPO655471 BZK655463:BZK655471 CJG655463:CJG655471 CTC655463:CTC655471 DCY655463:DCY655471 DMU655463:DMU655471 DWQ655463:DWQ655471 EGM655463:EGM655471 EQI655463:EQI655471 FAE655463:FAE655471 FKA655463:FKA655471 FTW655463:FTW655471 GDS655463:GDS655471 GNO655463:GNO655471 GXK655463:GXK655471 HHG655463:HHG655471 HRC655463:HRC655471 IAY655463:IAY655471 IKU655463:IKU655471 IUQ655463:IUQ655471 JEM655463:JEM655471 JOI655463:JOI655471 JYE655463:JYE655471 KIA655463:KIA655471 KRW655463:KRW655471 LBS655463:LBS655471 LLO655463:LLO655471 LVK655463:LVK655471 MFG655463:MFG655471 MPC655463:MPC655471 MYY655463:MYY655471 NIU655463:NIU655471 NSQ655463:NSQ655471 OCM655463:OCM655471 OMI655463:OMI655471 OWE655463:OWE655471 PGA655463:PGA655471 PPW655463:PPW655471 PZS655463:PZS655471 QJO655463:QJO655471 QTK655463:QTK655471 RDG655463:RDG655471 RNC655463:RNC655471 RWY655463:RWY655471 SGU655463:SGU655471 SQQ655463:SQQ655471 TAM655463:TAM655471 TKI655463:TKI655471 TUE655463:TUE655471 UEA655463:UEA655471 UNW655463:UNW655471 UXS655463:UXS655471 VHO655463:VHO655471 VRK655463:VRK655471 WBG655463:WBG655471 WLC655463:WLC655471 WUY655463:WUY655471 F720999:G721007 IM720999:IM721007 SI720999:SI721007 ACE720999:ACE721007 AMA720999:AMA721007 AVW720999:AVW721007 BFS720999:BFS721007 BPO720999:BPO721007 BZK720999:BZK721007 CJG720999:CJG721007 CTC720999:CTC721007 DCY720999:DCY721007 DMU720999:DMU721007 DWQ720999:DWQ721007 EGM720999:EGM721007 EQI720999:EQI721007 FAE720999:FAE721007 FKA720999:FKA721007 FTW720999:FTW721007 GDS720999:GDS721007 GNO720999:GNO721007 GXK720999:GXK721007 HHG720999:HHG721007 HRC720999:HRC721007 IAY720999:IAY721007 IKU720999:IKU721007 IUQ720999:IUQ721007 JEM720999:JEM721007 JOI720999:JOI721007 JYE720999:JYE721007 KIA720999:KIA721007 KRW720999:KRW721007 LBS720999:LBS721007 LLO720999:LLO721007 LVK720999:LVK721007 MFG720999:MFG721007 MPC720999:MPC721007 MYY720999:MYY721007 NIU720999:NIU721007 NSQ720999:NSQ721007 OCM720999:OCM721007 OMI720999:OMI721007 OWE720999:OWE721007 PGA720999:PGA721007 PPW720999:PPW721007 PZS720999:PZS721007 QJO720999:QJO721007 QTK720999:QTK721007 RDG720999:RDG721007 RNC720999:RNC721007 RWY720999:RWY721007 SGU720999:SGU721007 SQQ720999:SQQ721007 TAM720999:TAM721007 TKI720999:TKI721007 TUE720999:TUE721007 UEA720999:UEA721007 UNW720999:UNW721007 UXS720999:UXS721007 VHO720999:VHO721007 VRK720999:VRK721007 WBG720999:WBG721007 WLC720999:WLC721007 WUY720999:WUY721007 F786535:G786543 IM786535:IM786543 SI786535:SI786543 ACE786535:ACE786543 AMA786535:AMA786543 AVW786535:AVW786543 BFS786535:BFS786543 BPO786535:BPO786543 BZK786535:BZK786543 CJG786535:CJG786543 CTC786535:CTC786543 DCY786535:DCY786543 DMU786535:DMU786543 DWQ786535:DWQ786543 EGM786535:EGM786543 EQI786535:EQI786543 FAE786535:FAE786543 FKA786535:FKA786543 FTW786535:FTW786543 GDS786535:GDS786543 GNO786535:GNO786543 GXK786535:GXK786543 HHG786535:HHG786543 HRC786535:HRC786543 IAY786535:IAY786543 IKU786535:IKU786543 IUQ786535:IUQ786543 JEM786535:JEM786543 JOI786535:JOI786543 JYE786535:JYE786543 KIA786535:KIA786543 KRW786535:KRW786543 LBS786535:LBS786543 LLO786535:LLO786543 LVK786535:LVK786543 MFG786535:MFG786543 MPC786535:MPC786543 MYY786535:MYY786543 NIU786535:NIU786543 NSQ786535:NSQ786543 OCM786535:OCM786543 OMI786535:OMI786543 OWE786535:OWE786543 PGA786535:PGA786543 PPW786535:PPW786543 PZS786535:PZS786543 QJO786535:QJO786543 QTK786535:QTK786543 RDG786535:RDG786543 RNC786535:RNC786543 RWY786535:RWY786543 SGU786535:SGU786543 SQQ786535:SQQ786543 TAM786535:TAM786543 TKI786535:TKI786543 TUE786535:TUE786543 UEA786535:UEA786543 UNW786535:UNW786543 UXS786535:UXS786543 VHO786535:VHO786543 VRK786535:VRK786543 WBG786535:WBG786543 WLC786535:WLC786543 WUY786535:WUY786543 F852071:G852079 IM852071:IM852079 SI852071:SI852079 ACE852071:ACE852079 AMA852071:AMA852079 AVW852071:AVW852079 BFS852071:BFS852079 BPO852071:BPO852079 BZK852071:BZK852079 CJG852071:CJG852079 CTC852071:CTC852079 DCY852071:DCY852079 DMU852071:DMU852079 DWQ852071:DWQ852079 EGM852071:EGM852079 EQI852071:EQI852079 FAE852071:FAE852079 FKA852071:FKA852079 FTW852071:FTW852079 GDS852071:GDS852079 GNO852071:GNO852079 GXK852071:GXK852079 HHG852071:HHG852079 HRC852071:HRC852079 IAY852071:IAY852079 IKU852071:IKU852079 IUQ852071:IUQ852079 JEM852071:JEM852079 JOI852071:JOI852079 JYE852071:JYE852079 KIA852071:KIA852079 KRW852071:KRW852079 LBS852071:LBS852079 LLO852071:LLO852079 LVK852071:LVK852079 MFG852071:MFG852079 MPC852071:MPC852079 MYY852071:MYY852079 NIU852071:NIU852079 NSQ852071:NSQ852079 OCM852071:OCM852079 OMI852071:OMI852079 OWE852071:OWE852079 PGA852071:PGA852079 PPW852071:PPW852079 PZS852071:PZS852079 QJO852071:QJO852079 QTK852071:QTK852079 RDG852071:RDG852079 RNC852071:RNC852079 RWY852071:RWY852079 SGU852071:SGU852079 SQQ852071:SQQ852079 TAM852071:TAM852079 TKI852071:TKI852079 TUE852071:TUE852079 UEA852071:UEA852079 UNW852071:UNW852079 UXS852071:UXS852079 VHO852071:VHO852079 VRK852071:VRK852079 WBG852071:WBG852079 WLC852071:WLC852079 WUY852071:WUY852079 F917607:G917615 IM917607:IM917615 SI917607:SI917615 ACE917607:ACE917615 AMA917607:AMA917615 AVW917607:AVW917615 BFS917607:BFS917615 BPO917607:BPO917615 BZK917607:BZK917615 CJG917607:CJG917615 CTC917607:CTC917615 DCY917607:DCY917615 DMU917607:DMU917615 DWQ917607:DWQ917615 EGM917607:EGM917615 EQI917607:EQI917615 FAE917607:FAE917615 FKA917607:FKA917615 FTW917607:FTW917615 GDS917607:GDS917615 GNO917607:GNO917615 GXK917607:GXK917615 HHG917607:HHG917615 HRC917607:HRC917615 IAY917607:IAY917615 IKU917607:IKU917615 IUQ917607:IUQ917615 JEM917607:JEM917615 JOI917607:JOI917615 JYE917607:JYE917615 KIA917607:KIA917615 KRW917607:KRW917615 LBS917607:LBS917615 LLO917607:LLO917615 LVK917607:LVK917615 MFG917607:MFG917615 MPC917607:MPC917615 MYY917607:MYY917615 NIU917607:NIU917615 NSQ917607:NSQ917615 OCM917607:OCM917615 OMI917607:OMI917615 OWE917607:OWE917615 PGA917607:PGA917615 PPW917607:PPW917615 PZS917607:PZS917615 QJO917607:QJO917615 QTK917607:QTK917615 RDG917607:RDG917615 RNC917607:RNC917615 RWY917607:RWY917615 SGU917607:SGU917615 SQQ917607:SQQ917615 TAM917607:TAM917615 TKI917607:TKI917615 TUE917607:TUE917615 UEA917607:UEA917615 UNW917607:UNW917615 UXS917607:UXS917615 VHO917607:VHO917615 VRK917607:VRK917615 WBG917607:WBG917615 WLC917607:WLC917615 WUY917607:WUY917615 F983143:G983151 IM983143:IM983151 SI983143:SI983151 ACE983143:ACE983151 AMA983143:AMA983151 AVW983143:AVW983151 BFS983143:BFS983151 BPO983143:BPO983151 BZK983143:BZK983151 CJG983143:CJG983151 CTC983143:CTC983151 DCY983143:DCY983151 DMU983143:DMU983151 DWQ983143:DWQ983151 EGM983143:EGM983151 EQI983143:EQI983151 FAE983143:FAE983151 FKA983143:FKA983151 FTW983143:FTW983151 GDS983143:GDS983151 GNO983143:GNO983151 GXK983143:GXK983151 HHG983143:HHG983151 HRC983143:HRC983151 IAY983143:IAY983151 IKU983143:IKU983151 IUQ983143:IUQ983151 JEM983143:JEM983151 JOI983143:JOI983151 JYE983143:JYE983151 KIA983143:KIA983151 KRW983143:KRW983151 LBS983143:LBS983151 LLO983143:LLO983151 LVK983143:LVK983151 MFG983143:MFG983151 MPC983143:MPC983151 MYY983143:MYY983151 NIU983143:NIU983151 NSQ983143:NSQ983151 OCM983143:OCM983151 OMI983143:OMI983151 OWE983143:OWE983151 PGA983143:PGA983151 PPW983143:PPW983151 PZS983143:PZS983151 QJO983143:QJO983151 QTK983143:QTK983151 RDG983143:RDG983151 RNC983143:RNC983151 RWY983143:RWY983151 SGU983143:SGU983151 SQQ983143:SQQ983151 TAM983143:TAM983151 TKI983143:TKI983151 TUE983143:TUE983151 UEA983143:UEA983151 UNW983143:UNW983151 UXS983143:UXS983151 VHO983143:VHO983151 VRK983143:VRK983151 WBG983143:WBG983151 WLC983143:WLC983151 F54:G78" xr:uid="{8145C8A7-8C56-4344-9A00-67CC5DB168D8}"/>
    <dataValidation allowBlank="1" showInputMessage="1" showErrorMessage="1" prompt="diligencie la dedicación del personal relacionado." sqref="WUU983143:WUU983151 II11:II51 SE11:SE51 ACA11:ACA51 ALW11:ALW51 AVS11:AVS51 BFO11:BFO51 BPK11:BPK51 BZG11:BZG51 CJC11:CJC51 CSY11:CSY51 DCU11:DCU51 DMQ11:DMQ51 DWM11:DWM51 EGI11:EGI51 EQE11:EQE51 FAA11:FAA51 FJW11:FJW51 FTS11:FTS51 GDO11:GDO51 GNK11:GNK51 GXG11:GXG51 HHC11:HHC51 HQY11:HQY51 IAU11:IAU51 IKQ11:IKQ51 IUM11:IUM51 JEI11:JEI51 JOE11:JOE51 JYA11:JYA51 KHW11:KHW51 KRS11:KRS51 LBO11:LBO51 LLK11:LLK51 LVG11:LVG51 MFC11:MFC51 MOY11:MOY51 MYU11:MYU51 NIQ11:NIQ51 NSM11:NSM51 OCI11:OCI51 OME11:OME51 OWA11:OWA51 PFW11:PFW51 PPS11:PPS51 PZO11:PZO51 QJK11:QJK51 QTG11:QTG51 RDC11:RDC51 RMY11:RMY51 RWU11:RWU51 SGQ11:SGQ51 SQM11:SQM51 TAI11:TAI51 TKE11:TKE51 TUA11:TUA51 UDW11:UDW51 UNS11:UNS51 UXO11:UXO51 VHK11:VHK51 VRG11:VRG51 WBC11:WBC51 WKY11:WKY51 WUU11:WUU51 C65628:C65636 II65628:II65636 SE65628:SE65636 ACA65628:ACA65636 ALW65628:ALW65636 AVS65628:AVS65636 BFO65628:BFO65636 BPK65628:BPK65636 BZG65628:BZG65636 CJC65628:CJC65636 CSY65628:CSY65636 DCU65628:DCU65636 DMQ65628:DMQ65636 DWM65628:DWM65636 EGI65628:EGI65636 EQE65628:EQE65636 FAA65628:FAA65636 FJW65628:FJW65636 FTS65628:FTS65636 GDO65628:GDO65636 GNK65628:GNK65636 GXG65628:GXG65636 HHC65628:HHC65636 HQY65628:HQY65636 IAU65628:IAU65636 IKQ65628:IKQ65636 IUM65628:IUM65636 JEI65628:JEI65636 JOE65628:JOE65636 JYA65628:JYA65636 KHW65628:KHW65636 KRS65628:KRS65636 LBO65628:LBO65636 LLK65628:LLK65636 LVG65628:LVG65636 MFC65628:MFC65636 MOY65628:MOY65636 MYU65628:MYU65636 NIQ65628:NIQ65636 NSM65628:NSM65636 OCI65628:OCI65636 OME65628:OME65636 OWA65628:OWA65636 PFW65628:PFW65636 PPS65628:PPS65636 PZO65628:PZO65636 QJK65628:QJK65636 QTG65628:QTG65636 RDC65628:RDC65636 RMY65628:RMY65636 RWU65628:RWU65636 SGQ65628:SGQ65636 SQM65628:SQM65636 TAI65628:TAI65636 TKE65628:TKE65636 TUA65628:TUA65636 UDW65628:UDW65636 UNS65628:UNS65636 UXO65628:UXO65636 VHK65628:VHK65636 VRG65628:VRG65636 WBC65628:WBC65636 WKY65628:WKY65636 WUU65628:WUU65636 C131164:C131172 II131164:II131172 SE131164:SE131172 ACA131164:ACA131172 ALW131164:ALW131172 AVS131164:AVS131172 BFO131164:BFO131172 BPK131164:BPK131172 BZG131164:BZG131172 CJC131164:CJC131172 CSY131164:CSY131172 DCU131164:DCU131172 DMQ131164:DMQ131172 DWM131164:DWM131172 EGI131164:EGI131172 EQE131164:EQE131172 FAA131164:FAA131172 FJW131164:FJW131172 FTS131164:FTS131172 GDO131164:GDO131172 GNK131164:GNK131172 GXG131164:GXG131172 HHC131164:HHC131172 HQY131164:HQY131172 IAU131164:IAU131172 IKQ131164:IKQ131172 IUM131164:IUM131172 JEI131164:JEI131172 JOE131164:JOE131172 JYA131164:JYA131172 KHW131164:KHW131172 KRS131164:KRS131172 LBO131164:LBO131172 LLK131164:LLK131172 LVG131164:LVG131172 MFC131164:MFC131172 MOY131164:MOY131172 MYU131164:MYU131172 NIQ131164:NIQ131172 NSM131164:NSM131172 OCI131164:OCI131172 OME131164:OME131172 OWA131164:OWA131172 PFW131164:PFW131172 PPS131164:PPS131172 PZO131164:PZO131172 QJK131164:QJK131172 QTG131164:QTG131172 RDC131164:RDC131172 RMY131164:RMY131172 RWU131164:RWU131172 SGQ131164:SGQ131172 SQM131164:SQM131172 TAI131164:TAI131172 TKE131164:TKE131172 TUA131164:TUA131172 UDW131164:UDW131172 UNS131164:UNS131172 UXO131164:UXO131172 VHK131164:VHK131172 VRG131164:VRG131172 WBC131164:WBC131172 WKY131164:WKY131172 WUU131164:WUU131172 C196700:C196708 II196700:II196708 SE196700:SE196708 ACA196700:ACA196708 ALW196700:ALW196708 AVS196700:AVS196708 BFO196700:BFO196708 BPK196700:BPK196708 BZG196700:BZG196708 CJC196700:CJC196708 CSY196700:CSY196708 DCU196700:DCU196708 DMQ196700:DMQ196708 DWM196700:DWM196708 EGI196700:EGI196708 EQE196700:EQE196708 FAA196700:FAA196708 FJW196700:FJW196708 FTS196700:FTS196708 GDO196700:GDO196708 GNK196700:GNK196708 GXG196700:GXG196708 HHC196700:HHC196708 HQY196700:HQY196708 IAU196700:IAU196708 IKQ196700:IKQ196708 IUM196700:IUM196708 JEI196700:JEI196708 JOE196700:JOE196708 JYA196700:JYA196708 KHW196700:KHW196708 KRS196700:KRS196708 LBO196700:LBO196708 LLK196700:LLK196708 LVG196700:LVG196708 MFC196700:MFC196708 MOY196700:MOY196708 MYU196700:MYU196708 NIQ196700:NIQ196708 NSM196700:NSM196708 OCI196700:OCI196708 OME196700:OME196708 OWA196700:OWA196708 PFW196700:PFW196708 PPS196700:PPS196708 PZO196700:PZO196708 QJK196700:QJK196708 QTG196700:QTG196708 RDC196700:RDC196708 RMY196700:RMY196708 RWU196700:RWU196708 SGQ196700:SGQ196708 SQM196700:SQM196708 TAI196700:TAI196708 TKE196700:TKE196708 TUA196700:TUA196708 UDW196700:UDW196708 UNS196700:UNS196708 UXO196700:UXO196708 VHK196700:VHK196708 VRG196700:VRG196708 WBC196700:WBC196708 WKY196700:WKY196708 WUU196700:WUU196708 C262236:C262244 II262236:II262244 SE262236:SE262244 ACA262236:ACA262244 ALW262236:ALW262244 AVS262236:AVS262244 BFO262236:BFO262244 BPK262236:BPK262244 BZG262236:BZG262244 CJC262236:CJC262244 CSY262236:CSY262244 DCU262236:DCU262244 DMQ262236:DMQ262244 DWM262236:DWM262244 EGI262236:EGI262244 EQE262236:EQE262244 FAA262236:FAA262244 FJW262236:FJW262244 FTS262236:FTS262244 GDO262236:GDO262244 GNK262236:GNK262244 GXG262236:GXG262244 HHC262236:HHC262244 HQY262236:HQY262244 IAU262236:IAU262244 IKQ262236:IKQ262244 IUM262236:IUM262244 JEI262236:JEI262244 JOE262236:JOE262244 JYA262236:JYA262244 KHW262236:KHW262244 KRS262236:KRS262244 LBO262236:LBO262244 LLK262236:LLK262244 LVG262236:LVG262244 MFC262236:MFC262244 MOY262236:MOY262244 MYU262236:MYU262244 NIQ262236:NIQ262244 NSM262236:NSM262244 OCI262236:OCI262244 OME262236:OME262244 OWA262236:OWA262244 PFW262236:PFW262244 PPS262236:PPS262244 PZO262236:PZO262244 QJK262236:QJK262244 QTG262236:QTG262244 RDC262236:RDC262244 RMY262236:RMY262244 RWU262236:RWU262244 SGQ262236:SGQ262244 SQM262236:SQM262244 TAI262236:TAI262244 TKE262236:TKE262244 TUA262236:TUA262244 UDW262236:UDW262244 UNS262236:UNS262244 UXO262236:UXO262244 VHK262236:VHK262244 VRG262236:VRG262244 WBC262236:WBC262244 WKY262236:WKY262244 WUU262236:WUU262244 C327772:C327780 II327772:II327780 SE327772:SE327780 ACA327772:ACA327780 ALW327772:ALW327780 AVS327772:AVS327780 BFO327772:BFO327780 BPK327772:BPK327780 BZG327772:BZG327780 CJC327772:CJC327780 CSY327772:CSY327780 DCU327772:DCU327780 DMQ327772:DMQ327780 DWM327772:DWM327780 EGI327772:EGI327780 EQE327772:EQE327780 FAA327772:FAA327780 FJW327772:FJW327780 FTS327772:FTS327780 GDO327772:GDO327780 GNK327772:GNK327780 GXG327772:GXG327780 HHC327772:HHC327780 HQY327772:HQY327780 IAU327772:IAU327780 IKQ327772:IKQ327780 IUM327772:IUM327780 JEI327772:JEI327780 JOE327772:JOE327780 JYA327772:JYA327780 KHW327772:KHW327780 KRS327772:KRS327780 LBO327772:LBO327780 LLK327772:LLK327780 LVG327772:LVG327780 MFC327772:MFC327780 MOY327772:MOY327780 MYU327772:MYU327780 NIQ327772:NIQ327780 NSM327772:NSM327780 OCI327772:OCI327780 OME327772:OME327780 OWA327772:OWA327780 PFW327772:PFW327780 PPS327772:PPS327780 PZO327772:PZO327780 QJK327772:QJK327780 QTG327772:QTG327780 RDC327772:RDC327780 RMY327772:RMY327780 RWU327772:RWU327780 SGQ327772:SGQ327780 SQM327772:SQM327780 TAI327772:TAI327780 TKE327772:TKE327780 TUA327772:TUA327780 UDW327772:UDW327780 UNS327772:UNS327780 UXO327772:UXO327780 VHK327772:VHK327780 VRG327772:VRG327780 WBC327772:WBC327780 WKY327772:WKY327780 WUU327772:WUU327780 C393308:C393316 II393308:II393316 SE393308:SE393316 ACA393308:ACA393316 ALW393308:ALW393316 AVS393308:AVS393316 BFO393308:BFO393316 BPK393308:BPK393316 BZG393308:BZG393316 CJC393308:CJC393316 CSY393308:CSY393316 DCU393308:DCU393316 DMQ393308:DMQ393316 DWM393308:DWM393316 EGI393308:EGI393316 EQE393308:EQE393316 FAA393308:FAA393316 FJW393308:FJW393316 FTS393308:FTS393316 GDO393308:GDO393316 GNK393308:GNK393316 GXG393308:GXG393316 HHC393308:HHC393316 HQY393308:HQY393316 IAU393308:IAU393316 IKQ393308:IKQ393316 IUM393308:IUM393316 JEI393308:JEI393316 JOE393308:JOE393316 JYA393308:JYA393316 KHW393308:KHW393316 KRS393308:KRS393316 LBO393308:LBO393316 LLK393308:LLK393316 LVG393308:LVG393316 MFC393308:MFC393316 MOY393308:MOY393316 MYU393308:MYU393316 NIQ393308:NIQ393316 NSM393308:NSM393316 OCI393308:OCI393316 OME393308:OME393316 OWA393308:OWA393316 PFW393308:PFW393316 PPS393308:PPS393316 PZO393308:PZO393316 QJK393308:QJK393316 QTG393308:QTG393316 RDC393308:RDC393316 RMY393308:RMY393316 RWU393308:RWU393316 SGQ393308:SGQ393316 SQM393308:SQM393316 TAI393308:TAI393316 TKE393308:TKE393316 TUA393308:TUA393316 UDW393308:UDW393316 UNS393308:UNS393316 UXO393308:UXO393316 VHK393308:VHK393316 VRG393308:VRG393316 WBC393308:WBC393316 WKY393308:WKY393316 WUU393308:WUU393316 C458844:C458852 II458844:II458852 SE458844:SE458852 ACA458844:ACA458852 ALW458844:ALW458852 AVS458844:AVS458852 BFO458844:BFO458852 BPK458844:BPK458852 BZG458844:BZG458852 CJC458844:CJC458852 CSY458844:CSY458852 DCU458844:DCU458852 DMQ458844:DMQ458852 DWM458844:DWM458852 EGI458844:EGI458852 EQE458844:EQE458852 FAA458844:FAA458852 FJW458844:FJW458852 FTS458844:FTS458852 GDO458844:GDO458852 GNK458844:GNK458852 GXG458844:GXG458852 HHC458844:HHC458852 HQY458844:HQY458852 IAU458844:IAU458852 IKQ458844:IKQ458852 IUM458844:IUM458852 JEI458844:JEI458852 JOE458844:JOE458852 JYA458844:JYA458852 KHW458844:KHW458852 KRS458844:KRS458852 LBO458844:LBO458852 LLK458844:LLK458852 LVG458844:LVG458852 MFC458844:MFC458852 MOY458844:MOY458852 MYU458844:MYU458852 NIQ458844:NIQ458852 NSM458844:NSM458852 OCI458844:OCI458852 OME458844:OME458852 OWA458844:OWA458852 PFW458844:PFW458852 PPS458844:PPS458852 PZO458844:PZO458852 QJK458844:QJK458852 QTG458844:QTG458852 RDC458844:RDC458852 RMY458844:RMY458852 RWU458844:RWU458852 SGQ458844:SGQ458852 SQM458844:SQM458852 TAI458844:TAI458852 TKE458844:TKE458852 TUA458844:TUA458852 UDW458844:UDW458852 UNS458844:UNS458852 UXO458844:UXO458852 VHK458844:VHK458852 VRG458844:VRG458852 WBC458844:WBC458852 WKY458844:WKY458852 WUU458844:WUU458852 C524380:C524388 II524380:II524388 SE524380:SE524388 ACA524380:ACA524388 ALW524380:ALW524388 AVS524380:AVS524388 BFO524380:BFO524388 BPK524380:BPK524388 BZG524380:BZG524388 CJC524380:CJC524388 CSY524380:CSY524388 DCU524380:DCU524388 DMQ524380:DMQ524388 DWM524380:DWM524388 EGI524380:EGI524388 EQE524380:EQE524388 FAA524380:FAA524388 FJW524380:FJW524388 FTS524380:FTS524388 GDO524380:GDO524388 GNK524380:GNK524388 GXG524380:GXG524388 HHC524380:HHC524388 HQY524380:HQY524388 IAU524380:IAU524388 IKQ524380:IKQ524388 IUM524380:IUM524388 JEI524380:JEI524388 JOE524380:JOE524388 JYA524380:JYA524388 KHW524380:KHW524388 KRS524380:KRS524388 LBO524380:LBO524388 LLK524380:LLK524388 LVG524380:LVG524388 MFC524380:MFC524388 MOY524380:MOY524388 MYU524380:MYU524388 NIQ524380:NIQ524388 NSM524380:NSM524388 OCI524380:OCI524388 OME524380:OME524388 OWA524380:OWA524388 PFW524380:PFW524388 PPS524380:PPS524388 PZO524380:PZO524388 QJK524380:QJK524388 QTG524380:QTG524388 RDC524380:RDC524388 RMY524380:RMY524388 RWU524380:RWU524388 SGQ524380:SGQ524388 SQM524380:SQM524388 TAI524380:TAI524388 TKE524380:TKE524388 TUA524380:TUA524388 UDW524380:UDW524388 UNS524380:UNS524388 UXO524380:UXO524388 VHK524380:VHK524388 VRG524380:VRG524388 WBC524380:WBC524388 WKY524380:WKY524388 WUU524380:WUU524388 C589916:C589924 II589916:II589924 SE589916:SE589924 ACA589916:ACA589924 ALW589916:ALW589924 AVS589916:AVS589924 BFO589916:BFO589924 BPK589916:BPK589924 BZG589916:BZG589924 CJC589916:CJC589924 CSY589916:CSY589924 DCU589916:DCU589924 DMQ589916:DMQ589924 DWM589916:DWM589924 EGI589916:EGI589924 EQE589916:EQE589924 FAA589916:FAA589924 FJW589916:FJW589924 FTS589916:FTS589924 GDO589916:GDO589924 GNK589916:GNK589924 GXG589916:GXG589924 HHC589916:HHC589924 HQY589916:HQY589924 IAU589916:IAU589924 IKQ589916:IKQ589924 IUM589916:IUM589924 JEI589916:JEI589924 JOE589916:JOE589924 JYA589916:JYA589924 KHW589916:KHW589924 KRS589916:KRS589924 LBO589916:LBO589924 LLK589916:LLK589924 LVG589916:LVG589924 MFC589916:MFC589924 MOY589916:MOY589924 MYU589916:MYU589924 NIQ589916:NIQ589924 NSM589916:NSM589924 OCI589916:OCI589924 OME589916:OME589924 OWA589916:OWA589924 PFW589916:PFW589924 PPS589916:PPS589924 PZO589916:PZO589924 QJK589916:QJK589924 QTG589916:QTG589924 RDC589916:RDC589924 RMY589916:RMY589924 RWU589916:RWU589924 SGQ589916:SGQ589924 SQM589916:SQM589924 TAI589916:TAI589924 TKE589916:TKE589924 TUA589916:TUA589924 UDW589916:UDW589924 UNS589916:UNS589924 UXO589916:UXO589924 VHK589916:VHK589924 VRG589916:VRG589924 WBC589916:WBC589924 WKY589916:WKY589924 WUU589916:WUU589924 C655452:C655460 II655452:II655460 SE655452:SE655460 ACA655452:ACA655460 ALW655452:ALW655460 AVS655452:AVS655460 BFO655452:BFO655460 BPK655452:BPK655460 BZG655452:BZG655460 CJC655452:CJC655460 CSY655452:CSY655460 DCU655452:DCU655460 DMQ655452:DMQ655460 DWM655452:DWM655460 EGI655452:EGI655460 EQE655452:EQE655460 FAA655452:FAA655460 FJW655452:FJW655460 FTS655452:FTS655460 GDO655452:GDO655460 GNK655452:GNK655460 GXG655452:GXG655460 HHC655452:HHC655460 HQY655452:HQY655460 IAU655452:IAU655460 IKQ655452:IKQ655460 IUM655452:IUM655460 JEI655452:JEI655460 JOE655452:JOE655460 JYA655452:JYA655460 KHW655452:KHW655460 KRS655452:KRS655460 LBO655452:LBO655460 LLK655452:LLK655460 LVG655452:LVG655460 MFC655452:MFC655460 MOY655452:MOY655460 MYU655452:MYU655460 NIQ655452:NIQ655460 NSM655452:NSM655460 OCI655452:OCI655460 OME655452:OME655460 OWA655452:OWA655460 PFW655452:PFW655460 PPS655452:PPS655460 PZO655452:PZO655460 QJK655452:QJK655460 QTG655452:QTG655460 RDC655452:RDC655460 RMY655452:RMY655460 RWU655452:RWU655460 SGQ655452:SGQ655460 SQM655452:SQM655460 TAI655452:TAI655460 TKE655452:TKE655460 TUA655452:TUA655460 UDW655452:UDW655460 UNS655452:UNS655460 UXO655452:UXO655460 VHK655452:VHK655460 VRG655452:VRG655460 WBC655452:WBC655460 WKY655452:WKY655460 WUU655452:WUU655460 C720988:C720996 II720988:II720996 SE720988:SE720996 ACA720988:ACA720996 ALW720988:ALW720996 AVS720988:AVS720996 BFO720988:BFO720996 BPK720988:BPK720996 BZG720988:BZG720996 CJC720988:CJC720996 CSY720988:CSY720996 DCU720988:DCU720996 DMQ720988:DMQ720996 DWM720988:DWM720996 EGI720988:EGI720996 EQE720988:EQE720996 FAA720988:FAA720996 FJW720988:FJW720996 FTS720988:FTS720996 GDO720988:GDO720996 GNK720988:GNK720996 GXG720988:GXG720996 HHC720988:HHC720996 HQY720988:HQY720996 IAU720988:IAU720996 IKQ720988:IKQ720996 IUM720988:IUM720996 JEI720988:JEI720996 JOE720988:JOE720996 JYA720988:JYA720996 KHW720988:KHW720996 KRS720988:KRS720996 LBO720988:LBO720996 LLK720988:LLK720996 LVG720988:LVG720996 MFC720988:MFC720996 MOY720988:MOY720996 MYU720988:MYU720996 NIQ720988:NIQ720996 NSM720988:NSM720996 OCI720988:OCI720996 OME720988:OME720996 OWA720988:OWA720996 PFW720988:PFW720996 PPS720988:PPS720996 PZO720988:PZO720996 QJK720988:QJK720996 QTG720988:QTG720996 RDC720988:RDC720996 RMY720988:RMY720996 RWU720988:RWU720996 SGQ720988:SGQ720996 SQM720988:SQM720996 TAI720988:TAI720996 TKE720988:TKE720996 TUA720988:TUA720996 UDW720988:UDW720996 UNS720988:UNS720996 UXO720988:UXO720996 VHK720988:VHK720996 VRG720988:VRG720996 WBC720988:WBC720996 WKY720988:WKY720996 WUU720988:WUU720996 C786524:C786532 II786524:II786532 SE786524:SE786532 ACA786524:ACA786532 ALW786524:ALW786532 AVS786524:AVS786532 BFO786524:BFO786532 BPK786524:BPK786532 BZG786524:BZG786532 CJC786524:CJC786532 CSY786524:CSY786532 DCU786524:DCU786532 DMQ786524:DMQ786532 DWM786524:DWM786532 EGI786524:EGI786532 EQE786524:EQE786532 FAA786524:FAA786532 FJW786524:FJW786532 FTS786524:FTS786532 GDO786524:GDO786532 GNK786524:GNK786532 GXG786524:GXG786532 HHC786524:HHC786532 HQY786524:HQY786532 IAU786524:IAU786532 IKQ786524:IKQ786532 IUM786524:IUM786532 JEI786524:JEI786532 JOE786524:JOE786532 JYA786524:JYA786532 KHW786524:KHW786532 KRS786524:KRS786532 LBO786524:LBO786532 LLK786524:LLK786532 LVG786524:LVG786532 MFC786524:MFC786532 MOY786524:MOY786532 MYU786524:MYU786532 NIQ786524:NIQ786532 NSM786524:NSM786532 OCI786524:OCI786532 OME786524:OME786532 OWA786524:OWA786532 PFW786524:PFW786532 PPS786524:PPS786532 PZO786524:PZO786532 QJK786524:QJK786532 QTG786524:QTG786532 RDC786524:RDC786532 RMY786524:RMY786532 RWU786524:RWU786532 SGQ786524:SGQ786532 SQM786524:SQM786532 TAI786524:TAI786532 TKE786524:TKE786532 TUA786524:TUA786532 UDW786524:UDW786532 UNS786524:UNS786532 UXO786524:UXO786532 VHK786524:VHK786532 VRG786524:VRG786532 WBC786524:WBC786532 WKY786524:WKY786532 WUU786524:WUU786532 C852060:C852068 II852060:II852068 SE852060:SE852068 ACA852060:ACA852068 ALW852060:ALW852068 AVS852060:AVS852068 BFO852060:BFO852068 BPK852060:BPK852068 BZG852060:BZG852068 CJC852060:CJC852068 CSY852060:CSY852068 DCU852060:DCU852068 DMQ852060:DMQ852068 DWM852060:DWM852068 EGI852060:EGI852068 EQE852060:EQE852068 FAA852060:FAA852068 FJW852060:FJW852068 FTS852060:FTS852068 GDO852060:GDO852068 GNK852060:GNK852068 GXG852060:GXG852068 HHC852060:HHC852068 HQY852060:HQY852068 IAU852060:IAU852068 IKQ852060:IKQ852068 IUM852060:IUM852068 JEI852060:JEI852068 JOE852060:JOE852068 JYA852060:JYA852068 KHW852060:KHW852068 KRS852060:KRS852068 LBO852060:LBO852068 LLK852060:LLK852068 LVG852060:LVG852068 MFC852060:MFC852068 MOY852060:MOY852068 MYU852060:MYU852068 NIQ852060:NIQ852068 NSM852060:NSM852068 OCI852060:OCI852068 OME852060:OME852068 OWA852060:OWA852068 PFW852060:PFW852068 PPS852060:PPS852068 PZO852060:PZO852068 QJK852060:QJK852068 QTG852060:QTG852068 RDC852060:RDC852068 RMY852060:RMY852068 RWU852060:RWU852068 SGQ852060:SGQ852068 SQM852060:SQM852068 TAI852060:TAI852068 TKE852060:TKE852068 TUA852060:TUA852068 UDW852060:UDW852068 UNS852060:UNS852068 UXO852060:UXO852068 VHK852060:VHK852068 VRG852060:VRG852068 WBC852060:WBC852068 WKY852060:WKY852068 WUU852060:WUU852068 C917596:C917604 II917596:II917604 SE917596:SE917604 ACA917596:ACA917604 ALW917596:ALW917604 AVS917596:AVS917604 BFO917596:BFO917604 BPK917596:BPK917604 BZG917596:BZG917604 CJC917596:CJC917604 CSY917596:CSY917604 DCU917596:DCU917604 DMQ917596:DMQ917604 DWM917596:DWM917604 EGI917596:EGI917604 EQE917596:EQE917604 FAA917596:FAA917604 FJW917596:FJW917604 FTS917596:FTS917604 GDO917596:GDO917604 GNK917596:GNK917604 GXG917596:GXG917604 HHC917596:HHC917604 HQY917596:HQY917604 IAU917596:IAU917604 IKQ917596:IKQ917604 IUM917596:IUM917604 JEI917596:JEI917604 JOE917596:JOE917604 JYA917596:JYA917604 KHW917596:KHW917604 KRS917596:KRS917604 LBO917596:LBO917604 LLK917596:LLK917604 LVG917596:LVG917604 MFC917596:MFC917604 MOY917596:MOY917604 MYU917596:MYU917604 NIQ917596:NIQ917604 NSM917596:NSM917604 OCI917596:OCI917604 OME917596:OME917604 OWA917596:OWA917604 PFW917596:PFW917604 PPS917596:PPS917604 PZO917596:PZO917604 QJK917596:QJK917604 QTG917596:QTG917604 RDC917596:RDC917604 RMY917596:RMY917604 RWU917596:RWU917604 SGQ917596:SGQ917604 SQM917596:SQM917604 TAI917596:TAI917604 TKE917596:TKE917604 TUA917596:TUA917604 UDW917596:UDW917604 UNS917596:UNS917604 UXO917596:UXO917604 VHK917596:VHK917604 VRG917596:VRG917604 WBC917596:WBC917604 WKY917596:WKY917604 WUU917596:WUU917604 C983132:C983140 II983132:II983140 SE983132:SE983140 ACA983132:ACA983140 ALW983132:ALW983140 AVS983132:AVS983140 BFO983132:BFO983140 BPK983132:BPK983140 BZG983132:BZG983140 CJC983132:CJC983140 CSY983132:CSY983140 DCU983132:DCU983140 DMQ983132:DMQ983140 DWM983132:DWM983140 EGI983132:EGI983140 EQE983132:EQE983140 FAA983132:FAA983140 FJW983132:FJW983140 FTS983132:FTS983140 GDO983132:GDO983140 GNK983132:GNK983140 GXG983132:GXG983140 HHC983132:HHC983140 HQY983132:HQY983140 IAU983132:IAU983140 IKQ983132:IKQ983140 IUM983132:IUM983140 JEI983132:JEI983140 JOE983132:JOE983140 JYA983132:JYA983140 KHW983132:KHW983140 KRS983132:KRS983140 LBO983132:LBO983140 LLK983132:LLK983140 LVG983132:LVG983140 MFC983132:MFC983140 MOY983132:MOY983140 MYU983132:MYU983140 NIQ983132:NIQ983140 NSM983132:NSM983140 OCI983132:OCI983140 OME983132:OME983140 OWA983132:OWA983140 PFW983132:PFW983140 PPS983132:PPS983140 PZO983132:PZO983140 QJK983132:QJK983140 QTG983132:QTG983140 RDC983132:RDC983140 RMY983132:RMY983140 RWU983132:RWU983140 SGQ983132:SGQ983140 SQM983132:SQM983140 TAI983132:TAI983140 TKE983132:TKE983140 TUA983132:TUA983140 UDW983132:UDW983140 UNS983132:UNS983140 UXO983132:UXO983140 VHK983132:VHK983140 VRG983132:VRG983140 WBC983132:WBC983140 WKY983132:WKY983140 WUU983132:WUU983140 C11:C51 II54:II78 SE54:SE78 ACA54:ACA78 ALW54:ALW78 AVS54:AVS78 BFO54:BFO78 BPK54:BPK78 BZG54:BZG78 CJC54:CJC78 CSY54:CSY78 DCU54:DCU78 DMQ54:DMQ78 DWM54:DWM78 EGI54:EGI78 EQE54:EQE78 FAA54:FAA78 FJW54:FJW78 FTS54:FTS78 GDO54:GDO78 GNK54:GNK78 GXG54:GXG78 HHC54:HHC78 HQY54:HQY78 IAU54:IAU78 IKQ54:IKQ78 IUM54:IUM78 JEI54:JEI78 JOE54:JOE78 JYA54:JYA78 KHW54:KHW78 KRS54:KRS78 LBO54:LBO78 LLK54:LLK78 LVG54:LVG78 MFC54:MFC78 MOY54:MOY78 MYU54:MYU78 NIQ54:NIQ78 NSM54:NSM78 OCI54:OCI78 OME54:OME78 OWA54:OWA78 PFW54:PFW78 PPS54:PPS78 PZO54:PZO78 QJK54:QJK78 QTG54:QTG78 RDC54:RDC78 RMY54:RMY78 RWU54:RWU78 SGQ54:SGQ78 SQM54:SQM78 TAI54:TAI78 TKE54:TKE78 TUA54:TUA78 UDW54:UDW78 UNS54:UNS78 UXO54:UXO78 VHK54:VHK78 VRG54:VRG78 WBC54:WBC78 WKY54:WKY78 WUU54:WUU78 C65639:C65647 II65639:II65647 SE65639:SE65647 ACA65639:ACA65647 ALW65639:ALW65647 AVS65639:AVS65647 BFO65639:BFO65647 BPK65639:BPK65647 BZG65639:BZG65647 CJC65639:CJC65647 CSY65639:CSY65647 DCU65639:DCU65647 DMQ65639:DMQ65647 DWM65639:DWM65647 EGI65639:EGI65647 EQE65639:EQE65647 FAA65639:FAA65647 FJW65639:FJW65647 FTS65639:FTS65647 GDO65639:GDO65647 GNK65639:GNK65647 GXG65639:GXG65647 HHC65639:HHC65647 HQY65639:HQY65647 IAU65639:IAU65647 IKQ65639:IKQ65647 IUM65639:IUM65647 JEI65639:JEI65647 JOE65639:JOE65647 JYA65639:JYA65647 KHW65639:KHW65647 KRS65639:KRS65647 LBO65639:LBO65647 LLK65639:LLK65647 LVG65639:LVG65647 MFC65639:MFC65647 MOY65639:MOY65647 MYU65639:MYU65647 NIQ65639:NIQ65647 NSM65639:NSM65647 OCI65639:OCI65647 OME65639:OME65647 OWA65639:OWA65647 PFW65639:PFW65647 PPS65639:PPS65647 PZO65639:PZO65647 QJK65639:QJK65647 QTG65639:QTG65647 RDC65639:RDC65647 RMY65639:RMY65647 RWU65639:RWU65647 SGQ65639:SGQ65647 SQM65639:SQM65647 TAI65639:TAI65647 TKE65639:TKE65647 TUA65639:TUA65647 UDW65639:UDW65647 UNS65639:UNS65647 UXO65639:UXO65647 VHK65639:VHK65647 VRG65639:VRG65647 WBC65639:WBC65647 WKY65639:WKY65647 WUU65639:WUU65647 C131175:C131183 II131175:II131183 SE131175:SE131183 ACA131175:ACA131183 ALW131175:ALW131183 AVS131175:AVS131183 BFO131175:BFO131183 BPK131175:BPK131183 BZG131175:BZG131183 CJC131175:CJC131183 CSY131175:CSY131183 DCU131175:DCU131183 DMQ131175:DMQ131183 DWM131175:DWM131183 EGI131175:EGI131183 EQE131175:EQE131183 FAA131175:FAA131183 FJW131175:FJW131183 FTS131175:FTS131183 GDO131175:GDO131183 GNK131175:GNK131183 GXG131175:GXG131183 HHC131175:HHC131183 HQY131175:HQY131183 IAU131175:IAU131183 IKQ131175:IKQ131183 IUM131175:IUM131183 JEI131175:JEI131183 JOE131175:JOE131183 JYA131175:JYA131183 KHW131175:KHW131183 KRS131175:KRS131183 LBO131175:LBO131183 LLK131175:LLK131183 LVG131175:LVG131183 MFC131175:MFC131183 MOY131175:MOY131183 MYU131175:MYU131183 NIQ131175:NIQ131183 NSM131175:NSM131183 OCI131175:OCI131183 OME131175:OME131183 OWA131175:OWA131183 PFW131175:PFW131183 PPS131175:PPS131183 PZO131175:PZO131183 QJK131175:QJK131183 QTG131175:QTG131183 RDC131175:RDC131183 RMY131175:RMY131183 RWU131175:RWU131183 SGQ131175:SGQ131183 SQM131175:SQM131183 TAI131175:TAI131183 TKE131175:TKE131183 TUA131175:TUA131183 UDW131175:UDW131183 UNS131175:UNS131183 UXO131175:UXO131183 VHK131175:VHK131183 VRG131175:VRG131183 WBC131175:WBC131183 WKY131175:WKY131183 WUU131175:WUU131183 C196711:C196719 II196711:II196719 SE196711:SE196719 ACA196711:ACA196719 ALW196711:ALW196719 AVS196711:AVS196719 BFO196711:BFO196719 BPK196711:BPK196719 BZG196711:BZG196719 CJC196711:CJC196719 CSY196711:CSY196719 DCU196711:DCU196719 DMQ196711:DMQ196719 DWM196711:DWM196719 EGI196711:EGI196719 EQE196711:EQE196719 FAA196711:FAA196719 FJW196711:FJW196719 FTS196711:FTS196719 GDO196711:GDO196719 GNK196711:GNK196719 GXG196711:GXG196719 HHC196711:HHC196719 HQY196711:HQY196719 IAU196711:IAU196719 IKQ196711:IKQ196719 IUM196711:IUM196719 JEI196711:JEI196719 JOE196711:JOE196719 JYA196711:JYA196719 KHW196711:KHW196719 KRS196711:KRS196719 LBO196711:LBO196719 LLK196711:LLK196719 LVG196711:LVG196719 MFC196711:MFC196719 MOY196711:MOY196719 MYU196711:MYU196719 NIQ196711:NIQ196719 NSM196711:NSM196719 OCI196711:OCI196719 OME196711:OME196719 OWA196711:OWA196719 PFW196711:PFW196719 PPS196711:PPS196719 PZO196711:PZO196719 QJK196711:QJK196719 QTG196711:QTG196719 RDC196711:RDC196719 RMY196711:RMY196719 RWU196711:RWU196719 SGQ196711:SGQ196719 SQM196711:SQM196719 TAI196711:TAI196719 TKE196711:TKE196719 TUA196711:TUA196719 UDW196711:UDW196719 UNS196711:UNS196719 UXO196711:UXO196719 VHK196711:VHK196719 VRG196711:VRG196719 WBC196711:WBC196719 WKY196711:WKY196719 WUU196711:WUU196719 C262247:C262255 II262247:II262255 SE262247:SE262255 ACA262247:ACA262255 ALW262247:ALW262255 AVS262247:AVS262255 BFO262247:BFO262255 BPK262247:BPK262255 BZG262247:BZG262255 CJC262247:CJC262255 CSY262247:CSY262255 DCU262247:DCU262255 DMQ262247:DMQ262255 DWM262247:DWM262255 EGI262247:EGI262255 EQE262247:EQE262255 FAA262247:FAA262255 FJW262247:FJW262255 FTS262247:FTS262255 GDO262247:GDO262255 GNK262247:GNK262255 GXG262247:GXG262255 HHC262247:HHC262255 HQY262247:HQY262255 IAU262247:IAU262255 IKQ262247:IKQ262255 IUM262247:IUM262255 JEI262247:JEI262255 JOE262247:JOE262255 JYA262247:JYA262255 KHW262247:KHW262255 KRS262247:KRS262255 LBO262247:LBO262255 LLK262247:LLK262255 LVG262247:LVG262255 MFC262247:MFC262255 MOY262247:MOY262255 MYU262247:MYU262255 NIQ262247:NIQ262255 NSM262247:NSM262255 OCI262247:OCI262255 OME262247:OME262255 OWA262247:OWA262255 PFW262247:PFW262255 PPS262247:PPS262255 PZO262247:PZO262255 QJK262247:QJK262255 QTG262247:QTG262255 RDC262247:RDC262255 RMY262247:RMY262255 RWU262247:RWU262255 SGQ262247:SGQ262255 SQM262247:SQM262255 TAI262247:TAI262255 TKE262247:TKE262255 TUA262247:TUA262255 UDW262247:UDW262255 UNS262247:UNS262255 UXO262247:UXO262255 VHK262247:VHK262255 VRG262247:VRG262255 WBC262247:WBC262255 WKY262247:WKY262255 WUU262247:WUU262255 C327783:C327791 II327783:II327791 SE327783:SE327791 ACA327783:ACA327791 ALW327783:ALW327791 AVS327783:AVS327791 BFO327783:BFO327791 BPK327783:BPK327791 BZG327783:BZG327791 CJC327783:CJC327791 CSY327783:CSY327791 DCU327783:DCU327791 DMQ327783:DMQ327791 DWM327783:DWM327791 EGI327783:EGI327791 EQE327783:EQE327791 FAA327783:FAA327791 FJW327783:FJW327791 FTS327783:FTS327791 GDO327783:GDO327791 GNK327783:GNK327791 GXG327783:GXG327791 HHC327783:HHC327791 HQY327783:HQY327791 IAU327783:IAU327791 IKQ327783:IKQ327791 IUM327783:IUM327791 JEI327783:JEI327791 JOE327783:JOE327791 JYA327783:JYA327791 KHW327783:KHW327791 KRS327783:KRS327791 LBO327783:LBO327791 LLK327783:LLK327791 LVG327783:LVG327791 MFC327783:MFC327791 MOY327783:MOY327791 MYU327783:MYU327791 NIQ327783:NIQ327791 NSM327783:NSM327791 OCI327783:OCI327791 OME327783:OME327791 OWA327783:OWA327791 PFW327783:PFW327791 PPS327783:PPS327791 PZO327783:PZO327791 QJK327783:QJK327791 QTG327783:QTG327791 RDC327783:RDC327791 RMY327783:RMY327791 RWU327783:RWU327791 SGQ327783:SGQ327791 SQM327783:SQM327791 TAI327783:TAI327791 TKE327783:TKE327791 TUA327783:TUA327791 UDW327783:UDW327791 UNS327783:UNS327791 UXO327783:UXO327791 VHK327783:VHK327791 VRG327783:VRG327791 WBC327783:WBC327791 WKY327783:WKY327791 WUU327783:WUU327791 C393319:C393327 II393319:II393327 SE393319:SE393327 ACA393319:ACA393327 ALW393319:ALW393327 AVS393319:AVS393327 BFO393319:BFO393327 BPK393319:BPK393327 BZG393319:BZG393327 CJC393319:CJC393327 CSY393319:CSY393327 DCU393319:DCU393327 DMQ393319:DMQ393327 DWM393319:DWM393327 EGI393319:EGI393327 EQE393319:EQE393327 FAA393319:FAA393327 FJW393319:FJW393327 FTS393319:FTS393327 GDO393319:GDO393327 GNK393319:GNK393327 GXG393319:GXG393327 HHC393319:HHC393327 HQY393319:HQY393327 IAU393319:IAU393327 IKQ393319:IKQ393327 IUM393319:IUM393327 JEI393319:JEI393327 JOE393319:JOE393327 JYA393319:JYA393327 KHW393319:KHW393327 KRS393319:KRS393327 LBO393319:LBO393327 LLK393319:LLK393327 LVG393319:LVG393327 MFC393319:MFC393327 MOY393319:MOY393327 MYU393319:MYU393327 NIQ393319:NIQ393327 NSM393319:NSM393327 OCI393319:OCI393327 OME393319:OME393327 OWA393319:OWA393327 PFW393319:PFW393327 PPS393319:PPS393327 PZO393319:PZO393327 QJK393319:QJK393327 QTG393319:QTG393327 RDC393319:RDC393327 RMY393319:RMY393327 RWU393319:RWU393327 SGQ393319:SGQ393327 SQM393319:SQM393327 TAI393319:TAI393327 TKE393319:TKE393327 TUA393319:TUA393327 UDW393319:UDW393327 UNS393319:UNS393327 UXO393319:UXO393327 VHK393319:VHK393327 VRG393319:VRG393327 WBC393319:WBC393327 WKY393319:WKY393327 WUU393319:WUU393327 C458855:C458863 II458855:II458863 SE458855:SE458863 ACA458855:ACA458863 ALW458855:ALW458863 AVS458855:AVS458863 BFO458855:BFO458863 BPK458855:BPK458863 BZG458855:BZG458863 CJC458855:CJC458863 CSY458855:CSY458863 DCU458855:DCU458863 DMQ458855:DMQ458863 DWM458855:DWM458863 EGI458855:EGI458863 EQE458855:EQE458863 FAA458855:FAA458863 FJW458855:FJW458863 FTS458855:FTS458863 GDO458855:GDO458863 GNK458855:GNK458863 GXG458855:GXG458863 HHC458855:HHC458863 HQY458855:HQY458863 IAU458855:IAU458863 IKQ458855:IKQ458863 IUM458855:IUM458863 JEI458855:JEI458863 JOE458855:JOE458863 JYA458855:JYA458863 KHW458855:KHW458863 KRS458855:KRS458863 LBO458855:LBO458863 LLK458855:LLK458863 LVG458855:LVG458863 MFC458855:MFC458863 MOY458855:MOY458863 MYU458855:MYU458863 NIQ458855:NIQ458863 NSM458855:NSM458863 OCI458855:OCI458863 OME458855:OME458863 OWA458855:OWA458863 PFW458855:PFW458863 PPS458855:PPS458863 PZO458855:PZO458863 QJK458855:QJK458863 QTG458855:QTG458863 RDC458855:RDC458863 RMY458855:RMY458863 RWU458855:RWU458863 SGQ458855:SGQ458863 SQM458855:SQM458863 TAI458855:TAI458863 TKE458855:TKE458863 TUA458855:TUA458863 UDW458855:UDW458863 UNS458855:UNS458863 UXO458855:UXO458863 VHK458855:VHK458863 VRG458855:VRG458863 WBC458855:WBC458863 WKY458855:WKY458863 WUU458855:WUU458863 C524391:C524399 II524391:II524399 SE524391:SE524399 ACA524391:ACA524399 ALW524391:ALW524399 AVS524391:AVS524399 BFO524391:BFO524399 BPK524391:BPK524399 BZG524391:BZG524399 CJC524391:CJC524399 CSY524391:CSY524399 DCU524391:DCU524399 DMQ524391:DMQ524399 DWM524391:DWM524399 EGI524391:EGI524399 EQE524391:EQE524399 FAA524391:FAA524399 FJW524391:FJW524399 FTS524391:FTS524399 GDO524391:GDO524399 GNK524391:GNK524399 GXG524391:GXG524399 HHC524391:HHC524399 HQY524391:HQY524399 IAU524391:IAU524399 IKQ524391:IKQ524399 IUM524391:IUM524399 JEI524391:JEI524399 JOE524391:JOE524399 JYA524391:JYA524399 KHW524391:KHW524399 KRS524391:KRS524399 LBO524391:LBO524399 LLK524391:LLK524399 LVG524391:LVG524399 MFC524391:MFC524399 MOY524391:MOY524399 MYU524391:MYU524399 NIQ524391:NIQ524399 NSM524391:NSM524399 OCI524391:OCI524399 OME524391:OME524399 OWA524391:OWA524399 PFW524391:PFW524399 PPS524391:PPS524399 PZO524391:PZO524399 QJK524391:QJK524399 QTG524391:QTG524399 RDC524391:RDC524399 RMY524391:RMY524399 RWU524391:RWU524399 SGQ524391:SGQ524399 SQM524391:SQM524399 TAI524391:TAI524399 TKE524391:TKE524399 TUA524391:TUA524399 UDW524391:UDW524399 UNS524391:UNS524399 UXO524391:UXO524399 VHK524391:VHK524399 VRG524391:VRG524399 WBC524391:WBC524399 WKY524391:WKY524399 WUU524391:WUU524399 C589927:C589935 II589927:II589935 SE589927:SE589935 ACA589927:ACA589935 ALW589927:ALW589935 AVS589927:AVS589935 BFO589927:BFO589935 BPK589927:BPK589935 BZG589927:BZG589935 CJC589927:CJC589935 CSY589927:CSY589935 DCU589927:DCU589935 DMQ589927:DMQ589935 DWM589927:DWM589935 EGI589927:EGI589935 EQE589927:EQE589935 FAA589927:FAA589935 FJW589927:FJW589935 FTS589927:FTS589935 GDO589927:GDO589935 GNK589927:GNK589935 GXG589927:GXG589935 HHC589927:HHC589935 HQY589927:HQY589935 IAU589927:IAU589935 IKQ589927:IKQ589935 IUM589927:IUM589935 JEI589927:JEI589935 JOE589927:JOE589935 JYA589927:JYA589935 KHW589927:KHW589935 KRS589927:KRS589935 LBO589927:LBO589935 LLK589927:LLK589935 LVG589927:LVG589935 MFC589927:MFC589935 MOY589927:MOY589935 MYU589927:MYU589935 NIQ589927:NIQ589935 NSM589927:NSM589935 OCI589927:OCI589935 OME589927:OME589935 OWA589927:OWA589935 PFW589927:PFW589935 PPS589927:PPS589935 PZO589927:PZO589935 QJK589927:QJK589935 QTG589927:QTG589935 RDC589927:RDC589935 RMY589927:RMY589935 RWU589927:RWU589935 SGQ589927:SGQ589935 SQM589927:SQM589935 TAI589927:TAI589935 TKE589927:TKE589935 TUA589927:TUA589935 UDW589927:UDW589935 UNS589927:UNS589935 UXO589927:UXO589935 VHK589927:VHK589935 VRG589927:VRG589935 WBC589927:WBC589935 WKY589927:WKY589935 WUU589927:WUU589935 C655463:C655471 II655463:II655471 SE655463:SE655471 ACA655463:ACA655471 ALW655463:ALW655471 AVS655463:AVS655471 BFO655463:BFO655471 BPK655463:BPK655471 BZG655463:BZG655471 CJC655463:CJC655471 CSY655463:CSY655471 DCU655463:DCU655471 DMQ655463:DMQ655471 DWM655463:DWM655471 EGI655463:EGI655471 EQE655463:EQE655471 FAA655463:FAA655471 FJW655463:FJW655471 FTS655463:FTS655471 GDO655463:GDO655471 GNK655463:GNK655471 GXG655463:GXG655471 HHC655463:HHC655471 HQY655463:HQY655471 IAU655463:IAU655471 IKQ655463:IKQ655471 IUM655463:IUM655471 JEI655463:JEI655471 JOE655463:JOE655471 JYA655463:JYA655471 KHW655463:KHW655471 KRS655463:KRS655471 LBO655463:LBO655471 LLK655463:LLK655471 LVG655463:LVG655471 MFC655463:MFC655471 MOY655463:MOY655471 MYU655463:MYU655471 NIQ655463:NIQ655471 NSM655463:NSM655471 OCI655463:OCI655471 OME655463:OME655471 OWA655463:OWA655471 PFW655463:PFW655471 PPS655463:PPS655471 PZO655463:PZO655471 QJK655463:QJK655471 QTG655463:QTG655471 RDC655463:RDC655471 RMY655463:RMY655471 RWU655463:RWU655471 SGQ655463:SGQ655471 SQM655463:SQM655471 TAI655463:TAI655471 TKE655463:TKE655471 TUA655463:TUA655471 UDW655463:UDW655471 UNS655463:UNS655471 UXO655463:UXO655471 VHK655463:VHK655471 VRG655463:VRG655471 WBC655463:WBC655471 WKY655463:WKY655471 WUU655463:WUU655471 C720999:C721007 II720999:II721007 SE720999:SE721007 ACA720999:ACA721007 ALW720999:ALW721007 AVS720999:AVS721007 BFO720999:BFO721007 BPK720999:BPK721007 BZG720999:BZG721007 CJC720999:CJC721007 CSY720999:CSY721007 DCU720999:DCU721007 DMQ720999:DMQ721007 DWM720999:DWM721007 EGI720999:EGI721007 EQE720999:EQE721007 FAA720999:FAA721007 FJW720999:FJW721007 FTS720999:FTS721007 GDO720999:GDO721007 GNK720999:GNK721007 GXG720999:GXG721007 HHC720999:HHC721007 HQY720999:HQY721007 IAU720999:IAU721007 IKQ720999:IKQ721007 IUM720999:IUM721007 JEI720999:JEI721007 JOE720999:JOE721007 JYA720999:JYA721007 KHW720999:KHW721007 KRS720999:KRS721007 LBO720999:LBO721007 LLK720999:LLK721007 LVG720999:LVG721007 MFC720999:MFC721007 MOY720999:MOY721007 MYU720999:MYU721007 NIQ720999:NIQ721007 NSM720999:NSM721007 OCI720999:OCI721007 OME720999:OME721007 OWA720999:OWA721007 PFW720999:PFW721007 PPS720999:PPS721007 PZO720999:PZO721007 QJK720999:QJK721007 QTG720999:QTG721007 RDC720999:RDC721007 RMY720999:RMY721007 RWU720999:RWU721007 SGQ720999:SGQ721007 SQM720999:SQM721007 TAI720999:TAI721007 TKE720999:TKE721007 TUA720999:TUA721007 UDW720999:UDW721007 UNS720999:UNS721007 UXO720999:UXO721007 VHK720999:VHK721007 VRG720999:VRG721007 WBC720999:WBC721007 WKY720999:WKY721007 WUU720999:WUU721007 C786535:C786543 II786535:II786543 SE786535:SE786543 ACA786535:ACA786543 ALW786535:ALW786543 AVS786535:AVS786543 BFO786535:BFO786543 BPK786535:BPK786543 BZG786535:BZG786543 CJC786535:CJC786543 CSY786535:CSY786543 DCU786535:DCU786543 DMQ786535:DMQ786543 DWM786535:DWM786543 EGI786535:EGI786543 EQE786535:EQE786543 FAA786535:FAA786543 FJW786535:FJW786543 FTS786535:FTS786543 GDO786535:GDO786543 GNK786535:GNK786543 GXG786535:GXG786543 HHC786535:HHC786543 HQY786535:HQY786543 IAU786535:IAU786543 IKQ786535:IKQ786543 IUM786535:IUM786543 JEI786535:JEI786543 JOE786535:JOE786543 JYA786535:JYA786543 KHW786535:KHW786543 KRS786535:KRS786543 LBO786535:LBO786543 LLK786535:LLK786543 LVG786535:LVG786543 MFC786535:MFC786543 MOY786535:MOY786543 MYU786535:MYU786543 NIQ786535:NIQ786543 NSM786535:NSM786543 OCI786535:OCI786543 OME786535:OME786543 OWA786535:OWA786543 PFW786535:PFW786543 PPS786535:PPS786543 PZO786535:PZO786543 QJK786535:QJK786543 QTG786535:QTG786543 RDC786535:RDC786543 RMY786535:RMY786543 RWU786535:RWU786543 SGQ786535:SGQ786543 SQM786535:SQM786543 TAI786535:TAI786543 TKE786535:TKE786543 TUA786535:TUA786543 UDW786535:UDW786543 UNS786535:UNS786543 UXO786535:UXO786543 VHK786535:VHK786543 VRG786535:VRG786543 WBC786535:WBC786543 WKY786535:WKY786543 WUU786535:WUU786543 C852071:C852079 II852071:II852079 SE852071:SE852079 ACA852071:ACA852079 ALW852071:ALW852079 AVS852071:AVS852079 BFO852071:BFO852079 BPK852071:BPK852079 BZG852071:BZG852079 CJC852071:CJC852079 CSY852071:CSY852079 DCU852071:DCU852079 DMQ852071:DMQ852079 DWM852071:DWM852079 EGI852071:EGI852079 EQE852071:EQE852079 FAA852071:FAA852079 FJW852071:FJW852079 FTS852071:FTS852079 GDO852071:GDO852079 GNK852071:GNK852079 GXG852071:GXG852079 HHC852071:HHC852079 HQY852071:HQY852079 IAU852071:IAU852079 IKQ852071:IKQ852079 IUM852071:IUM852079 JEI852071:JEI852079 JOE852071:JOE852079 JYA852071:JYA852079 KHW852071:KHW852079 KRS852071:KRS852079 LBO852071:LBO852079 LLK852071:LLK852079 LVG852071:LVG852079 MFC852071:MFC852079 MOY852071:MOY852079 MYU852071:MYU852079 NIQ852071:NIQ852079 NSM852071:NSM852079 OCI852071:OCI852079 OME852071:OME852079 OWA852071:OWA852079 PFW852071:PFW852079 PPS852071:PPS852079 PZO852071:PZO852079 QJK852071:QJK852079 QTG852071:QTG852079 RDC852071:RDC852079 RMY852071:RMY852079 RWU852071:RWU852079 SGQ852071:SGQ852079 SQM852071:SQM852079 TAI852071:TAI852079 TKE852071:TKE852079 TUA852071:TUA852079 UDW852071:UDW852079 UNS852071:UNS852079 UXO852071:UXO852079 VHK852071:VHK852079 VRG852071:VRG852079 WBC852071:WBC852079 WKY852071:WKY852079 WUU852071:WUU852079 C917607:C917615 II917607:II917615 SE917607:SE917615 ACA917607:ACA917615 ALW917607:ALW917615 AVS917607:AVS917615 BFO917607:BFO917615 BPK917607:BPK917615 BZG917607:BZG917615 CJC917607:CJC917615 CSY917607:CSY917615 DCU917607:DCU917615 DMQ917607:DMQ917615 DWM917607:DWM917615 EGI917607:EGI917615 EQE917607:EQE917615 FAA917607:FAA917615 FJW917607:FJW917615 FTS917607:FTS917615 GDO917607:GDO917615 GNK917607:GNK917615 GXG917607:GXG917615 HHC917607:HHC917615 HQY917607:HQY917615 IAU917607:IAU917615 IKQ917607:IKQ917615 IUM917607:IUM917615 JEI917607:JEI917615 JOE917607:JOE917615 JYA917607:JYA917615 KHW917607:KHW917615 KRS917607:KRS917615 LBO917607:LBO917615 LLK917607:LLK917615 LVG917607:LVG917615 MFC917607:MFC917615 MOY917607:MOY917615 MYU917607:MYU917615 NIQ917607:NIQ917615 NSM917607:NSM917615 OCI917607:OCI917615 OME917607:OME917615 OWA917607:OWA917615 PFW917607:PFW917615 PPS917607:PPS917615 PZO917607:PZO917615 QJK917607:QJK917615 QTG917607:QTG917615 RDC917607:RDC917615 RMY917607:RMY917615 RWU917607:RWU917615 SGQ917607:SGQ917615 SQM917607:SQM917615 TAI917607:TAI917615 TKE917607:TKE917615 TUA917607:TUA917615 UDW917607:UDW917615 UNS917607:UNS917615 UXO917607:UXO917615 VHK917607:VHK917615 VRG917607:VRG917615 WBC917607:WBC917615 WKY917607:WKY917615 WUU917607:WUU917615 C983143:C983151 II983143:II983151 SE983143:SE983151 ACA983143:ACA983151 ALW983143:ALW983151 AVS983143:AVS983151 BFO983143:BFO983151 BPK983143:BPK983151 BZG983143:BZG983151 CJC983143:CJC983151 CSY983143:CSY983151 DCU983143:DCU983151 DMQ983143:DMQ983151 DWM983143:DWM983151 EGI983143:EGI983151 EQE983143:EQE983151 FAA983143:FAA983151 FJW983143:FJW983151 FTS983143:FTS983151 GDO983143:GDO983151 GNK983143:GNK983151 GXG983143:GXG983151 HHC983143:HHC983151 HQY983143:HQY983151 IAU983143:IAU983151 IKQ983143:IKQ983151 IUM983143:IUM983151 JEI983143:JEI983151 JOE983143:JOE983151 JYA983143:JYA983151 KHW983143:KHW983151 KRS983143:KRS983151 LBO983143:LBO983151 LLK983143:LLK983151 LVG983143:LVG983151 MFC983143:MFC983151 MOY983143:MOY983151 MYU983143:MYU983151 NIQ983143:NIQ983151 NSM983143:NSM983151 OCI983143:OCI983151 OME983143:OME983151 OWA983143:OWA983151 PFW983143:PFW983151 PPS983143:PPS983151 PZO983143:PZO983151 QJK983143:QJK983151 QTG983143:QTG983151 RDC983143:RDC983151 RMY983143:RMY983151 RWU983143:RWU983151 SGQ983143:SGQ983151 SQM983143:SQM983151 TAI983143:TAI983151 TKE983143:TKE983151 TUA983143:TUA983151 UDW983143:UDW983151 UNS983143:UNS983151 UXO983143:UXO983151 VHK983143:VHK983151 VRG983143:VRG983151 WBC983143:WBC983151 WKY983143:WKY983151 C54:C78" xr:uid="{94418CF9-30FF-4DCC-A67F-7E30153D8B27}"/>
  </dataValidations>
  <hyperlinks>
    <hyperlink ref="P1" location="ins" display="Instructivo" xr:uid="{06F5AADD-438A-4EFC-9630-192DE34CFFC4}"/>
    <hyperlink ref="I132" location="IVA" display="Info IVA" xr:uid="{F77B9E85-F9DE-4E65-8A24-707789607E2A}"/>
    <hyperlink ref="I130" location="gtosadm" display="Gastos de administración" xr:uid="{932051C5-1ABA-4B90-A805-A4201AAA7F75}"/>
  </hyperlinks>
  <printOptions horizontalCentered="1"/>
  <pageMargins left="0" right="0" top="0" bottom="0" header="0" footer="0"/>
  <pageSetup scale="45"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52B2F774-3B69-449D-9F1E-34958C3C7EBE}">
          <x14:formula1>
            <xm:f>Honorarios!$A$9:$A$15</xm:f>
          </x14:formula1>
          <xm:sqref>A11:A34</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theme="5" tint="0.39997558519241921"/>
    <pageSetUpPr fitToPage="1"/>
  </sheetPr>
  <dimension ref="A1:J189"/>
  <sheetViews>
    <sheetView showGridLines="0" zoomScale="80" zoomScaleNormal="80" workbookViewId="0">
      <selection activeCell="A14" sqref="A14"/>
    </sheetView>
  </sheetViews>
  <sheetFormatPr defaultColWidth="11.5" defaultRowHeight="20.100000000000001" customHeight="1"/>
  <cols>
    <col min="1" max="1" width="59.83203125" style="196" customWidth="1"/>
    <col min="2" max="3" width="14.1640625" style="196" customWidth="1"/>
    <col min="4" max="4" width="19.1640625" style="196" customWidth="1"/>
    <col min="5" max="5" width="19.5" style="212" customWidth="1"/>
    <col min="6" max="6" width="18.6640625" style="74" customWidth="1"/>
    <col min="7" max="7" width="15.33203125" style="74" customWidth="1"/>
    <col min="8" max="8" width="18.83203125" style="74" customWidth="1"/>
    <col min="9" max="9" width="16.83203125" style="74" customWidth="1"/>
    <col min="10" max="16384" width="11.5" style="74"/>
  </cols>
  <sheetData>
    <row r="1" spans="1:10" ht="20.100000000000001" customHeight="1">
      <c r="A1" s="725"/>
      <c r="B1" s="1102" t="s">
        <v>0</v>
      </c>
      <c r="C1" s="1103"/>
      <c r="D1" s="1103"/>
      <c r="E1" s="1104"/>
      <c r="F1" s="366" t="s">
        <v>104</v>
      </c>
      <c r="G1" s="65"/>
    </row>
    <row r="2" spans="1:10" ht="20.100000000000001" customHeight="1">
      <c r="A2" s="726"/>
      <c r="B2" s="1105" t="s">
        <v>455</v>
      </c>
      <c r="C2" s="1106"/>
      <c r="D2" s="1106"/>
      <c r="E2" s="1107"/>
    </row>
    <row r="3" spans="1:10" ht="20.100000000000001" customHeight="1" thickBot="1">
      <c r="A3" s="727"/>
      <c r="B3" s="1083" t="s">
        <v>2</v>
      </c>
      <c r="C3" s="1108"/>
      <c r="D3" s="1083" t="s">
        <v>106</v>
      </c>
      <c r="E3" s="1085"/>
    </row>
    <row r="4" spans="1:10" ht="20.100000000000001" customHeight="1" thickBot="1">
      <c r="A4" s="74"/>
      <c r="B4" s="70"/>
      <c r="C4" s="70"/>
      <c r="D4" s="70"/>
      <c r="E4" s="70"/>
    </row>
    <row r="5" spans="1:10" ht="20.100000000000001" customHeight="1" thickBot="1">
      <c r="A5" s="636" t="s">
        <v>107</v>
      </c>
      <c r="B5" s="1090" t="str">
        <f>'Plan Ejecución'!AE5</f>
        <v>CONTRATACIÓN DIRECTA</v>
      </c>
      <c r="C5" s="1091"/>
      <c r="D5" s="1091"/>
      <c r="E5" s="1092"/>
      <c r="F5" s="241"/>
    </row>
    <row r="6" spans="1:10" ht="44.25" customHeight="1" thickBot="1">
      <c r="A6" s="636" t="s">
        <v>109</v>
      </c>
      <c r="B6" s="1168" t="str">
        <f>'Plan Ejecución'!AE6</f>
        <v xml:space="preserve"> "“SOPORTE, MANTENIMIENTO Y ACTUALIZACIÓN DEL VISOR GEOGRÁFICO – AÑO 2025"</v>
      </c>
      <c r="C6" s="1169"/>
      <c r="D6" s="1169"/>
      <c r="E6" s="1170"/>
      <c r="F6" s="241"/>
    </row>
    <row r="7" spans="1:10" ht="20.100000000000001" customHeight="1" thickBot="1">
      <c r="A7" s="1086"/>
      <c r="B7" s="1086"/>
      <c r="C7" s="1086"/>
      <c r="D7" s="1086"/>
      <c r="E7" s="1086"/>
    </row>
    <row r="8" spans="1:10" s="70" customFormat="1" ht="41.25" customHeight="1" thickBot="1">
      <c r="A8" s="728" t="s">
        <v>456</v>
      </c>
      <c r="B8" s="1179" t="s">
        <v>150</v>
      </c>
      <c r="C8" s="1180"/>
      <c r="D8" s="1180"/>
      <c r="E8" s="1181"/>
      <c r="G8" s="74"/>
      <c r="H8" s="74"/>
      <c r="I8" s="74"/>
      <c r="J8" s="74"/>
    </row>
    <row r="9" spans="1:10" s="70" customFormat="1" ht="18" customHeight="1" thickBot="1">
      <c r="A9" s="728" t="s">
        <v>457</v>
      </c>
      <c r="B9" s="1179" t="s">
        <v>458</v>
      </c>
      <c r="C9" s="1180"/>
      <c r="D9" s="1180"/>
      <c r="E9" s="1181"/>
    </row>
    <row r="10" spans="1:10" ht="32.25" customHeight="1" thickBot="1">
      <c r="A10" s="728" t="s">
        <v>459</v>
      </c>
      <c r="B10" s="1179"/>
      <c r="C10" s="1180"/>
      <c r="D10" s="1180"/>
      <c r="E10" s="1181"/>
    </row>
    <row r="11" spans="1:10" ht="20.100000000000001" customHeight="1" thickBot="1">
      <c r="A11" s="237"/>
      <c r="B11" s="199"/>
      <c r="C11" s="199"/>
      <c r="D11" s="199"/>
      <c r="E11" s="199"/>
    </row>
    <row r="12" spans="1:10" ht="27.75" customHeight="1" thickBot="1">
      <c r="A12" s="641" t="s">
        <v>391</v>
      </c>
      <c r="B12" s="642" t="s">
        <v>122</v>
      </c>
      <c r="C12" s="642" t="s">
        <v>394</v>
      </c>
      <c r="D12" s="642" t="s">
        <v>460</v>
      </c>
      <c r="E12" s="643" t="s">
        <v>461</v>
      </c>
    </row>
    <row r="13" spans="1:10" ht="27.75" customHeight="1">
      <c r="A13" s="729" t="s">
        <v>462</v>
      </c>
      <c r="B13" s="730" t="s">
        <v>154</v>
      </c>
      <c r="C13" s="730">
        <v>1</v>
      </c>
      <c r="D13" s="179">
        <v>10204400</v>
      </c>
      <c r="E13" s="740">
        <f>C13*D13</f>
        <v>10204400</v>
      </c>
    </row>
    <row r="14" spans="1:10" ht="27.75" customHeight="1">
      <c r="A14" s="729" t="s">
        <v>186</v>
      </c>
      <c r="B14" s="730" t="s">
        <v>187</v>
      </c>
      <c r="C14" s="730">
        <v>12</v>
      </c>
      <c r="D14" s="179">
        <v>5676666.7000000002</v>
      </c>
      <c r="E14" s="740">
        <f t="shared" ref="E14:E77" si="0">C14*D14</f>
        <v>68120000.400000006</v>
      </c>
    </row>
    <row r="15" spans="1:10" ht="27.75" customHeight="1" thickBot="1">
      <c r="A15" s="729"/>
      <c r="B15" s="730"/>
      <c r="C15" s="730"/>
      <c r="D15" s="731">
        <v>0</v>
      </c>
      <c r="E15" s="740">
        <f t="shared" si="0"/>
        <v>0</v>
      </c>
    </row>
    <row r="16" spans="1:10" ht="27.75" hidden="1" customHeight="1">
      <c r="A16" s="729"/>
      <c r="B16" s="730"/>
      <c r="C16" s="730"/>
      <c r="D16" s="731"/>
      <c r="E16" s="740">
        <f t="shared" si="0"/>
        <v>0</v>
      </c>
    </row>
    <row r="17" spans="1:5" ht="27.75" hidden="1" customHeight="1">
      <c r="A17" s="729"/>
      <c r="B17" s="730"/>
      <c r="C17" s="730"/>
      <c r="D17" s="731"/>
      <c r="E17" s="740">
        <f t="shared" si="0"/>
        <v>0</v>
      </c>
    </row>
    <row r="18" spans="1:5" ht="27.75" hidden="1" customHeight="1">
      <c r="A18" s="729"/>
      <c r="B18" s="730"/>
      <c r="C18" s="730"/>
      <c r="D18" s="731"/>
      <c r="E18" s="740">
        <f t="shared" si="0"/>
        <v>0</v>
      </c>
    </row>
    <row r="19" spans="1:5" ht="27.75" hidden="1" customHeight="1">
      <c r="A19" s="729"/>
      <c r="B19" s="730"/>
      <c r="C19" s="730"/>
      <c r="D19" s="731"/>
      <c r="E19" s="740">
        <f t="shared" si="0"/>
        <v>0</v>
      </c>
    </row>
    <row r="20" spans="1:5" ht="27.75" hidden="1" customHeight="1">
      <c r="A20" s="729"/>
      <c r="B20" s="730"/>
      <c r="C20" s="730"/>
      <c r="D20" s="731"/>
      <c r="E20" s="740">
        <f t="shared" si="0"/>
        <v>0</v>
      </c>
    </row>
    <row r="21" spans="1:5" ht="27.75" hidden="1" customHeight="1">
      <c r="A21" s="729"/>
      <c r="B21" s="730"/>
      <c r="C21" s="730"/>
      <c r="D21" s="731"/>
      <c r="E21" s="740">
        <f t="shared" si="0"/>
        <v>0</v>
      </c>
    </row>
    <row r="22" spans="1:5" ht="27.75" hidden="1" customHeight="1">
      <c r="A22" s="729"/>
      <c r="B22" s="730"/>
      <c r="C22" s="730"/>
      <c r="D22" s="731"/>
      <c r="E22" s="740">
        <f t="shared" si="0"/>
        <v>0</v>
      </c>
    </row>
    <row r="23" spans="1:5" ht="27.75" hidden="1" customHeight="1">
      <c r="A23" s="729"/>
      <c r="B23" s="730"/>
      <c r="C23" s="730"/>
      <c r="D23" s="731"/>
      <c r="E23" s="740">
        <f t="shared" si="0"/>
        <v>0</v>
      </c>
    </row>
    <row r="24" spans="1:5" ht="27.75" hidden="1" customHeight="1">
      <c r="A24" s="729"/>
      <c r="B24" s="730"/>
      <c r="C24" s="730"/>
      <c r="D24" s="731"/>
      <c r="E24" s="740">
        <f t="shared" si="0"/>
        <v>0</v>
      </c>
    </row>
    <row r="25" spans="1:5" ht="27.75" hidden="1" customHeight="1">
      <c r="A25" s="729"/>
      <c r="B25" s="730"/>
      <c r="C25" s="730"/>
      <c r="D25" s="731"/>
      <c r="E25" s="740">
        <f t="shared" si="0"/>
        <v>0</v>
      </c>
    </row>
    <row r="26" spans="1:5" ht="27.75" hidden="1" customHeight="1">
      <c r="A26" s="729"/>
      <c r="B26" s="730"/>
      <c r="C26" s="730"/>
      <c r="D26" s="731"/>
      <c r="E26" s="740">
        <f t="shared" si="0"/>
        <v>0</v>
      </c>
    </row>
    <row r="27" spans="1:5" ht="27.75" hidden="1" customHeight="1">
      <c r="A27" s="729"/>
      <c r="B27" s="730"/>
      <c r="C27" s="730"/>
      <c r="D27" s="731"/>
      <c r="E27" s="740">
        <f t="shared" si="0"/>
        <v>0</v>
      </c>
    </row>
    <row r="28" spans="1:5" ht="27.75" hidden="1" customHeight="1">
      <c r="A28" s="729"/>
      <c r="B28" s="730"/>
      <c r="C28" s="730"/>
      <c r="D28" s="731"/>
      <c r="E28" s="740">
        <f t="shared" si="0"/>
        <v>0</v>
      </c>
    </row>
    <row r="29" spans="1:5" ht="27.75" hidden="1" customHeight="1">
      <c r="A29" s="729"/>
      <c r="B29" s="730"/>
      <c r="C29" s="730"/>
      <c r="D29" s="731"/>
      <c r="E29" s="740">
        <f t="shared" si="0"/>
        <v>0</v>
      </c>
    </row>
    <row r="30" spans="1:5" ht="27.75" hidden="1" customHeight="1">
      <c r="A30" s="729"/>
      <c r="B30" s="730"/>
      <c r="C30" s="730"/>
      <c r="D30" s="731"/>
      <c r="E30" s="740">
        <f t="shared" si="0"/>
        <v>0</v>
      </c>
    </row>
    <row r="31" spans="1:5" ht="27.75" hidden="1" customHeight="1">
      <c r="A31" s="729"/>
      <c r="B31" s="730"/>
      <c r="C31" s="730"/>
      <c r="D31" s="731"/>
      <c r="E31" s="740">
        <f t="shared" si="0"/>
        <v>0</v>
      </c>
    </row>
    <row r="32" spans="1:5" ht="27.75" hidden="1" customHeight="1">
      <c r="A32" s="729"/>
      <c r="B32" s="730"/>
      <c r="C32" s="730"/>
      <c r="D32" s="731"/>
      <c r="E32" s="740">
        <f t="shared" si="0"/>
        <v>0</v>
      </c>
    </row>
    <row r="33" spans="1:5" ht="27.75" hidden="1" customHeight="1">
      <c r="A33" s="729"/>
      <c r="B33" s="730"/>
      <c r="C33" s="730"/>
      <c r="D33" s="731"/>
      <c r="E33" s="740">
        <f t="shared" si="0"/>
        <v>0</v>
      </c>
    </row>
    <row r="34" spans="1:5" ht="27.75" hidden="1" customHeight="1">
      <c r="A34" s="729"/>
      <c r="B34" s="730"/>
      <c r="C34" s="730"/>
      <c r="D34" s="731"/>
      <c r="E34" s="740">
        <f t="shared" si="0"/>
        <v>0</v>
      </c>
    </row>
    <row r="35" spans="1:5" ht="27.75" hidden="1" customHeight="1">
      <c r="A35" s="729"/>
      <c r="B35" s="730"/>
      <c r="C35" s="730"/>
      <c r="D35" s="731"/>
      <c r="E35" s="740">
        <f t="shared" si="0"/>
        <v>0</v>
      </c>
    </row>
    <row r="36" spans="1:5" ht="27.75" hidden="1" customHeight="1">
      <c r="A36" s="729"/>
      <c r="B36" s="730"/>
      <c r="C36" s="730"/>
      <c r="D36" s="731"/>
      <c r="E36" s="740">
        <f t="shared" si="0"/>
        <v>0</v>
      </c>
    </row>
    <row r="37" spans="1:5" ht="27.75" hidden="1" customHeight="1">
      <c r="A37" s="729"/>
      <c r="B37" s="730"/>
      <c r="C37" s="730"/>
      <c r="D37" s="731"/>
      <c r="E37" s="740">
        <f t="shared" si="0"/>
        <v>0</v>
      </c>
    </row>
    <row r="38" spans="1:5" ht="27.75" hidden="1" customHeight="1">
      <c r="A38" s="729"/>
      <c r="B38" s="730"/>
      <c r="C38" s="730"/>
      <c r="D38" s="731"/>
      <c r="E38" s="740">
        <f t="shared" si="0"/>
        <v>0</v>
      </c>
    </row>
    <row r="39" spans="1:5" ht="27.75" hidden="1" customHeight="1">
      <c r="A39" s="729"/>
      <c r="B39" s="730"/>
      <c r="C39" s="730"/>
      <c r="D39" s="731"/>
      <c r="E39" s="740">
        <f t="shared" si="0"/>
        <v>0</v>
      </c>
    </row>
    <row r="40" spans="1:5" ht="27.75" hidden="1" customHeight="1">
      <c r="A40" s="729"/>
      <c r="B40" s="730"/>
      <c r="C40" s="730"/>
      <c r="D40" s="731"/>
      <c r="E40" s="740">
        <f t="shared" si="0"/>
        <v>0</v>
      </c>
    </row>
    <row r="41" spans="1:5" ht="27.75" hidden="1" customHeight="1">
      <c r="A41" s="729"/>
      <c r="B41" s="730"/>
      <c r="C41" s="730"/>
      <c r="D41" s="731"/>
      <c r="E41" s="740">
        <f t="shared" si="0"/>
        <v>0</v>
      </c>
    </row>
    <row r="42" spans="1:5" ht="27.75" hidden="1" customHeight="1">
      <c r="A42" s="729"/>
      <c r="B42" s="730"/>
      <c r="C42" s="730"/>
      <c r="D42" s="731"/>
      <c r="E42" s="740">
        <f t="shared" si="0"/>
        <v>0</v>
      </c>
    </row>
    <row r="43" spans="1:5" ht="27.75" hidden="1" customHeight="1">
      <c r="A43" s="729"/>
      <c r="B43" s="730"/>
      <c r="C43" s="730"/>
      <c r="D43" s="731"/>
      <c r="E43" s="740">
        <f t="shared" si="0"/>
        <v>0</v>
      </c>
    </row>
    <row r="44" spans="1:5" ht="27.75" hidden="1" customHeight="1">
      <c r="A44" s="729"/>
      <c r="B44" s="730"/>
      <c r="C44" s="730"/>
      <c r="D44" s="731"/>
      <c r="E44" s="740">
        <f t="shared" si="0"/>
        <v>0</v>
      </c>
    </row>
    <row r="45" spans="1:5" ht="27.75" hidden="1" customHeight="1">
      <c r="A45" s="729"/>
      <c r="B45" s="730"/>
      <c r="C45" s="730"/>
      <c r="D45" s="731"/>
      <c r="E45" s="740">
        <f t="shared" si="0"/>
        <v>0</v>
      </c>
    </row>
    <row r="46" spans="1:5" ht="27.75" hidden="1" customHeight="1">
      <c r="A46" s="729"/>
      <c r="B46" s="730"/>
      <c r="C46" s="730"/>
      <c r="D46" s="731"/>
      <c r="E46" s="740">
        <f t="shared" si="0"/>
        <v>0</v>
      </c>
    </row>
    <row r="47" spans="1:5" ht="27.75" hidden="1" customHeight="1">
      <c r="A47" s="729"/>
      <c r="B47" s="730"/>
      <c r="C47" s="730"/>
      <c r="D47" s="731"/>
      <c r="E47" s="740">
        <f t="shared" si="0"/>
        <v>0</v>
      </c>
    </row>
    <row r="48" spans="1:5" ht="27.75" hidden="1" customHeight="1">
      <c r="A48" s="729"/>
      <c r="B48" s="730"/>
      <c r="C48" s="730"/>
      <c r="D48" s="731"/>
      <c r="E48" s="740">
        <f t="shared" si="0"/>
        <v>0</v>
      </c>
    </row>
    <row r="49" spans="1:5" ht="27.75" hidden="1" customHeight="1">
      <c r="A49" s="729"/>
      <c r="B49" s="730"/>
      <c r="C49" s="730"/>
      <c r="D49" s="731"/>
      <c r="E49" s="740">
        <f t="shared" si="0"/>
        <v>0</v>
      </c>
    </row>
    <row r="50" spans="1:5" ht="27.75" hidden="1" customHeight="1">
      <c r="A50" s="729"/>
      <c r="B50" s="730"/>
      <c r="C50" s="730"/>
      <c r="D50" s="731"/>
      <c r="E50" s="740">
        <f t="shared" si="0"/>
        <v>0</v>
      </c>
    </row>
    <row r="51" spans="1:5" ht="27.75" hidden="1" customHeight="1">
      <c r="A51" s="729"/>
      <c r="B51" s="730"/>
      <c r="C51" s="730"/>
      <c r="D51" s="731"/>
      <c r="E51" s="740">
        <f t="shared" si="0"/>
        <v>0</v>
      </c>
    </row>
    <row r="52" spans="1:5" ht="27.75" hidden="1" customHeight="1">
      <c r="A52" s="729"/>
      <c r="B52" s="730"/>
      <c r="C52" s="730"/>
      <c r="D52" s="731"/>
      <c r="E52" s="740">
        <f t="shared" si="0"/>
        <v>0</v>
      </c>
    </row>
    <row r="53" spans="1:5" ht="27.75" hidden="1" customHeight="1">
      <c r="A53" s="729"/>
      <c r="B53" s="730"/>
      <c r="C53" s="730"/>
      <c r="D53" s="731"/>
      <c r="E53" s="740">
        <f t="shared" si="0"/>
        <v>0</v>
      </c>
    </row>
    <row r="54" spans="1:5" ht="27.75" hidden="1" customHeight="1">
      <c r="A54" s="729"/>
      <c r="B54" s="730"/>
      <c r="C54" s="730"/>
      <c r="D54" s="731"/>
      <c r="E54" s="740">
        <f t="shared" si="0"/>
        <v>0</v>
      </c>
    </row>
    <row r="55" spans="1:5" ht="27.75" hidden="1" customHeight="1">
      <c r="A55" s="729"/>
      <c r="B55" s="730"/>
      <c r="C55" s="730"/>
      <c r="D55" s="731"/>
      <c r="E55" s="740">
        <f t="shared" si="0"/>
        <v>0</v>
      </c>
    </row>
    <row r="56" spans="1:5" ht="27.75" hidden="1" customHeight="1">
      <c r="A56" s="729"/>
      <c r="B56" s="730"/>
      <c r="C56" s="730"/>
      <c r="D56" s="731"/>
      <c r="E56" s="740">
        <f t="shared" si="0"/>
        <v>0</v>
      </c>
    </row>
    <row r="57" spans="1:5" ht="27.75" hidden="1" customHeight="1">
      <c r="A57" s="729"/>
      <c r="B57" s="730"/>
      <c r="C57" s="730"/>
      <c r="D57" s="731"/>
      <c r="E57" s="740">
        <f t="shared" si="0"/>
        <v>0</v>
      </c>
    </row>
    <row r="58" spans="1:5" ht="27.75" hidden="1" customHeight="1">
      <c r="A58" s="729"/>
      <c r="B58" s="730"/>
      <c r="C58" s="730"/>
      <c r="D58" s="731"/>
      <c r="E58" s="740">
        <f t="shared" si="0"/>
        <v>0</v>
      </c>
    </row>
    <row r="59" spans="1:5" ht="27.75" hidden="1" customHeight="1">
      <c r="A59" s="729"/>
      <c r="B59" s="730"/>
      <c r="C59" s="730"/>
      <c r="D59" s="731"/>
      <c r="E59" s="740">
        <f t="shared" si="0"/>
        <v>0</v>
      </c>
    </row>
    <row r="60" spans="1:5" ht="27.75" hidden="1" customHeight="1">
      <c r="A60" s="729"/>
      <c r="B60" s="730"/>
      <c r="C60" s="730"/>
      <c r="D60" s="731"/>
      <c r="E60" s="740">
        <f t="shared" si="0"/>
        <v>0</v>
      </c>
    </row>
    <row r="61" spans="1:5" ht="27.75" hidden="1" customHeight="1">
      <c r="A61" s="729"/>
      <c r="B61" s="730"/>
      <c r="C61" s="730"/>
      <c r="D61" s="731"/>
      <c r="E61" s="740">
        <f t="shared" si="0"/>
        <v>0</v>
      </c>
    </row>
    <row r="62" spans="1:5" ht="27.75" hidden="1" customHeight="1">
      <c r="A62" s="729"/>
      <c r="B62" s="730"/>
      <c r="C62" s="730"/>
      <c r="D62" s="731"/>
      <c r="E62" s="740">
        <f t="shared" si="0"/>
        <v>0</v>
      </c>
    </row>
    <row r="63" spans="1:5" ht="27.75" hidden="1" customHeight="1">
      <c r="A63" s="729"/>
      <c r="B63" s="730"/>
      <c r="C63" s="730"/>
      <c r="D63" s="731"/>
      <c r="E63" s="740">
        <f t="shared" si="0"/>
        <v>0</v>
      </c>
    </row>
    <row r="64" spans="1:5" ht="27.75" hidden="1" customHeight="1">
      <c r="A64" s="729"/>
      <c r="B64" s="730"/>
      <c r="C64" s="730"/>
      <c r="D64" s="731"/>
      <c r="E64" s="740">
        <f t="shared" si="0"/>
        <v>0</v>
      </c>
    </row>
    <row r="65" spans="1:5" ht="27.75" hidden="1" customHeight="1">
      <c r="A65" s="729"/>
      <c r="B65" s="730"/>
      <c r="C65" s="730"/>
      <c r="D65" s="731"/>
      <c r="E65" s="740">
        <f t="shared" si="0"/>
        <v>0</v>
      </c>
    </row>
    <row r="66" spans="1:5" ht="27.75" hidden="1" customHeight="1">
      <c r="A66" s="729"/>
      <c r="B66" s="730"/>
      <c r="C66" s="730"/>
      <c r="D66" s="731"/>
      <c r="E66" s="740">
        <f t="shared" si="0"/>
        <v>0</v>
      </c>
    </row>
    <row r="67" spans="1:5" ht="27.75" hidden="1" customHeight="1">
      <c r="A67" s="729"/>
      <c r="B67" s="730"/>
      <c r="C67" s="730"/>
      <c r="D67" s="731"/>
      <c r="E67" s="740">
        <f t="shared" si="0"/>
        <v>0</v>
      </c>
    </row>
    <row r="68" spans="1:5" ht="27.75" hidden="1" customHeight="1">
      <c r="A68" s="729"/>
      <c r="B68" s="730"/>
      <c r="C68" s="730"/>
      <c r="D68" s="731"/>
      <c r="E68" s="740">
        <f t="shared" si="0"/>
        <v>0</v>
      </c>
    </row>
    <row r="69" spans="1:5" ht="27.75" hidden="1" customHeight="1">
      <c r="A69" s="729"/>
      <c r="B69" s="730"/>
      <c r="C69" s="730"/>
      <c r="D69" s="731"/>
      <c r="E69" s="740">
        <f t="shared" si="0"/>
        <v>0</v>
      </c>
    </row>
    <row r="70" spans="1:5" ht="27.75" hidden="1" customHeight="1">
      <c r="A70" s="729"/>
      <c r="B70" s="730"/>
      <c r="C70" s="730"/>
      <c r="D70" s="731"/>
      <c r="E70" s="740">
        <f t="shared" si="0"/>
        <v>0</v>
      </c>
    </row>
    <row r="71" spans="1:5" ht="27.75" hidden="1" customHeight="1">
      <c r="A71" s="729"/>
      <c r="B71" s="730"/>
      <c r="C71" s="730"/>
      <c r="D71" s="731"/>
      <c r="E71" s="740">
        <f t="shared" si="0"/>
        <v>0</v>
      </c>
    </row>
    <row r="72" spans="1:5" ht="27.75" hidden="1" customHeight="1">
      <c r="A72" s="729"/>
      <c r="B72" s="730"/>
      <c r="C72" s="730"/>
      <c r="D72" s="731"/>
      <c r="E72" s="740">
        <f t="shared" si="0"/>
        <v>0</v>
      </c>
    </row>
    <row r="73" spans="1:5" ht="27.75" hidden="1" customHeight="1">
      <c r="A73" s="729"/>
      <c r="B73" s="730"/>
      <c r="C73" s="730"/>
      <c r="D73" s="731"/>
      <c r="E73" s="740">
        <f t="shared" si="0"/>
        <v>0</v>
      </c>
    </row>
    <row r="74" spans="1:5" ht="27.75" hidden="1" customHeight="1">
      <c r="A74" s="729"/>
      <c r="B74" s="730"/>
      <c r="C74" s="730"/>
      <c r="D74" s="731"/>
      <c r="E74" s="740">
        <f t="shared" si="0"/>
        <v>0</v>
      </c>
    </row>
    <row r="75" spans="1:5" ht="27.75" hidden="1" customHeight="1">
      <c r="A75" s="729"/>
      <c r="B75" s="730"/>
      <c r="C75" s="730"/>
      <c r="D75" s="731"/>
      <c r="E75" s="740">
        <f t="shared" si="0"/>
        <v>0</v>
      </c>
    </row>
    <row r="76" spans="1:5" ht="27.75" hidden="1" customHeight="1">
      <c r="A76" s="729"/>
      <c r="B76" s="730"/>
      <c r="C76" s="730"/>
      <c r="D76" s="731"/>
      <c r="E76" s="740">
        <f t="shared" si="0"/>
        <v>0</v>
      </c>
    </row>
    <row r="77" spans="1:5" ht="27.75" hidden="1" customHeight="1">
      <c r="A77" s="729"/>
      <c r="B77" s="730"/>
      <c r="C77" s="730"/>
      <c r="D77" s="731"/>
      <c r="E77" s="740">
        <f t="shared" si="0"/>
        <v>0</v>
      </c>
    </row>
    <row r="78" spans="1:5" ht="27.75" hidden="1" customHeight="1">
      <c r="A78" s="729"/>
      <c r="B78" s="730"/>
      <c r="C78" s="730"/>
      <c r="D78" s="731"/>
      <c r="E78" s="740">
        <f t="shared" ref="E78:E141" si="1">C78*D78</f>
        <v>0</v>
      </c>
    </row>
    <row r="79" spans="1:5" ht="27.75" hidden="1" customHeight="1">
      <c r="A79" s="729"/>
      <c r="B79" s="730"/>
      <c r="C79" s="730"/>
      <c r="D79" s="731"/>
      <c r="E79" s="740">
        <f t="shared" si="1"/>
        <v>0</v>
      </c>
    </row>
    <row r="80" spans="1:5" ht="27.75" hidden="1" customHeight="1">
      <c r="A80" s="729"/>
      <c r="B80" s="730"/>
      <c r="C80" s="730"/>
      <c r="D80" s="731"/>
      <c r="E80" s="740">
        <f t="shared" si="1"/>
        <v>0</v>
      </c>
    </row>
    <row r="81" spans="1:5" ht="27.75" hidden="1" customHeight="1">
      <c r="A81" s="729"/>
      <c r="B81" s="730"/>
      <c r="C81" s="730"/>
      <c r="D81" s="731"/>
      <c r="E81" s="740">
        <f t="shared" si="1"/>
        <v>0</v>
      </c>
    </row>
    <row r="82" spans="1:5" ht="27.75" hidden="1" customHeight="1">
      <c r="A82" s="729"/>
      <c r="B82" s="730"/>
      <c r="C82" s="730"/>
      <c r="D82" s="731"/>
      <c r="E82" s="740">
        <f t="shared" si="1"/>
        <v>0</v>
      </c>
    </row>
    <row r="83" spans="1:5" ht="27.75" hidden="1" customHeight="1">
      <c r="A83" s="729"/>
      <c r="B83" s="730"/>
      <c r="C83" s="730"/>
      <c r="D83" s="731"/>
      <c r="E83" s="740">
        <f t="shared" si="1"/>
        <v>0</v>
      </c>
    </row>
    <row r="84" spans="1:5" ht="27.75" hidden="1" customHeight="1">
      <c r="A84" s="729"/>
      <c r="B84" s="730"/>
      <c r="C84" s="730"/>
      <c r="D84" s="731"/>
      <c r="E84" s="740">
        <f t="shared" si="1"/>
        <v>0</v>
      </c>
    </row>
    <row r="85" spans="1:5" ht="27.75" hidden="1" customHeight="1">
      <c r="A85" s="729"/>
      <c r="B85" s="730"/>
      <c r="C85" s="730"/>
      <c r="D85" s="731"/>
      <c r="E85" s="740">
        <f t="shared" si="1"/>
        <v>0</v>
      </c>
    </row>
    <row r="86" spans="1:5" ht="27.75" hidden="1" customHeight="1">
      <c r="A86" s="729"/>
      <c r="B86" s="730"/>
      <c r="C86" s="730"/>
      <c r="D86" s="731"/>
      <c r="E86" s="740">
        <f t="shared" si="1"/>
        <v>0</v>
      </c>
    </row>
    <row r="87" spans="1:5" ht="27.75" hidden="1" customHeight="1">
      <c r="A87" s="729"/>
      <c r="B87" s="730"/>
      <c r="C87" s="730"/>
      <c r="D87" s="731"/>
      <c r="E87" s="740">
        <f t="shared" si="1"/>
        <v>0</v>
      </c>
    </row>
    <row r="88" spans="1:5" ht="27.75" hidden="1" customHeight="1">
      <c r="A88" s="729"/>
      <c r="B88" s="730"/>
      <c r="C88" s="730"/>
      <c r="D88" s="731"/>
      <c r="E88" s="740">
        <f t="shared" si="1"/>
        <v>0</v>
      </c>
    </row>
    <row r="89" spans="1:5" ht="27.75" hidden="1" customHeight="1">
      <c r="A89" s="729"/>
      <c r="B89" s="730"/>
      <c r="C89" s="730"/>
      <c r="D89" s="731"/>
      <c r="E89" s="740">
        <f t="shared" si="1"/>
        <v>0</v>
      </c>
    </row>
    <row r="90" spans="1:5" ht="27.75" hidden="1" customHeight="1">
      <c r="A90" s="729"/>
      <c r="B90" s="730"/>
      <c r="C90" s="730"/>
      <c r="D90" s="731"/>
      <c r="E90" s="740">
        <f t="shared" si="1"/>
        <v>0</v>
      </c>
    </row>
    <row r="91" spans="1:5" ht="27.75" hidden="1" customHeight="1">
      <c r="A91" s="729"/>
      <c r="B91" s="730"/>
      <c r="C91" s="730"/>
      <c r="D91" s="731"/>
      <c r="E91" s="740">
        <f t="shared" si="1"/>
        <v>0</v>
      </c>
    </row>
    <row r="92" spans="1:5" ht="27.75" hidden="1" customHeight="1">
      <c r="A92" s="729"/>
      <c r="B92" s="730"/>
      <c r="C92" s="730"/>
      <c r="D92" s="731"/>
      <c r="E92" s="740">
        <f t="shared" si="1"/>
        <v>0</v>
      </c>
    </row>
    <row r="93" spans="1:5" ht="27.75" hidden="1" customHeight="1">
      <c r="A93" s="729"/>
      <c r="B93" s="730"/>
      <c r="C93" s="730"/>
      <c r="D93" s="731"/>
      <c r="E93" s="740">
        <f t="shared" si="1"/>
        <v>0</v>
      </c>
    </row>
    <row r="94" spans="1:5" ht="27.75" hidden="1" customHeight="1">
      <c r="A94" s="729"/>
      <c r="B94" s="730"/>
      <c r="C94" s="730"/>
      <c r="D94" s="731"/>
      <c r="E94" s="740">
        <f t="shared" si="1"/>
        <v>0</v>
      </c>
    </row>
    <row r="95" spans="1:5" ht="27.75" hidden="1" customHeight="1">
      <c r="A95" s="729"/>
      <c r="B95" s="730"/>
      <c r="C95" s="730"/>
      <c r="D95" s="731"/>
      <c r="E95" s="740">
        <f t="shared" si="1"/>
        <v>0</v>
      </c>
    </row>
    <row r="96" spans="1:5" ht="27.75" hidden="1" customHeight="1">
      <c r="A96" s="729"/>
      <c r="B96" s="730"/>
      <c r="C96" s="730"/>
      <c r="D96" s="731"/>
      <c r="E96" s="740">
        <f t="shared" si="1"/>
        <v>0</v>
      </c>
    </row>
    <row r="97" spans="1:5" ht="27.75" hidden="1" customHeight="1">
      <c r="A97" s="729"/>
      <c r="B97" s="730"/>
      <c r="C97" s="730"/>
      <c r="D97" s="731"/>
      <c r="E97" s="740">
        <f t="shared" si="1"/>
        <v>0</v>
      </c>
    </row>
    <row r="98" spans="1:5" ht="27.75" hidden="1" customHeight="1">
      <c r="A98" s="729"/>
      <c r="B98" s="730"/>
      <c r="C98" s="730"/>
      <c r="D98" s="731"/>
      <c r="E98" s="740">
        <f t="shared" si="1"/>
        <v>0</v>
      </c>
    </row>
    <row r="99" spans="1:5" ht="27.75" hidden="1" customHeight="1">
      <c r="A99" s="729"/>
      <c r="B99" s="730"/>
      <c r="C99" s="730"/>
      <c r="D99" s="731"/>
      <c r="E99" s="740">
        <f t="shared" si="1"/>
        <v>0</v>
      </c>
    </row>
    <row r="100" spans="1:5" ht="27.75" hidden="1" customHeight="1">
      <c r="A100" s="729"/>
      <c r="B100" s="730"/>
      <c r="C100" s="730"/>
      <c r="D100" s="731"/>
      <c r="E100" s="740">
        <f t="shared" si="1"/>
        <v>0</v>
      </c>
    </row>
    <row r="101" spans="1:5" ht="27.75" hidden="1" customHeight="1">
      <c r="A101" s="729"/>
      <c r="B101" s="730"/>
      <c r="C101" s="730"/>
      <c r="D101" s="731"/>
      <c r="E101" s="740">
        <f t="shared" si="1"/>
        <v>0</v>
      </c>
    </row>
    <row r="102" spans="1:5" ht="27.75" hidden="1" customHeight="1">
      <c r="A102" s="729"/>
      <c r="B102" s="730"/>
      <c r="C102" s="730"/>
      <c r="D102" s="731"/>
      <c r="E102" s="740">
        <f t="shared" si="1"/>
        <v>0</v>
      </c>
    </row>
    <row r="103" spans="1:5" ht="27.75" hidden="1" customHeight="1">
      <c r="A103" s="729"/>
      <c r="B103" s="730"/>
      <c r="C103" s="730"/>
      <c r="D103" s="731"/>
      <c r="E103" s="740">
        <f t="shared" si="1"/>
        <v>0</v>
      </c>
    </row>
    <row r="104" spans="1:5" ht="27.75" hidden="1" customHeight="1">
      <c r="A104" s="729"/>
      <c r="B104" s="730"/>
      <c r="C104" s="730"/>
      <c r="D104" s="731"/>
      <c r="E104" s="740">
        <f t="shared" si="1"/>
        <v>0</v>
      </c>
    </row>
    <row r="105" spans="1:5" ht="27.75" hidden="1" customHeight="1">
      <c r="A105" s="729"/>
      <c r="B105" s="730"/>
      <c r="C105" s="730"/>
      <c r="D105" s="731"/>
      <c r="E105" s="740">
        <f t="shared" si="1"/>
        <v>0</v>
      </c>
    </row>
    <row r="106" spans="1:5" ht="27.75" hidden="1" customHeight="1">
      <c r="A106" s="729"/>
      <c r="B106" s="730"/>
      <c r="C106" s="730"/>
      <c r="D106" s="731"/>
      <c r="E106" s="740">
        <f t="shared" si="1"/>
        <v>0</v>
      </c>
    </row>
    <row r="107" spans="1:5" ht="27.75" hidden="1" customHeight="1">
      <c r="A107" s="729"/>
      <c r="B107" s="730"/>
      <c r="C107" s="730"/>
      <c r="D107" s="731"/>
      <c r="E107" s="740">
        <f t="shared" si="1"/>
        <v>0</v>
      </c>
    </row>
    <row r="108" spans="1:5" ht="27.75" hidden="1" customHeight="1">
      <c r="A108" s="729"/>
      <c r="B108" s="730"/>
      <c r="C108" s="730"/>
      <c r="D108" s="731"/>
      <c r="E108" s="740">
        <f t="shared" si="1"/>
        <v>0</v>
      </c>
    </row>
    <row r="109" spans="1:5" ht="27.75" hidden="1" customHeight="1">
      <c r="A109" s="729"/>
      <c r="B109" s="730"/>
      <c r="C109" s="730"/>
      <c r="D109" s="731"/>
      <c r="E109" s="740">
        <f t="shared" si="1"/>
        <v>0</v>
      </c>
    </row>
    <row r="110" spans="1:5" ht="27.75" hidden="1" customHeight="1">
      <c r="A110" s="729"/>
      <c r="B110" s="730"/>
      <c r="C110" s="730"/>
      <c r="D110" s="731"/>
      <c r="E110" s="740">
        <f t="shared" si="1"/>
        <v>0</v>
      </c>
    </row>
    <row r="111" spans="1:5" ht="27.75" hidden="1" customHeight="1">
      <c r="A111" s="729"/>
      <c r="B111" s="730"/>
      <c r="C111" s="730"/>
      <c r="D111" s="731"/>
      <c r="E111" s="740">
        <f t="shared" si="1"/>
        <v>0</v>
      </c>
    </row>
    <row r="112" spans="1:5" ht="27.75" hidden="1" customHeight="1">
      <c r="A112" s="729"/>
      <c r="B112" s="730"/>
      <c r="C112" s="730"/>
      <c r="D112" s="731"/>
      <c r="E112" s="740">
        <f t="shared" si="1"/>
        <v>0</v>
      </c>
    </row>
    <row r="113" spans="1:5" ht="27.75" hidden="1" customHeight="1">
      <c r="A113" s="729"/>
      <c r="B113" s="730"/>
      <c r="C113" s="730"/>
      <c r="D113" s="731"/>
      <c r="E113" s="740">
        <f t="shared" si="1"/>
        <v>0</v>
      </c>
    </row>
    <row r="114" spans="1:5" ht="27.75" hidden="1" customHeight="1">
      <c r="A114" s="729"/>
      <c r="B114" s="730"/>
      <c r="C114" s="730"/>
      <c r="D114" s="731"/>
      <c r="E114" s="740">
        <f t="shared" si="1"/>
        <v>0</v>
      </c>
    </row>
    <row r="115" spans="1:5" ht="27.75" hidden="1" customHeight="1">
      <c r="A115" s="729"/>
      <c r="B115" s="730"/>
      <c r="C115" s="730"/>
      <c r="D115" s="731"/>
      <c r="E115" s="740">
        <f t="shared" si="1"/>
        <v>0</v>
      </c>
    </row>
    <row r="116" spans="1:5" ht="27.75" hidden="1" customHeight="1">
      <c r="A116" s="729"/>
      <c r="B116" s="730"/>
      <c r="C116" s="730"/>
      <c r="D116" s="731"/>
      <c r="E116" s="740">
        <f t="shared" si="1"/>
        <v>0</v>
      </c>
    </row>
    <row r="117" spans="1:5" ht="27.75" hidden="1" customHeight="1">
      <c r="A117" s="729"/>
      <c r="B117" s="730"/>
      <c r="C117" s="730"/>
      <c r="D117" s="731"/>
      <c r="E117" s="740">
        <f t="shared" si="1"/>
        <v>0</v>
      </c>
    </row>
    <row r="118" spans="1:5" ht="27.75" hidden="1" customHeight="1">
      <c r="A118" s="729"/>
      <c r="B118" s="730"/>
      <c r="C118" s="730"/>
      <c r="D118" s="731"/>
      <c r="E118" s="740">
        <f t="shared" si="1"/>
        <v>0</v>
      </c>
    </row>
    <row r="119" spans="1:5" ht="27.75" hidden="1" customHeight="1">
      <c r="A119" s="729"/>
      <c r="B119" s="730"/>
      <c r="C119" s="730"/>
      <c r="D119" s="731"/>
      <c r="E119" s="740">
        <f t="shared" si="1"/>
        <v>0</v>
      </c>
    </row>
    <row r="120" spans="1:5" ht="27.75" hidden="1" customHeight="1">
      <c r="A120" s="729"/>
      <c r="B120" s="730"/>
      <c r="C120" s="730"/>
      <c r="D120" s="731"/>
      <c r="E120" s="740">
        <f t="shared" si="1"/>
        <v>0</v>
      </c>
    </row>
    <row r="121" spans="1:5" ht="27.75" hidden="1" customHeight="1">
      <c r="A121" s="729"/>
      <c r="B121" s="730"/>
      <c r="C121" s="730"/>
      <c r="D121" s="731"/>
      <c r="E121" s="740">
        <f t="shared" si="1"/>
        <v>0</v>
      </c>
    </row>
    <row r="122" spans="1:5" ht="27.75" hidden="1" customHeight="1">
      <c r="A122" s="729"/>
      <c r="B122" s="730"/>
      <c r="C122" s="730"/>
      <c r="D122" s="731"/>
      <c r="E122" s="740">
        <f t="shared" si="1"/>
        <v>0</v>
      </c>
    </row>
    <row r="123" spans="1:5" ht="27.75" hidden="1" customHeight="1">
      <c r="A123" s="729"/>
      <c r="B123" s="730"/>
      <c r="C123" s="730"/>
      <c r="D123" s="731"/>
      <c r="E123" s="740">
        <f t="shared" si="1"/>
        <v>0</v>
      </c>
    </row>
    <row r="124" spans="1:5" ht="27.75" hidden="1" customHeight="1">
      <c r="A124" s="729"/>
      <c r="B124" s="730"/>
      <c r="C124" s="730"/>
      <c r="D124" s="731"/>
      <c r="E124" s="740">
        <f t="shared" si="1"/>
        <v>0</v>
      </c>
    </row>
    <row r="125" spans="1:5" ht="27.75" hidden="1" customHeight="1">
      <c r="A125" s="729"/>
      <c r="B125" s="730"/>
      <c r="C125" s="730"/>
      <c r="D125" s="731"/>
      <c r="E125" s="740">
        <f t="shared" si="1"/>
        <v>0</v>
      </c>
    </row>
    <row r="126" spans="1:5" ht="27.75" hidden="1" customHeight="1">
      <c r="A126" s="729"/>
      <c r="B126" s="730"/>
      <c r="C126" s="730"/>
      <c r="D126" s="731"/>
      <c r="E126" s="740">
        <f t="shared" si="1"/>
        <v>0</v>
      </c>
    </row>
    <row r="127" spans="1:5" ht="27.75" hidden="1" customHeight="1">
      <c r="A127" s="729"/>
      <c r="B127" s="730"/>
      <c r="C127" s="730"/>
      <c r="D127" s="731"/>
      <c r="E127" s="740">
        <f t="shared" si="1"/>
        <v>0</v>
      </c>
    </row>
    <row r="128" spans="1:5" ht="27.75" hidden="1" customHeight="1">
      <c r="A128" s="729"/>
      <c r="B128" s="730"/>
      <c r="C128" s="730"/>
      <c r="D128" s="731"/>
      <c r="E128" s="740">
        <f t="shared" si="1"/>
        <v>0</v>
      </c>
    </row>
    <row r="129" spans="1:5" ht="27.75" hidden="1" customHeight="1">
      <c r="A129" s="729"/>
      <c r="B129" s="730"/>
      <c r="C129" s="730"/>
      <c r="D129" s="731"/>
      <c r="E129" s="740">
        <f t="shared" si="1"/>
        <v>0</v>
      </c>
    </row>
    <row r="130" spans="1:5" ht="27.75" hidden="1" customHeight="1">
      <c r="A130" s="729"/>
      <c r="B130" s="730"/>
      <c r="C130" s="730"/>
      <c r="D130" s="731"/>
      <c r="E130" s="740">
        <f t="shared" si="1"/>
        <v>0</v>
      </c>
    </row>
    <row r="131" spans="1:5" ht="27.75" hidden="1" customHeight="1">
      <c r="A131" s="729"/>
      <c r="B131" s="730"/>
      <c r="C131" s="730"/>
      <c r="D131" s="731"/>
      <c r="E131" s="740">
        <f t="shared" si="1"/>
        <v>0</v>
      </c>
    </row>
    <row r="132" spans="1:5" ht="27.75" hidden="1" customHeight="1">
      <c r="A132" s="729"/>
      <c r="B132" s="730"/>
      <c r="C132" s="730"/>
      <c r="D132" s="731"/>
      <c r="E132" s="740">
        <f t="shared" si="1"/>
        <v>0</v>
      </c>
    </row>
    <row r="133" spans="1:5" ht="27.75" hidden="1" customHeight="1">
      <c r="A133" s="729"/>
      <c r="B133" s="730"/>
      <c r="C133" s="730"/>
      <c r="D133" s="731"/>
      <c r="E133" s="740">
        <f t="shared" si="1"/>
        <v>0</v>
      </c>
    </row>
    <row r="134" spans="1:5" ht="27.75" hidden="1" customHeight="1">
      <c r="A134" s="729"/>
      <c r="B134" s="730"/>
      <c r="C134" s="730"/>
      <c r="D134" s="731"/>
      <c r="E134" s="740">
        <f t="shared" si="1"/>
        <v>0</v>
      </c>
    </row>
    <row r="135" spans="1:5" ht="27.75" hidden="1" customHeight="1">
      <c r="A135" s="729"/>
      <c r="B135" s="730"/>
      <c r="C135" s="730"/>
      <c r="D135" s="731"/>
      <c r="E135" s="740">
        <f t="shared" si="1"/>
        <v>0</v>
      </c>
    </row>
    <row r="136" spans="1:5" ht="27.75" hidden="1" customHeight="1">
      <c r="A136" s="729"/>
      <c r="B136" s="730"/>
      <c r="C136" s="730"/>
      <c r="D136" s="731"/>
      <c r="E136" s="740">
        <f t="shared" si="1"/>
        <v>0</v>
      </c>
    </row>
    <row r="137" spans="1:5" ht="27.75" hidden="1" customHeight="1">
      <c r="A137" s="729"/>
      <c r="B137" s="730"/>
      <c r="C137" s="730"/>
      <c r="D137" s="731"/>
      <c r="E137" s="740">
        <f t="shared" si="1"/>
        <v>0</v>
      </c>
    </row>
    <row r="138" spans="1:5" ht="27.75" hidden="1" customHeight="1">
      <c r="A138" s="729"/>
      <c r="B138" s="730"/>
      <c r="C138" s="730"/>
      <c r="D138" s="731"/>
      <c r="E138" s="740">
        <f t="shared" si="1"/>
        <v>0</v>
      </c>
    </row>
    <row r="139" spans="1:5" ht="27.75" hidden="1" customHeight="1">
      <c r="A139" s="729"/>
      <c r="B139" s="730"/>
      <c r="C139" s="730"/>
      <c r="D139" s="731"/>
      <c r="E139" s="740">
        <f t="shared" si="1"/>
        <v>0</v>
      </c>
    </row>
    <row r="140" spans="1:5" ht="27.75" hidden="1" customHeight="1">
      <c r="A140" s="729"/>
      <c r="B140" s="730"/>
      <c r="C140" s="730"/>
      <c r="D140" s="731"/>
      <c r="E140" s="740">
        <f t="shared" si="1"/>
        <v>0</v>
      </c>
    </row>
    <row r="141" spans="1:5" ht="27.75" hidden="1" customHeight="1">
      <c r="A141" s="729"/>
      <c r="B141" s="730"/>
      <c r="C141" s="730"/>
      <c r="D141" s="731"/>
      <c r="E141" s="740">
        <f t="shared" si="1"/>
        <v>0</v>
      </c>
    </row>
    <row r="142" spans="1:5" ht="27.75" hidden="1" customHeight="1">
      <c r="A142" s="729"/>
      <c r="B142" s="730"/>
      <c r="C142" s="730"/>
      <c r="D142" s="731"/>
      <c r="E142" s="740">
        <f t="shared" ref="E142:E183" si="2">C142*D142</f>
        <v>0</v>
      </c>
    </row>
    <row r="143" spans="1:5" ht="27.75" hidden="1" customHeight="1">
      <c r="A143" s="729"/>
      <c r="B143" s="730"/>
      <c r="C143" s="730"/>
      <c r="D143" s="731"/>
      <c r="E143" s="740">
        <f t="shared" si="2"/>
        <v>0</v>
      </c>
    </row>
    <row r="144" spans="1:5" ht="27.75" hidden="1" customHeight="1">
      <c r="A144" s="729"/>
      <c r="B144" s="730"/>
      <c r="C144" s="730"/>
      <c r="D144" s="731"/>
      <c r="E144" s="740">
        <f t="shared" si="2"/>
        <v>0</v>
      </c>
    </row>
    <row r="145" spans="1:5" ht="27.75" hidden="1" customHeight="1">
      <c r="A145" s="729"/>
      <c r="B145" s="730"/>
      <c r="C145" s="730"/>
      <c r="D145" s="731"/>
      <c r="E145" s="740">
        <f t="shared" si="2"/>
        <v>0</v>
      </c>
    </row>
    <row r="146" spans="1:5" ht="27.75" hidden="1" customHeight="1">
      <c r="A146" s="729"/>
      <c r="B146" s="730"/>
      <c r="C146" s="730"/>
      <c r="D146" s="731"/>
      <c r="E146" s="740">
        <f t="shared" si="2"/>
        <v>0</v>
      </c>
    </row>
    <row r="147" spans="1:5" ht="27.75" hidden="1" customHeight="1">
      <c r="A147" s="729"/>
      <c r="B147" s="730"/>
      <c r="C147" s="730"/>
      <c r="D147" s="731"/>
      <c r="E147" s="740">
        <f t="shared" si="2"/>
        <v>0</v>
      </c>
    </row>
    <row r="148" spans="1:5" ht="27.75" hidden="1" customHeight="1">
      <c r="A148" s="729"/>
      <c r="B148" s="730"/>
      <c r="C148" s="730"/>
      <c r="D148" s="731"/>
      <c r="E148" s="740">
        <f t="shared" si="2"/>
        <v>0</v>
      </c>
    </row>
    <row r="149" spans="1:5" ht="27.75" hidden="1" customHeight="1">
      <c r="A149" s="729"/>
      <c r="B149" s="730"/>
      <c r="C149" s="730"/>
      <c r="D149" s="731"/>
      <c r="E149" s="740">
        <f t="shared" si="2"/>
        <v>0</v>
      </c>
    </row>
    <row r="150" spans="1:5" ht="27.75" hidden="1" customHeight="1">
      <c r="A150" s="729"/>
      <c r="B150" s="730"/>
      <c r="C150" s="730"/>
      <c r="D150" s="731"/>
      <c r="E150" s="740">
        <f t="shared" si="2"/>
        <v>0</v>
      </c>
    </row>
    <row r="151" spans="1:5" ht="27.75" hidden="1" customHeight="1">
      <c r="A151" s="729"/>
      <c r="B151" s="730"/>
      <c r="C151" s="730"/>
      <c r="D151" s="731"/>
      <c r="E151" s="740">
        <f t="shared" si="2"/>
        <v>0</v>
      </c>
    </row>
    <row r="152" spans="1:5" ht="27.75" hidden="1" customHeight="1">
      <c r="A152" s="729"/>
      <c r="B152" s="730"/>
      <c r="C152" s="730"/>
      <c r="D152" s="731"/>
      <c r="E152" s="740">
        <f t="shared" si="2"/>
        <v>0</v>
      </c>
    </row>
    <row r="153" spans="1:5" ht="27.75" hidden="1" customHeight="1">
      <c r="A153" s="729"/>
      <c r="B153" s="730"/>
      <c r="C153" s="730"/>
      <c r="D153" s="731"/>
      <c r="E153" s="740">
        <f t="shared" si="2"/>
        <v>0</v>
      </c>
    </row>
    <row r="154" spans="1:5" ht="27.75" hidden="1" customHeight="1">
      <c r="A154" s="729"/>
      <c r="B154" s="730"/>
      <c r="C154" s="730"/>
      <c r="D154" s="731"/>
      <c r="E154" s="740">
        <f t="shared" si="2"/>
        <v>0</v>
      </c>
    </row>
    <row r="155" spans="1:5" ht="27.75" hidden="1" customHeight="1">
      <c r="A155" s="729"/>
      <c r="B155" s="730"/>
      <c r="C155" s="730"/>
      <c r="D155" s="731"/>
      <c r="E155" s="740">
        <f t="shared" si="2"/>
        <v>0</v>
      </c>
    </row>
    <row r="156" spans="1:5" ht="27.75" hidden="1" customHeight="1">
      <c r="A156" s="729"/>
      <c r="B156" s="730"/>
      <c r="C156" s="730"/>
      <c r="D156" s="731"/>
      <c r="E156" s="740">
        <f t="shared" si="2"/>
        <v>0</v>
      </c>
    </row>
    <row r="157" spans="1:5" ht="27.75" hidden="1" customHeight="1">
      <c r="A157" s="729"/>
      <c r="B157" s="730"/>
      <c r="C157" s="730"/>
      <c r="D157" s="731"/>
      <c r="E157" s="740">
        <f t="shared" si="2"/>
        <v>0</v>
      </c>
    </row>
    <row r="158" spans="1:5" ht="27.75" hidden="1" customHeight="1">
      <c r="A158" s="729"/>
      <c r="B158" s="730"/>
      <c r="C158" s="730"/>
      <c r="D158" s="731"/>
      <c r="E158" s="740">
        <f t="shared" si="2"/>
        <v>0</v>
      </c>
    </row>
    <row r="159" spans="1:5" ht="27.75" hidden="1" customHeight="1">
      <c r="A159" s="729"/>
      <c r="B159" s="730"/>
      <c r="C159" s="730"/>
      <c r="D159" s="731"/>
      <c r="E159" s="740">
        <f t="shared" si="2"/>
        <v>0</v>
      </c>
    </row>
    <row r="160" spans="1:5" ht="27.75" hidden="1" customHeight="1">
      <c r="A160" s="729"/>
      <c r="B160" s="730"/>
      <c r="C160" s="730"/>
      <c r="D160" s="731"/>
      <c r="E160" s="740">
        <f t="shared" si="2"/>
        <v>0</v>
      </c>
    </row>
    <row r="161" spans="1:5" ht="27.75" hidden="1" customHeight="1">
      <c r="A161" s="729"/>
      <c r="B161" s="730"/>
      <c r="C161" s="730"/>
      <c r="D161" s="731"/>
      <c r="E161" s="740">
        <f t="shared" si="2"/>
        <v>0</v>
      </c>
    </row>
    <row r="162" spans="1:5" ht="27.75" hidden="1" customHeight="1">
      <c r="A162" s="729"/>
      <c r="B162" s="730"/>
      <c r="C162" s="730"/>
      <c r="D162" s="731"/>
      <c r="E162" s="740">
        <f t="shared" si="2"/>
        <v>0</v>
      </c>
    </row>
    <row r="163" spans="1:5" ht="27.75" hidden="1" customHeight="1">
      <c r="A163" s="729"/>
      <c r="B163" s="730"/>
      <c r="C163" s="730"/>
      <c r="D163" s="731"/>
      <c r="E163" s="740">
        <f t="shared" si="2"/>
        <v>0</v>
      </c>
    </row>
    <row r="164" spans="1:5" ht="27.75" hidden="1" customHeight="1">
      <c r="A164" s="729"/>
      <c r="B164" s="730"/>
      <c r="C164" s="730"/>
      <c r="D164" s="731"/>
      <c r="E164" s="740">
        <f t="shared" si="2"/>
        <v>0</v>
      </c>
    </row>
    <row r="165" spans="1:5" ht="27.75" hidden="1" customHeight="1">
      <c r="A165" s="729"/>
      <c r="B165" s="730"/>
      <c r="C165" s="730"/>
      <c r="D165" s="731"/>
      <c r="E165" s="740">
        <f t="shared" si="2"/>
        <v>0</v>
      </c>
    </row>
    <row r="166" spans="1:5" ht="27.75" hidden="1" customHeight="1">
      <c r="A166" s="729"/>
      <c r="B166" s="730"/>
      <c r="C166" s="730"/>
      <c r="D166" s="731"/>
      <c r="E166" s="740">
        <f t="shared" si="2"/>
        <v>0</v>
      </c>
    </row>
    <row r="167" spans="1:5" ht="27.75" hidden="1" customHeight="1">
      <c r="A167" s="729"/>
      <c r="B167" s="730"/>
      <c r="C167" s="730"/>
      <c r="D167" s="731"/>
      <c r="E167" s="740">
        <f t="shared" si="2"/>
        <v>0</v>
      </c>
    </row>
    <row r="168" spans="1:5" ht="27.75" hidden="1" customHeight="1">
      <c r="A168" s="729"/>
      <c r="B168" s="730"/>
      <c r="C168" s="730"/>
      <c r="D168" s="731"/>
      <c r="E168" s="740">
        <f t="shared" si="2"/>
        <v>0</v>
      </c>
    </row>
    <row r="169" spans="1:5" ht="27.75" hidden="1" customHeight="1">
      <c r="A169" s="729"/>
      <c r="B169" s="730"/>
      <c r="C169" s="730"/>
      <c r="D169" s="731"/>
      <c r="E169" s="740">
        <f t="shared" si="2"/>
        <v>0</v>
      </c>
    </row>
    <row r="170" spans="1:5" ht="27.75" hidden="1" customHeight="1">
      <c r="A170" s="729"/>
      <c r="B170" s="730"/>
      <c r="C170" s="730"/>
      <c r="D170" s="731"/>
      <c r="E170" s="740">
        <f t="shared" si="2"/>
        <v>0</v>
      </c>
    </row>
    <row r="171" spans="1:5" ht="27.75" hidden="1" customHeight="1">
      <c r="A171" s="729"/>
      <c r="B171" s="730"/>
      <c r="C171" s="730"/>
      <c r="D171" s="731"/>
      <c r="E171" s="740">
        <f t="shared" si="2"/>
        <v>0</v>
      </c>
    </row>
    <row r="172" spans="1:5" ht="27.75" hidden="1" customHeight="1">
      <c r="A172" s="729"/>
      <c r="B172" s="730"/>
      <c r="C172" s="730"/>
      <c r="D172" s="731"/>
      <c r="E172" s="740">
        <f t="shared" si="2"/>
        <v>0</v>
      </c>
    </row>
    <row r="173" spans="1:5" ht="27.75" hidden="1" customHeight="1">
      <c r="A173" s="729"/>
      <c r="B173" s="730"/>
      <c r="C173" s="730"/>
      <c r="D173" s="731"/>
      <c r="E173" s="740">
        <f t="shared" si="2"/>
        <v>0</v>
      </c>
    </row>
    <row r="174" spans="1:5" ht="27.75" hidden="1" customHeight="1">
      <c r="A174" s="729"/>
      <c r="B174" s="730"/>
      <c r="C174" s="730"/>
      <c r="D174" s="731"/>
      <c r="E174" s="740">
        <f t="shared" si="2"/>
        <v>0</v>
      </c>
    </row>
    <row r="175" spans="1:5" ht="27.75" hidden="1" customHeight="1">
      <c r="A175" s="729"/>
      <c r="B175" s="730"/>
      <c r="C175" s="730"/>
      <c r="D175" s="731"/>
      <c r="E175" s="740">
        <f t="shared" si="2"/>
        <v>0</v>
      </c>
    </row>
    <row r="176" spans="1:5" ht="27.75" hidden="1" customHeight="1">
      <c r="A176" s="729"/>
      <c r="B176" s="730"/>
      <c r="C176" s="730"/>
      <c r="D176" s="731"/>
      <c r="E176" s="740">
        <f t="shared" si="2"/>
        <v>0</v>
      </c>
    </row>
    <row r="177" spans="1:6" ht="27.75" hidden="1" customHeight="1">
      <c r="A177" s="729"/>
      <c r="B177" s="730"/>
      <c r="C177" s="730"/>
      <c r="D177" s="731"/>
      <c r="E177" s="740">
        <f t="shared" si="2"/>
        <v>0</v>
      </c>
    </row>
    <row r="178" spans="1:6" ht="27.75" hidden="1" customHeight="1">
      <c r="A178" s="729"/>
      <c r="B178" s="730"/>
      <c r="C178" s="730"/>
      <c r="D178" s="731"/>
      <c r="E178" s="740">
        <f t="shared" si="2"/>
        <v>0</v>
      </c>
    </row>
    <row r="179" spans="1:6" ht="27.75" hidden="1" customHeight="1">
      <c r="A179" s="729"/>
      <c r="B179" s="730"/>
      <c r="C179" s="730"/>
      <c r="D179" s="731"/>
      <c r="E179" s="740">
        <f t="shared" si="2"/>
        <v>0</v>
      </c>
    </row>
    <row r="180" spans="1:6" ht="27.75" hidden="1" customHeight="1">
      <c r="A180" s="729"/>
      <c r="B180" s="730"/>
      <c r="C180" s="730"/>
      <c r="D180" s="731"/>
      <c r="E180" s="740">
        <f t="shared" si="2"/>
        <v>0</v>
      </c>
    </row>
    <row r="181" spans="1:6" ht="27.75" hidden="1" customHeight="1">
      <c r="A181" s="729"/>
      <c r="B181" s="730"/>
      <c r="C181" s="730"/>
      <c r="D181" s="731"/>
      <c r="E181" s="740">
        <f t="shared" si="2"/>
        <v>0</v>
      </c>
    </row>
    <row r="182" spans="1:6" ht="27.75" hidden="1" customHeight="1">
      <c r="A182" s="729"/>
      <c r="B182" s="730"/>
      <c r="C182" s="730"/>
      <c r="D182" s="731"/>
      <c r="E182" s="740">
        <f t="shared" si="2"/>
        <v>0</v>
      </c>
    </row>
    <row r="183" spans="1:6" ht="27.75" hidden="1" customHeight="1">
      <c r="A183" s="729"/>
      <c r="B183" s="730"/>
      <c r="C183" s="730"/>
      <c r="D183" s="731"/>
      <c r="E183" s="740">
        <f t="shared" si="2"/>
        <v>0</v>
      </c>
    </row>
    <row r="184" spans="1:6" ht="27.75" hidden="1" customHeight="1">
      <c r="A184" s="729"/>
      <c r="B184" s="730"/>
      <c r="C184" s="730"/>
      <c r="D184" s="731"/>
      <c r="E184" s="740">
        <f t="shared" ref="E184" si="3">C184*D184</f>
        <v>0</v>
      </c>
    </row>
    <row r="185" spans="1:6" ht="27.75" hidden="1" customHeight="1" thickBot="1">
      <c r="A185" s="732"/>
      <c r="B185" s="733"/>
      <c r="C185" s="733"/>
      <c r="D185" s="734"/>
      <c r="E185" s="735">
        <f t="shared" ref="E185" si="4">C185*D185</f>
        <v>0</v>
      </c>
    </row>
    <row r="186" spans="1:6" ht="18" customHeight="1">
      <c r="A186" s="1177" t="s">
        <v>463</v>
      </c>
      <c r="B186" s="1178"/>
      <c r="C186" s="1178"/>
      <c r="D186" s="1178"/>
      <c r="E186" s="736">
        <f>SUM(E13:E185)</f>
        <v>78324400.400000006</v>
      </c>
    </row>
    <row r="187" spans="1:6" ht="18" customHeight="1">
      <c r="A187" s="1173" t="s">
        <v>412</v>
      </c>
      <c r="B187" s="1174"/>
      <c r="C187" s="1175"/>
      <c r="D187" s="737">
        <v>0.19</v>
      </c>
      <c r="E187" s="738">
        <f>E186*19%</f>
        <v>14881636.076000001</v>
      </c>
      <c r="F187" s="411" t="s">
        <v>413</v>
      </c>
    </row>
    <row r="188" spans="1:6" ht="18" customHeight="1" thickBot="1">
      <c r="A188" s="1171" t="s">
        <v>464</v>
      </c>
      <c r="B188" s="1172"/>
      <c r="C188" s="1172"/>
      <c r="D188" s="1172"/>
      <c r="E188" s="739">
        <f>E186+E187</f>
        <v>93206036.476000011</v>
      </c>
    </row>
    <row r="189" spans="1:6" ht="18" customHeight="1">
      <c r="A189" s="1176"/>
      <c r="B189" s="1176"/>
      <c r="C189" s="1176"/>
      <c r="D189" s="1176"/>
      <c r="E189" s="1176"/>
    </row>
  </sheetData>
  <sheetProtection algorithmName="SHA-512" hashValue="OzUPXLdO6I2V7Vcsar65vxx6Oh8R27CxUouBgOFyrMWEizAJDXVdeYrYS9VPAH03a7XMKUc2pccrzzBMln0Eug==" saltValue="quyNi8TJirmiK5BdYxbIkQ==" spinCount="100000" sheet="1" objects="1" scenarios="1" formatCells="0" formatColumns="0" formatRows="0" insertColumns="0" insertRows="0" insertHyperlinks="0" deleteColumns="0" deleteRows="0" sort="0" autoFilter="0" pivotTables="0"/>
  <mergeCells count="14">
    <mergeCell ref="A188:D188"/>
    <mergeCell ref="A187:C187"/>
    <mergeCell ref="A189:E189"/>
    <mergeCell ref="A186:D186"/>
    <mergeCell ref="B8:E8"/>
    <mergeCell ref="B9:E9"/>
    <mergeCell ref="B10:E10"/>
    <mergeCell ref="A7:E7"/>
    <mergeCell ref="B1:E1"/>
    <mergeCell ref="B2:E2"/>
    <mergeCell ref="B3:C3"/>
    <mergeCell ref="D3:E3"/>
    <mergeCell ref="B5:E5"/>
    <mergeCell ref="B6:E6"/>
  </mergeCells>
  <hyperlinks>
    <hyperlink ref="F1" location="ins" display="Instructivo" xr:uid="{00000000-0004-0000-0600-000000000000}"/>
    <hyperlink ref="F187" location="IVA" display="Info IVA" xr:uid="{00000000-0004-0000-0600-000001000000}"/>
  </hyperlinks>
  <printOptions horizontalCentered="1"/>
  <pageMargins left="0" right="0" top="0" bottom="0" header="0" footer="0"/>
  <pageSetup fitToHeight="0" orientation="landscape" horizontalDpi="4294967295" verticalDpi="4294967295"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tabColor theme="5" tint="0.39997558519241921"/>
    <pageSetUpPr fitToPage="1"/>
  </sheetPr>
  <dimension ref="A1:N245"/>
  <sheetViews>
    <sheetView showGridLines="0" zoomScale="90" zoomScaleNormal="90" workbookViewId="0">
      <selection activeCell="F16" sqref="F16"/>
    </sheetView>
  </sheetViews>
  <sheetFormatPr defaultColWidth="11.5" defaultRowHeight="18" customHeight="1"/>
  <cols>
    <col min="1" max="1" width="28" style="196" customWidth="1"/>
    <col min="2" max="2" width="11.83203125" style="196" customWidth="1"/>
    <col min="3" max="3" width="12.83203125" style="196" customWidth="1"/>
    <col min="4" max="4" width="14.83203125" style="196" customWidth="1"/>
    <col min="5" max="5" width="21.1640625" style="196" customWidth="1"/>
    <col min="6" max="6" width="18.33203125" style="197" customWidth="1"/>
    <col min="7" max="7" width="14.83203125" style="196" customWidth="1"/>
    <col min="8" max="8" width="22" style="198" customWidth="1"/>
    <col min="9" max="9" width="18.83203125" style="167" customWidth="1"/>
    <col min="10" max="12" width="18.83203125" style="172" customWidth="1"/>
    <col min="13" max="13" width="14.6640625" style="74" customWidth="1"/>
    <col min="14" max="16384" width="11.5" style="74"/>
  </cols>
  <sheetData>
    <row r="1" spans="1:14" ht="18" customHeight="1">
      <c r="A1" s="1188"/>
      <c r="B1" s="1189"/>
      <c r="C1" s="1189"/>
      <c r="D1" s="1078" t="s">
        <v>0</v>
      </c>
      <c r="E1" s="1078"/>
      <c r="F1" s="1078"/>
      <c r="G1" s="1078"/>
      <c r="H1" s="1078"/>
      <c r="I1" s="1078"/>
      <c r="J1" s="1078"/>
      <c r="K1" s="1078"/>
      <c r="L1" s="1079"/>
      <c r="M1" s="366" t="s">
        <v>104</v>
      </c>
      <c r="N1" s="65"/>
    </row>
    <row r="2" spans="1:14" ht="18" customHeight="1">
      <c r="A2" s="1190"/>
      <c r="B2" s="1191"/>
      <c r="C2" s="1191"/>
      <c r="D2" s="1080" t="s">
        <v>465</v>
      </c>
      <c r="E2" s="1080"/>
      <c r="F2" s="1080"/>
      <c r="G2" s="1080"/>
      <c r="H2" s="1080"/>
      <c r="I2" s="1080"/>
      <c r="J2" s="1080"/>
      <c r="K2" s="1080"/>
      <c r="L2" s="1081"/>
    </row>
    <row r="3" spans="1:14" ht="18" customHeight="1" thickBot="1">
      <c r="A3" s="1192"/>
      <c r="B3" s="1193"/>
      <c r="C3" s="1193"/>
      <c r="D3" s="1082" t="s">
        <v>2</v>
      </c>
      <c r="E3" s="1082"/>
      <c r="F3" s="1082"/>
      <c r="G3" s="1082"/>
      <c r="H3" s="1082" t="s">
        <v>3</v>
      </c>
      <c r="I3" s="1082"/>
      <c r="J3" s="1082"/>
      <c r="K3" s="1082"/>
      <c r="L3" s="1123"/>
    </row>
    <row r="4" spans="1:14" ht="18" customHeight="1" thickBot="1">
      <c r="A4" s="257"/>
      <c r="B4" s="257"/>
      <c r="C4" s="257"/>
      <c r="D4" s="70"/>
      <c r="E4" s="70"/>
      <c r="F4" s="70"/>
      <c r="G4" s="70"/>
      <c r="H4" s="70"/>
      <c r="I4" s="70"/>
      <c r="J4" s="70"/>
      <c r="K4" s="70"/>
      <c r="L4" s="70"/>
    </row>
    <row r="5" spans="1:14" ht="18" customHeight="1" thickBot="1">
      <c r="A5" s="989" t="s">
        <v>107</v>
      </c>
      <c r="B5" s="990"/>
      <c r="C5" s="990"/>
      <c r="D5" s="990"/>
      <c r="E5" s="1194"/>
      <c r="F5" s="1090" t="str">
        <f>'Plan Ejecución'!AE5</f>
        <v>CONTRATACIÓN DIRECTA</v>
      </c>
      <c r="G5" s="1091"/>
      <c r="H5" s="1091"/>
      <c r="I5" s="1091"/>
      <c r="J5" s="1091"/>
      <c r="K5" s="1091"/>
      <c r="L5" s="1092"/>
    </row>
    <row r="6" spans="1:14" ht="37.5" customHeight="1" thickBot="1">
      <c r="A6" s="989" t="s">
        <v>109</v>
      </c>
      <c r="B6" s="990"/>
      <c r="C6" s="990"/>
      <c r="D6" s="990"/>
      <c r="E6" s="1194"/>
      <c r="F6" s="1168" t="str">
        <f>'Plan Ejecución'!AE6</f>
        <v xml:space="preserve"> "“SOPORTE, MANTENIMIENTO Y ACTUALIZACIÓN DEL VISOR GEOGRÁFICO – AÑO 2025"</v>
      </c>
      <c r="G6" s="1169"/>
      <c r="H6" s="1169"/>
      <c r="I6" s="1169"/>
      <c r="J6" s="1169"/>
      <c r="K6" s="1169"/>
      <c r="L6" s="1170"/>
    </row>
    <row r="7" spans="1:14" s="70" customFormat="1" ht="18" customHeight="1" thickBot="1">
      <c r="A7" s="64"/>
      <c r="B7" s="64"/>
      <c r="C7" s="64"/>
      <c r="D7" s="64"/>
      <c r="E7" s="64"/>
      <c r="F7" s="74"/>
      <c r="G7" s="74"/>
      <c r="H7" s="74"/>
      <c r="I7" s="167"/>
      <c r="J7" s="167"/>
      <c r="K7" s="167"/>
      <c r="L7" s="167"/>
    </row>
    <row r="8" spans="1:14" s="70" customFormat="1" ht="18" customHeight="1" thickBot="1">
      <c r="A8" s="990" t="s">
        <v>456</v>
      </c>
      <c r="B8" s="990"/>
      <c r="C8" s="990"/>
      <c r="D8" s="990"/>
      <c r="E8" s="990"/>
      <c r="F8" s="991"/>
      <c r="G8" s="992"/>
      <c r="H8" s="992"/>
      <c r="I8" s="992"/>
      <c r="J8" s="992"/>
      <c r="K8" s="992"/>
      <c r="L8" s="993"/>
    </row>
    <row r="9" spans="1:14" s="70" customFormat="1" ht="18" customHeight="1" thickBot="1">
      <c r="A9" s="990" t="s">
        <v>457</v>
      </c>
      <c r="B9" s="990"/>
      <c r="C9" s="990"/>
      <c r="D9" s="990"/>
      <c r="E9" s="990"/>
      <c r="F9" s="991"/>
      <c r="G9" s="992"/>
      <c r="H9" s="992"/>
      <c r="I9" s="992"/>
      <c r="J9" s="992"/>
      <c r="K9" s="992"/>
      <c r="L9" s="993"/>
    </row>
    <row r="10" spans="1:14" ht="45" customHeight="1" thickBot="1">
      <c r="A10" s="990" t="s">
        <v>459</v>
      </c>
      <c r="B10" s="990"/>
      <c r="C10" s="990"/>
      <c r="D10" s="990"/>
      <c r="E10" s="990"/>
      <c r="F10" s="991"/>
      <c r="G10" s="992"/>
      <c r="H10" s="992"/>
      <c r="I10" s="992"/>
      <c r="J10" s="992"/>
      <c r="K10" s="992"/>
      <c r="L10" s="993"/>
    </row>
    <row r="11" spans="1:14" ht="18" customHeight="1">
      <c r="A11" s="168"/>
      <c r="B11" s="169"/>
      <c r="C11" s="169"/>
      <c r="D11" s="169"/>
      <c r="E11" s="169"/>
      <c r="F11" s="169"/>
      <c r="G11" s="170"/>
      <c r="H11" s="171"/>
    </row>
    <row r="12" spans="1:14" ht="18" customHeight="1">
      <c r="A12" s="1186" t="s">
        <v>466</v>
      </c>
      <c r="B12" s="1186"/>
      <c r="C12" s="1186"/>
      <c r="D12" s="1186"/>
      <c r="E12" s="1186"/>
      <c r="F12" s="1186"/>
      <c r="G12" s="1186"/>
      <c r="H12" s="1186"/>
      <c r="I12" s="1187" t="s">
        <v>433</v>
      </c>
      <c r="J12" s="1187"/>
      <c r="K12" s="1187"/>
      <c r="L12" s="1187"/>
    </row>
    <row r="13" spans="1:14" ht="18" customHeight="1">
      <c r="A13" s="1186"/>
      <c r="B13" s="1186"/>
      <c r="C13" s="1186"/>
      <c r="D13" s="1186"/>
      <c r="E13" s="1186"/>
      <c r="F13" s="1186"/>
      <c r="G13" s="1186"/>
      <c r="H13" s="1186"/>
      <c r="I13" s="1187" t="s">
        <v>435</v>
      </c>
      <c r="J13" s="1187"/>
      <c r="K13" s="1187" t="s">
        <v>436</v>
      </c>
      <c r="L13" s="1187"/>
    </row>
    <row r="14" spans="1:14" ht="31.5" customHeight="1">
      <c r="A14" s="109" t="s">
        <v>391</v>
      </c>
      <c r="B14" s="109" t="s">
        <v>392</v>
      </c>
      <c r="C14" s="109" t="s">
        <v>393</v>
      </c>
      <c r="D14" s="109" t="s">
        <v>122</v>
      </c>
      <c r="E14" s="109" t="s">
        <v>394</v>
      </c>
      <c r="F14" s="173" t="s">
        <v>395</v>
      </c>
      <c r="G14" s="109" t="s">
        <v>396</v>
      </c>
      <c r="H14" s="174" t="s">
        <v>461</v>
      </c>
      <c r="I14" s="175" t="s">
        <v>437</v>
      </c>
      <c r="J14" s="175" t="s">
        <v>438</v>
      </c>
      <c r="K14" s="175" t="s">
        <v>437</v>
      </c>
      <c r="L14" s="175" t="s">
        <v>438</v>
      </c>
    </row>
    <row r="15" spans="1:14" ht="18" customHeight="1">
      <c r="A15" s="1197" t="s">
        <v>389</v>
      </c>
      <c r="B15" s="1198"/>
      <c r="C15" s="1198"/>
      <c r="D15" s="1198"/>
      <c r="E15" s="1198"/>
      <c r="F15" s="1198"/>
      <c r="G15" s="1198"/>
      <c r="H15" s="1198"/>
      <c r="I15" s="1198"/>
      <c r="J15" s="1198"/>
      <c r="K15" s="1198"/>
      <c r="L15" s="1199"/>
    </row>
    <row r="16" spans="1:14" ht="18" customHeight="1">
      <c r="A16" s="182"/>
      <c r="B16" s="182"/>
      <c r="C16" s="178"/>
      <c r="D16" s="182"/>
      <c r="E16" s="182"/>
      <c r="F16" s="179"/>
      <c r="G16" s="203"/>
      <c r="H16" s="179">
        <f>B16*C16*E16*F16*G16</f>
        <v>0</v>
      </c>
      <c r="I16" s="176"/>
      <c r="J16" s="98"/>
      <c r="K16" s="98"/>
      <c r="L16" s="98"/>
    </row>
    <row r="17" spans="1:12" ht="18" customHeight="1">
      <c r="A17" s="182"/>
      <c r="B17" s="182"/>
      <c r="C17" s="178"/>
      <c r="D17" s="182"/>
      <c r="E17" s="182"/>
      <c r="F17" s="179"/>
      <c r="G17" s="203"/>
      <c r="H17" s="179">
        <f t="shared" ref="H17:H40" si="0">B17*C17*E17*F17*G17</f>
        <v>0</v>
      </c>
      <c r="I17" s="176"/>
      <c r="J17" s="98"/>
      <c r="K17" s="98"/>
      <c r="L17" s="98"/>
    </row>
    <row r="18" spans="1:12" ht="18" customHeight="1">
      <c r="A18" s="177"/>
      <c r="B18" s="177"/>
      <c r="C18" s="178"/>
      <c r="D18" s="177"/>
      <c r="E18" s="177"/>
      <c r="F18" s="179"/>
      <c r="G18" s="180"/>
      <c r="H18" s="179">
        <f t="shared" si="0"/>
        <v>0</v>
      </c>
      <c r="I18" s="176"/>
      <c r="J18" s="98"/>
      <c r="K18" s="98"/>
      <c r="L18" s="98"/>
    </row>
    <row r="19" spans="1:12" ht="18" hidden="1" customHeight="1">
      <c r="A19" s="177"/>
      <c r="B19" s="177"/>
      <c r="C19" s="178"/>
      <c r="D19" s="177"/>
      <c r="E19" s="177"/>
      <c r="F19" s="179"/>
      <c r="G19" s="180"/>
      <c r="H19" s="179">
        <f t="shared" si="0"/>
        <v>0</v>
      </c>
      <c r="I19" s="98"/>
      <c r="J19" s="98"/>
      <c r="K19" s="98"/>
      <c r="L19" s="98"/>
    </row>
    <row r="20" spans="1:12" ht="18" hidden="1" customHeight="1">
      <c r="A20" s="177"/>
      <c r="B20" s="177"/>
      <c r="C20" s="178"/>
      <c r="D20" s="177"/>
      <c r="E20" s="177"/>
      <c r="F20" s="179"/>
      <c r="G20" s="180"/>
      <c r="H20" s="179">
        <f t="shared" ref="H20:H32" si="1">B20*C20*E20*F20*G20</f>
        <v>0</v>
      </c>
      <c r="I20" s="98"/>
      <c r="J20" s="98"/>
      <c r="K20" s="98"/>
      <c r="L20" s="98"/>
    </row>
    <row r="21" spans="1:12" ht="18" hidden="1" customHeight="1">
      <c r="A21" s="177"/>
      <c r="B21" s="177"/>
      <c r="C21" s="178"/>
      <c r="D21" s="177"/>
      <c r="E21" s="177"/>
      <c r="F21" s="179"/>
      <c r="G21" s="180"/>
      <c r="H21" s="179">
        <f t="shared" si="1"/>
        <v>0</v>
      </c>
      <c r="I21" s="98"/>
      <c r="J21" s="98"/>
      <c r="K21" s="98"/>
      <c r="L21" s="98"/>
    </row>
    <row r="22" spans="1:12" ht="18" hidden="1" customHeight="1">
      <c r="A22" s="177"/>
      <c r="B22" s="177"/>
      <c r="C22" s="178"/>
      <c r="D22" s="177"/>
      <c r="E22" s="177"/>
      <c r="F22" s="179"/>
      <c r="G22" s="180"/>
      <c r="H22" s="179">
        <f t="shared" si="1"/>
        <v>0</v>
      </c>
      <c r="I22" s="98"/>
      <c r="J22" s="98"/>
      <c r="K22" s="98"/>
      <c r="L22" s="98"/>
    </row>
    <row r="23" spans="1:12" ht="18" hidden="1" customHeight="1">
      <c r="A23" s="177"/>
      <c r="B23" s="177"/>
      <c r="C23" s="178"/>
      <c r="D23" s="177"/>
      <c r="E23" s="177"/>
      <c r="F23" s="179"/>
      <c r="G23" s="180"/>
      <c r="H23" s="179">
        <f t="shared" si="1"/>
        <v>0</v>
      </c>
      <c r="I23" s="98"/>
      <c r="J23" s="98"/>
      <c r="K23" s="98"/>
      <c r="L23" s="98"/>
    </row>
    <row r="24" spans="1:12" ht="18" hidden="1" customHeight="1">
      <c r="A24" s="177"/>
      <c r="B24" s="177"/>
      <c r="C24" s="178"/>
      <c r="D24" s="177"/>
      <c r="E24" s="177"/>
      <c r="F24" s="179"/>
      <c r="G24" s="180"/>
      <c r="H24" s="179">
        <f t="shared" si="1"/>
        <v>0</v>
      </c>
      <c r="I24" s="98"/>
      <c r="J24" s="98"/>
      <c r="K24" s="98"/>
      <c r="L24" s="98"/>
    </row>
    <row r="25" spans="1:12" ht="18" hidden="1" customHeight="1">
      <c r="A25" s="177"/>
      <c r="B25" s="177"/>
      <c r="C25" s="178"/>
      <c r="D25" s="177"/>
      <c r="E25" s="177"/>
      <c r="F25" s="179"/>
      <c r="G25" s="180"/>
      <c r="H25" s="179">
        <f t="shared" si="1"/>
        <v>0</v>
      </c>
      <c r="I25" s="98"/>
      <c r="J25" s="98"/>
      <c r="K25" s="98"/>
      <c r="L25" s="98"/>
    </row>
    <row r="26" spans="1:12" ht="18" hidden="1" customHeight="1">
      <c r="A26" s="177"/>
      <c r="B26" s="177"/>
      <c r="C26" s="178"/>
      <c r="D26" s="177"/>
      <c r="E26" s="177"/>
      <c r="F26" s="179"/>
      <c r="G26" s="180"/>
      <c r="H26" s="179">
        <f t="shared" si="1"/>
        <v>0</v>
      </c>
      <c r="I26" s="98"/>
      <c r="J26" s="98"/>
      <c r="K26" s="98"/>
      <c r="L26" s="98"/>
    </row>
    <row r="27" spans="1:12" ht="18" hidden="1" customHeight="1">
      <c r="A27" s="177"/>
      <c r="B27" s="177"/>
      <c r="C27" s="178"/>
      <c r="D27" s="177"/>
      <c r="E27" s="177"/>
      <c r="F27" s="179"/>
      <c r="G27" s="180"/>
      <c r="H27" s="179">
        <f t="shared" si="1"/>
        <v>0</v>
      </c>
      <c r="I27" s="98"/>
      <c r="J27" s="98"/>
      <c r="K27" s="98"/>
      <c r="L27" s="98"/>
    </row>
    <row r="28" spans="1:12" ht="18" hidden="1" customHeight="1">
      <c r="A28" s="177"/>
      <c r="B28" s="177"/>
      <c r="C28" s="178"/>
      <c r="D28" s="177"/>
      <c r="E28" s="177"/>
      <c r="F28" s="179"/>
      <c r="G28" s="180"/>
      <c r="H28" s="179">
        <f t="shared" si="1"/>
        <v>0</v>
      </c>
      <c r="I28" s="98"/>
      <c r="J28" s="98"/>
      <c r="K28" s="98"/>
      <c r="L28" s="98"/>
    </row>
    <row r="29" spans="1:12" ht="18" hidden="1" customHeight="1">
      <c r="A29" s="177"/>
      <c r="B29" s="177"/>
      <c r="C29" s="178"/>
      <c r="D29" s="177"/>
      <c r="E29" s="177"/>
      <c r="F29" s="179"/>
      <c r="G29" s="180"/>
      <c r="H29" s="179">
        <f t="shared" si="1"/>
        <v>0</v>
      </c>
      <c r="I29" s="98"/>
      <c r="J29" s="98"/>
      <c r="K29" s="98"/>
      <c r="L29" s="98"/>
    </row>
    <row r="30" spans="1:12" ht="18" hidden="1" customHeight="1">
      <c r="A30" s="177"/>
      <c r="B30" s="177"/>
      <c r="C30" s="178"/>
      <c r="D30" s="177"/>
      <c r="E30" s="177"/>
      <c r="F30" s="179"/>
      <c r="G30" s="180"/>
      <c r="H30" s="179">
        <f t="shared" si="1"/>
        <v>0</v>
      </c>
      <c r="I30" s="98"/>
      <c r="J30" s="98"/>
      <c r="K30" s="98"/>
      <c r="L30" s="98"/>
    </row>
    <row r="31" spans="1:12" ht="18" hidden="1" customHeight="1">
      <c r="A31" s="177"/>
      <c r="B31" s="177"/>
      <c r="C31" s="178"/>
      <c r="D31" s="177"/>
      <c r="E31" s="177"/>
      <c r="F31" s="179"/>
      <c r="G31" s="180"/>
      <c r="H31" s="179">
        <f t="shared" si="1"/>
        <v>0</v>
      </c>
      <c r="I31" s="98"/>
      <c r="J31" s="98"/>
      <c r="K31" s="98"/>
      <c r="L31" s="98"/>
    </row>
    <row r="32" spans="1:12" ht="18" hidden="1" customHeight="1">
      <c r="A32" s="177"/>
      <c r="B32" s="177"/>
      <c r="C32" s="178"/>
      <c r="D32" s="177"/>
      <c r="E32" s="177"/>
      <c r="F32" s="179"/>
      <c r="G32" s="180"/>
      <c r="H32" s="179">
        <f t="shared" si="1"/>
        <v>0</v>
      </c>
      <c r="I32" s="98"/>
      <c r="J32" s="98"/>
      <c r="K32" s="98"/>
      <c r="L32" s="98"/>
    </row>
    <row r="33" spans="1:12" ht="18" hidden="1" customHeight="1">
      <c r="A33" s="177"/>
      <c r="B33" s="177"/>
      <c r="C33" s="178"/>
      <c r="D33" s="177"/>
      <c r="E33" s="177"/>
      <c r="F33" s="179"/>
      <c r="G33" s="180"/>
      <c r="H33" s="179">
        <f t="shared" si="0"/>
        <v>0</v>
      </c>
      <c r="I33" s="98"/>
      <c r="J33" s="98"/>
      <c r="K33" s="98"/>
      <c r="L33" s="98"/>
    </row>
    <row r="34" spans="1:12" ht="18" hidden="1" customHeight="1">
      <c r="A34" s="177"/>
      <c r="B34" s="177"/>
      <c r="C34" s="178"/>
      <c r="D34" s="177"/>
      <c r="E34" s="177"/>
      <c r="F34" s="179"/>
      <c r="G34" s="180"/>
      <c r="H34" s="179">
        <f t="shared" si="0"/>
        <v>0</v>
      </c>
      <c r="I34" s="98"/>
      <c r="J34" s="98"/>
      <c r="K34" s="98"/>
      <c r="L34" s="98"/>
    </row>
    <row r="35" spans="1:12" ht="18" hidden="1" customHeight="1">
      <c r="A35" s="177"/>
      <c r="B35" s="177"/>
      <c r="C35" s="178"/>
      <c r="D35" s="177"/>
      <c r="E35" s="177"/>
      <c r="F35" s="179"/>
      <c r="G35" s="180"/>
      <c r="H35" s="179">
        <f>B35*C35*E35*F35*G35</f>
        <v>0</v>
      </c>
      <c r="I35" s="98"/>
      <c r="J35" s="98"/>
      <c r="K35" s="98"/>
      <c r="L35" s="98"/>
    </row>
    <row r="36" spans="1:12" ht="18" hidden="1" customHeight="1">
      <c r="A36" s="177"/>
      <c r="B36" s="177"/>
      <c r="C36" s="178"/>
      <c r="D36" s="177"/>
      <c r="E36" s="177"/>
      <c r="F36" s="179"/>
      <c r="G36" s="180"/>
      <c r="H36" s="179">
        <f t="shared" si="0"/>
        <v>0</v>
      </c>
      <c r="I36" s="98"/>
      <c r="J36" s="98"/>
      <c r="K36" s="98"/>
      <c r="L36" s="98"/>
    </row>
    <row r="37" spans="1:12" ht="18" hidden="1" customHeight="1">
      <c r="A37" s="177"/>
      <c r="B37" s="177"/>
      <c r="C37" s="178"/>
      <c r="D37" s="177"/>
      <c r="E37" s="177"/>
      <c r="F37" s="179"/>
      <c r="G37" s="180"/>
      <c r="H37" s="179">
        <f t="shared" si="0"/>
        <v>0</v>
      </c>
      <c r="I37" s="98"/>
      <c r="J37" s="98"/>
      <c r="K37" s="98"/>
      <c r="L37" s="98"/>
    </row>
    <row r="38" spans="1:12" ht="18" hidden="1" customHeight="1">
      <c r="A38" s="177"/>
      <c r="B38" s="177"/>
      <c r="C38" s="178"/>
      <c r="D38" s="177"/>
      <c r="E38" s="177"/>
      <c r="F38" s="179"/>
      <c r="G38" s="180"/>
      <c r="H38" s="179">
        <f t="shared" si="0"/>
        <v>0</v>
      </c>
      <c r="I38" s="98"/>
      <c r="J38" s="98"/>
      <c r="K38" s="98"/>
      <c r="L38" s="98"/>
    </row>
    <row r="39" spans="1:12" ht="18" hidden="1" customHeight="1">
      <c r="A39" s="177"/>
      <c r="B39" s="177"/>
      <c r="C39" s="178"/>
      <c r="D39" s="177"/>
      <c r="E39" s="177"/>
      <c r="F39" s="179"/>
      <c r="G39" s="177"/>
      <c r="H39" s="179">
        <f t="shared" si="0"/>
        <v>0</v>
      </c>
      <c r="I39" s="176"/>
      <c r="J39" s="98"/>
      <c r="K39" s="98"/>
      <c r="L39" s="98"/>
    </row>
    <row r="40" spans="1:12" ht="18" hidden="1" customHeight="1">
      <c r="A40" s="177"/>
      <c r="B40" s="177"/>
      <c r="C40" s="178"/>
      <c r="D40" s="177"/>
      <c r="E40" s="177"/>
      <c r="F40" s="179"/>
      <c r="G40" s="177"/>
      <c r="H40" s="179">
        <f t="shared" si="0"/>
        <v>0</v>
      </c>
      <c r="I40" s="176"/>
      <c r="J40" s="98"/>
      <c r="K40" s="98"/>
      <c r="L40" s="98"/>
    </row>
    <row r="41" spans="1:12" ht="18" customHeight="1">
      <c r="A41" s="1184" t="s">
        <v>467</v>
      </c>
      <c r="B41" s="1184"/>
      <c r="C41" s="1184"/>
      <c r="D41" s="1184"/>
      <c r="E41" s="1184"/>
      <c r="F41" s="1184"/>
      <c r="G41" s="1184"/>
      <c r="H41" s="181">
        <f>SUM(H16:H40)</f>
        <v>0</v>
      </c>
      <c r="I41" s="181">
        <f>SUM(I16:I40)</f>
        <v>0</v>
      </c>
      <c r="J41" s="181">
        <f t="shared" ref="J41:L41" si="2">SUM(J16:J40)</f>
        <v>0</v>
      </c>
      <c r="K41" s="181">
        <f>SUM(K16:K40)</f>
        <v>0</v>
      </c>
      <c r="L41" s="181">
        <f t="shared" si="2"/>
        <v>0</v>
      </c>
    </row>
    <row r="42" spans="1:12" ht="27" customHeight="1">
      <c r="A42" s="1068" t="s">
        <v>391</v>
      </c>
      <c r="B42" s="1068"/>
      <c r="C42" s="1068"/>
      <c r="D42" s="117" t="s">
        <v>122</v>
      </c>
      <c r="E42" s="117" t="s">
        <v>394</v>
      </c>
      <c r="F42" s="1068" t="s">
        <v>405</v>
      </c>
      <c r="G42" s="1068"/>
      <c r="H42" s="174" t="s">
        <v>468</v>
      </c>
      <c r="I42" s="175" t="s">
        <v>437</v>
      </c>
      <c r="J42" s="175" t="s">
        <v>438</v>
      </c>
      <c r="K42" s="175" t="s">
        <v>437</v>
      </c>
      <c r="L42" s="175" t="s">
        <v>438</v>
      </c>
    </row>
    <row r="43" spans="1:12" ht="18" customHeight="1">
      <c r="A43" s="1197" t="s">
        <v>469</v>
      </c>
      <c r="B43" s="1198"/>
      <c r="C43" s="1198"/>
      <c r="D43" s="1198"/>
      <c r="E43" s="1198"/>
      <c r="F43" s="1198"/>
      <c r="G43" s="1198"/>
      <c r="H43" s="1198"/>
      <c r="I43" s="1198"/>
      <c r="J43" s="1198"/>
      <c r="K43" s="1198"/>
      <c r="L43" s="1199"/>
    </row>
    <row r="44" spans="1:12" ht="18" customHeight="1">
      <c r="A44" s="1182"/>
      <c r="B44" s="1182"/>
      <c r="C44" s="1182"/>
      <c r="D44" s="182"/>
      <c r="E44" s="182"/>
      <c r="F44" s="1183"/>
      <c r="G44" s="1183"/>
      <c r="H44" s="183">
        <f>E44*F44</f>
        <v>0</v>
      </c>
      <c r="I44" s="176"/>
      <c r="J44" s="98"/>
      <c r="K44" s="98"/>
      <c r="L44" s="98"/>
    </row>
    <row r="45" spans="1:12" ht="18" customHeight="1">
      <c r="A45" s="1182"/>
      <c r="B45" s="1182"/>
      <c r="C45" s="1182"/>
      <c r="D45" s="182"/>
      <c r="E45" s="182"/>
      <c r="F45" s="1183"/>
      <c r="G45" s="1183"/>
      <c r="H45" s="183">
        <f t="shared" ref="H45:H116" si="3">E45*F45</f>
        <v>0</v>
      </c>
      <c r="I45" s="176"/>
      <c r="J45" s="98"/>
      <c r="K45" s="98"/>
      <c r="L45" s="98"/>
    </row>
    <row r="46" spans="1:12" ht="18" customHeight="1">
      <c r="A46" s="1182"/>
      <c r="B46" s="1182"/>
      <c r="C46" s="1182"/>
      <c r="D46" s="182"/>
      <c r="E46" s="182"/>
      <c r="F46" s="1183"/>
      <c r="G46" s="1183"/>
      <c r="H46" s="183">
        <f t="shared" ref="H46:H105" si="4">E46*F46</f>
        <v>0</v>
      </c>
      <c r="I46" s="176"/>
      <c r="J46" s="98"/>
      <c r="K46" s="98"/>
      <c r="L46" s="98"/>
    </row>
    <row r="47" spans="1:12" ht="18" hidden="1" customHeight="1">
      <c r="A47" s="1182"/>
      <c r="B47" s="1182"/>
      <c r="C47" s="1182"/>
      <c r="D47" s="182"/>
      <c r="E47" s="182"/>
      <c r="F47" s="1183"/>
      <c r="G47" s="1183"/>
      <c r="H47" s="183">
        <f t="shared" si="4"/>
        <v>0</v>
      </c>
      <c r="I47" s="176"/>
      <c r="J47" s="98"/>
      <c r="K47" s="98"/>
      <c r="L47" s="98"/>
    </row>
    <row r="48" spans="1:12" ht="18" hidden="1" customHeight="1">
      <c r="A48" s="1182"/>
      <c r="B48" s="1182"/>
      <c r="C48" s="1182"/>
      <c r="D48" s="182"/>
      <c r="E48" s="182"/>
      <c r="F48" s="1183"/>
      <c r="G48" s="1183"/>
      <c r="H48" s="183">
        <f t="shared" si="4"/>
        <v>0</v>
      </c>
      <c r="I48" s="176"/>
      <c r="J48" s="98"/>
      <c r="K48" s="98"/>
      <c r="L48" s="98"/>
    </row>
    <row r="49" spans="1:12" ht="18" hidden="1" customHeight="1">
      <c r="A49" s="1182"/>
      <c r="B49" s="1182"/>
      <c r="C49" s="1182"/>
      <c r="D49" s="182"/>
      <c r="E49" s="182"/>
      <c r="F49" s="1183"/>
      <c r="G49" s="1183"/>
      <c r="H49" s="183">
        <f t="shared" si="4"/>
        <v>0</v>
      </c>
      <c r="I49" s="176"/>
      <c r="J49" s="98"/>
      <c r="K49" s="98"/>
      <c r="L49" s="98"/>
    </row>
    <row r="50" spans="1:12" ht="18" hidden="1" customHeight="1">
      <c r="A50" s="1182"/>
      <c r="B50" s="1182"/>
      <c r="C50" s="1182"/>
      <c r="D50" s="182"/>
      <c r="E50" s="182"/>
      <c r="F50" s="1183"/>
      <c r="G50" s="1183"/>
      <c r="H50" s="183">
        <f t="shared" si="4"/>
        <v>0</v>
      </c>
      <c r="I50" s="176"/>
      <c r="J50" s="98"/>
      <c r="K50" s="98"/>
      <c r="L50" s="98"/>
    </row>
    <row r="51" spans="1:12" ht="18" hidden="1" customHeight="1">
      <c r="A51" s="1182"/>
      <c r="B51" s="1182"/>
      <c r="C51" s="1182"/>
      <c r="D51" s="182"/>
      <c r="E51" s="182"/>
      <c r="F51" s="1183"/>
      <c r="G51" s="1183"/>
      <c r="H51" s="183">
        <f t="shared" si="4"/>
        <v>0</v>
      </c>
      <c r="I51" s="176"/>
      <c r="J51" s="98"/>
      <c r="K51" s="98"/>
      <c r="L51" s="98"/>
    </row>
    <row r="52" spans="1:12" ht="18" hidden="1" customHeight="1">
      <c r="A52" s="1182"/>
      <c r="B52" s="1182"/>
      <c r="C52" s="1182"/>
      <c r="D52" s="182"/>
      <c r="E52" s="182"/>
      <c r="F52" s="1183"/>
      <c r="G52" s="1183"/>
      <c r="H52" s="183">
        <f t="shared" si="4"/>
        <v>0</v>
      </c>
      <c r="I52" s="176"/>
      <c r="J52" s="98"/>
      <c r="K52" s="98"/>
      <c r="L52" s="98"/>
    </row>
    <row r="53" spans="1:12" ht="18" hidden="1" customHeight="1">
      <c r="A53" s="1182"/>
      <c r="B53" s="1182"/>
      <c r="C53" s="1182"/>
      <c r="D53" s="182"/>
      <c r="E53" s="182"/>
      <c r="F53" s="1183"/>
      <c r="G53" s="1183"/>
      <c r="H53" s="183">
        <f t="shared" si="4"/>
        <v>0</v>
      </c>
      <c r="I53" s="176"/>
      <c r="J53" s="98"/>
      <c r="K53" s="98"/>
      <c r="L53" s="98"/>
    </row>
    <row r="54" spans="1:12" ht="18" hidden="1" customHeight="1">
      <c r="A54" s="1182"/>
      <c r="B54" s="1182"/>
      <c r="C54" s="1182"/>
      <c r="D54" s="182"/>
      <c r="E54" s="182"/>
      <c r="F54" s="1183"/>
      <c r="G54" s="1183"/>
      <c r="H54" s="183">
        <f t="shared" si="4"/>
        <v>0</v>
      </c>
      <c r="I54" s="176"/>
      <c r="J54" s="98"/>
      <c r="K54" s="98"/>
      <c r="L54" s="98"/>
    </row>
    <row r="55" spans="1:12" ht="18" hidden="1" customHeight="1">
      <c r="A55" s="1182"/>
      <c r="B55" s="1182"/>
      <c r="C55" s="1182"/>
      <c r="D55" s="182"/>
      <c r="E55" s="182"/>
      <c r="F55" s="1183"/>
      <c r="G55" s="1183"/>
      <c r="H55" s="183">
        <f t="shared" si="4"/>
        <v>0</v>
      </c>
      <c r="I55" s="176"/>
      <c r="J55" s="98"/>
      <c r="K55" s="98"/>
      <c r="L55" s="98"/>
    </row>
    <row r="56" spans="1:12" ht="18" hidden="1" customHeight="1">
      <c r="A56" s="1182"/>
      <c r="B56" s="1182"/>
      <c r="C56" s="1182"/>
      <c r="D56" s="182"/>
      <c r="E56" s="182"/>
      <c r="F56" s="1183"/>
      <c r="G56" s="1183"/>
      <c r="H56" s="183">
        <f t="shared" si="4"/>
        <v>0</v>
      </c>
      <c r="I56" s="176"/>
      <c r="J56" s="98"/>
      <c r="K56" s="98"/>
      <c r="L56" s="98"/>
    </row>
    <row r="57" spans="1:12" ht="18" hidden="1" customHeight="1">
      <c r="A57" s="1182"/>
      <c r="B57" s="1182"/>
      <c r="C57" s="1182"/>
      <c r="D57" s="182"/>
      <c r="E57" s="182"/>
      <c r="F57" s="1183"/>
      <c r="G57" s="1183"/>
      <c r="H57" s="183">
        <f t="shared" si="4"/>
        <v>0</v>
      </c>
      <c r="I57" s="176"/>
      <c r="J57" s="98"/>
      <c r="K57" s="98"/>
      <c r="L57" s="98"/>
    </row>
    <row r="58" spans="1:12" ht="18" hidden="1" customHeight="1">
      <c r="A58" s="1182"/>
      <c r="B58" s="1182"/>
      <c r="C58" s="1182"/>
      <c r="D58" s="182"/>
      <c r="E58" s="182"/>
      <c r="F58" s="1183"/>
      <c r="G58" s="1183"/>
      <c r="H58" s="183">
        <f t="shared" si="4"/>
        <v>0</v>
      </c>
      <c r="I58" s="176"/>
      <c r="J58" s="98"/>
      <c r="K58" s="98"/>
      <c r="L58" s="98"/>
    </row>
    <row r="59" spans="1:12" ht="18" hidden="1" customHeight="1">
      <c r="A59" s="1182"/>
      <c r="B59" s="1182"/>
      <c r="C59" s="1182"/>
      <c r="D59" s="182"/>
      <c r="E59" s="182"/>
      <c r="F59" s="1183"/>
      <c r="G59" s="1183"/>
      <c r="H59" s="183">
        <f t="shared" si="4"/>
        <v>0</v>
      </c>
      <c r="I59" s="176"/>
      <c r="J59" s="98"/>
      <c r="K59" s="98"/>
      <c r="L59" s="98"/>
    </row>
    <row r="60" spans="1:12" ht="18" hidden="1" customHeight="1">
      <c r="A60" s="1182"/>
      <c r="B60" s="1182"/>
      <c r="C60" s="1182"/>
      <c r="D60" s="182"/>
      <c r="E60" s="182"/>
      <c r="F60" s="1183"/>
      <c r="G60" s="1183"/>
      <c r="H60" s="183">
        <f t="shared" si="4"/>
        <v>0</v>
      </c>
      <c r="I60" s="176"/>
      <c r="J60" s="98"/>
      <c r="K60" s="98"/>
      <c r="L60" s="98"/>
    </row>
    <row r="61" spans="1:12" ht="18" hidden="1" customHeight="1">
      <c r="A61" s="1182"/>
      <c r="B61" s="1182"/>
      <c r="C61" s="1182"/>
      <c r="D61" s="182"/>
      <c r="E61" s="182"/>
      <c r="F61" s="1183"/>
      <c r="G61" s="1183"/>
      <c r="H61" s="183">
        <f t="shared" si="4"/>
        <v>0</v>
      </c>
      <c r="I61" s="176"/>
      <c r="J61" s="98"/>
      <c r="K61" s="98"/>
      <c r="L61" s="98"/>
    </row>
    <row r="62" spans="1:12" ht="18" hidden="1" customHeight="1">
      <c r="A62" s="1182"/>
      <c r="B62" s="1182"/>
      <c r="C62" s="1182"/>
      <c r="D62" s="182"/>
      <c r="E62" s="182"/>
      <c r="F62" s="1183"/>
      <c r="G62" s="1183"/>
      <c r="H62" s="183">
        <f t="shared" si="4"/>
        <v>0</v>
      </c>
      <c r="I62" s="176"/>
      <c r="J62" s="98"/>
      <c r="K62" s="98"/>
      <c r="L62" s="98"/>
    </row>
    <row r="63" spans="1:12" ht="18" hidden="1" customHeight="1">
      <c r="A63" s="1182"/>
      <c r="B63" s="1182"/>
      <c r="C63" s="1182"/>
      <c r="D63" s="182"/>
      <c r="E63" s="182"/>
      <c r="F63" s="1183"/>
      <c r="G63" s="1183"/>
      <c r="H63" s="183">
        <f t="shared" si="4"/>
        <v>0</v>
      </c>
      <c r="I63" s="176"/>
      <c r="J63" s="98"/>
      <c r="K63" s="98"/>
      <c r="L63" s="98"/>
    </row>
    <row r="64" spans="1:12" ht="18" hidden="1" customHeight="1">
      <c r="A64" s="1182"/>
      <c r="B64" s="1182"/>
      <c r="C64" s="1182"/>
      <c r="D64" s="182"/>
      <c r="E64" s="182"/>
      <c r="F64" s="1183"/>
      <c r="G64" s="1183"/>
      <c r="H64" s="183">
        <f t="shared" si="4"/>
        <v>0</v>
      </c>
      <c r="I64" s="176"/>
      <c r="J64" s="98"/>
      <c r="K64" s="98"/>
      <c r="L64" s="98"/>
    </row>
    <row r="65" spans="1:12" ht="18" hidden="1" customHeight="1">
      <c r="A65" s="1182"/>
      <c r="B65" s="1182"/>
      <c r="C65" s="1182"/>
      <c r="D65" s="182"/>
      <c r="E65" s="182"/>
      <c r="F65" s="1183"/>
      <c r="G65" s="1183"/>
      <c r="H65" s="183">
        <f t="shared" si="4"/>
        <v>0</v>
      </c>
      <c r="I65" s="176"/>
      <c r="J65" s="98"/>
      <c r="K65" s="98"/>
      <c r="L65" s="98"/>
    </row>
    <row r="66" spans="1:12" ht="18" hidden="1" customHeight="1">
      <c r="A66" s="1182"/>
      <c r="B66" s="1182"/>
      <c r="C66" s="1182"/>
      <c r="D66" s="182"/>
      <c r="E66" s="182"/>
      <c r="F66" s="1183"/>
      <c r="G66" s="1183"/>
      <c r="H66" s="183">
        <f t="shared" si="4"/>
        <v>0</v>
      </c>
      <c r="I66" s="176"/>
      <c r="J66" s="98"/>
      <c r="K66" s="98"/>
      <c r="L66" s="98"/>
    </row>
    <row r="67" spans="1:12" ht="18" hidden="1" customHeight="1">
      <c r="A67" s="1182"/>
      <c r="B67" s="1182"/>
      <c r="C67" s="1182"/>
      <c r="D67" s="182"/>
      <c r="E67" s="182"/>
      <c r="F67" s="1183"/>
      <c r="G67" s="1183"/>
      <c r="H67" s="183">
        <f t="shared" si="4"/>
        <v>0</v>
      </c>
      <c r="I67" s="176"/>
      <c r="J67" s="98"/>
      <c r="K67" s="98"/>
      <c r="L67" s="98"/>
    </row>
    <row r="68" spans="1:12" ht="18" hidden="1" customHeight="1">
      <c r="A68" s="1182"/>
      <c r="B68" s="1182"/>
      <c r="C68" s="1182"/>
      <c r="D68" s="182"/>
      <c r="E68" s="182"/>
      <c r="F68" s="1183"/>
      <c r="G68" s="1183"/>
      <c r="H68" s="183">
        <f t="shared" si="4"/>
        <v>0</v>
      </c>
      <c r="I68" s="176"/>
      <c r="J68" s="98"/>
      <c r="K68" s="98"/>
      <c r="L68" s="98"/>
    </row>
    <row r="69" spans="1:12" ht="18" hidden="1" customHeight="1">
      <c r="A69" s="1182"/>
      <c r="B69" s="1182"/>
      <c r="C69" s="1182"/>
      <c r="D69" s="182"/>
      <c r="E69" s="182"/>
      <c r="F69" s="1183"/>
      <c r="G69" s="1183"/>
      <c r="H69" s="183">
        <f t="shared" si="4"/>
        <v>0</v>
      </c>
      <c r="I69" s="176"/>
      <c r="J69" s="98"/>
      <c r="K69" s="98"/>
      <c r="L69" s="98"/>
    </row>
    <row r="70" spans="1:12" ht="18" hidden="1" customHeight="1">
      <c r="A70" s="1182"/>
      <c r="B70" s="1182"/>
      <c r="C70" s="1182"/>
      <c r="D70" s="182"/>
      <c r="E70" s="182"/>
      <c r="F70" s="1183"/>
      <c r="G70" s="1183"/>
      <c r="H70" s="183">
        <f t="shared" si="4"/>
        <v>0</v>
      </c>
      <c r="I70" s="176"/>
      <c r="J70" s="98"/>
      <c r="K70" s="98"/>
      <c r="L70" s="98"/>
    </row>
    <row r="71" spans="1:12" ht="18" hidden="1" customHeight="1">
      <c r="A71" s="1182"/>
      <c r="B71" s="1182"/>
      <c r="C71" s="1182"/>
      <c r="D71" s="182"/>
      <c r="E71" s="182"/>
      <c r="F71" s="1183"/>
      <c r="G71" s="1183"/>
      <c r="H71" s="183">
        <f t="shared" si="4"/>
        <v>0</v>
      </c>
      <c r="I71" s="176"/>
      <c r="J71" s="98"/>
      <c r="K71" s="98"/>
      <c r="L71" s="98"/>
    </row>
    <row r="72" spans="1:12" ht="18" hidden="1" customHeight="1">
      <c r="A72" s="1182"/>
      <c r="B72" s="1182"/>
      <c r="C72" s="1182"/>
      <c r="D72" s="182"/>
      <c r="E72" s="182"/>
      <c r="F72" s="1183"/>
      <c r="G72" s="1183"/>
      <c r="H72" s="183">
        <f t="shared" si="4"/>
        <v>0</v>
      </c>
      <c r="I72" s="176"/>
      <c r="J72" s="98"/>
      <c r="K72" s="98"/>
      <c r="L72" s="98"/>
    </row>
    <row r="73" spans="1:12" ht="18" hidden="1" customHeight="1">
      <c r="A73" s="1182"/>
      <c r="B73" s="1182"/>
      <c r="C73" s="1182"/>
      <c r="D73" s="182"/>
      <c r="E73" s="182"/>
      <c r="F73" s="1183"/>
      <c r="G73" s="1183"/>
      <c r="H73" s="183">
        <f t="shared" si="4"/>
        <v>0</v>
      </c>
      <c r="I73" s="176"/>
      <c r="J73" s="98"/>
      <c r="K73" s="98"/>
      <c r="L73" s="98"/>
    </row>
    <row r="74" spans="1:12" ht="18" hidden="1" customHeight="1">
      <c r="A74" s="1182"/>
      <c r="B74" s="1182"/>
      <c r="C74" s="1182"/>
      <c r="D74" s="182"/>
      <c r="E74" s="182"/>
      <c r="F74" s="1183"/>
      <c r="G74" s="1183"/>
      <c r="H74" s="183">
        <f t="shared" si="4"/>
        <v>0</v>
      </c>
      <c r="I74" s="176"/>
      <c r="J74" s="98"/>
      <c r="K74" s="98"/>
      <c r="L74" s="98"/>
    </row>
    <row r="75" spans="1:12" ht="18" hidden="1" customHeight="1">
      <c r="A75" s="1182"/>
      <c r="B75" s="1182"/>
      <c r="C75" s="1182"/>
      <c r="D75" s="182"/>
      <c r="E75" s="182"/>
      <c r="F75" s="1183"/>
      <c r="G75" s="1183"/>
      <c r="H75" s="183">
        <f t="shared" si="4"/>
        <v>0</v>
      </c>
      <c r="I75" s="176"/>
      <c r="J75" s="98"/>
      <c r="K75" s="98"/>
      <c r="L75" s="98"/>
    </row>
    <row r="76" spans="1:12" ht="18" hidden="1" customHeight="1">
      <c r="A76" s="1182"/>
      <c r="B76" s="1182"/>
      <c r="C76" s="1182"/>
      <c r="D76" s="182"/>
      <c r="E76" s="182"/>
      <c r="F76" s="1183"/>
      <c r="G76" s="1183"/>
      <c r="H76" s="183">
        <f t="shared" si="4"/>
        <v>0</v>
      </c>
      <c r="I76" s="176"/>
      <c r="J76" s="98"/>
      <c r="K76" s="98"/>
      <c r="L76" s="98"/>
    </row>
    <row r="77" spans="1:12" ht="18" hidden="1" customHeight="1">
      <c r="A77" s="1182"/>
      <c r="B77" s="1182"/>
      <c r="C77" s="1182"/>
      <c r="D77" s="182"/>
      <c r="E77" s="182"/>
      <c r="F77" s="1183"/>
      <c r="G77" s="1183"/>
      <c r="H77" s="183">
        <f t="shared" si="4"/>
        <v>0</v>
      </c>
      <c r="I77" s="176"/>
      <c r="J77" s="98"/>
      <c r="K77" s="98"/>
      <c r="L77" s="98"/>
    </row>
    <row r="78" spans="1:12" ht="18" hidden="1" customHeight="1">
      <c r="A78" s="1182"/>
      <c r="B78" s="1182"/>
      <c r="C78" s="1182"/>
      <c r="D78" s="182"/>
      <c r="E78" s="182"/>
      <c r="F78" s="1183"/>
      <c r="G78" s="1183"/>
      <c r="H78" s="183">
        <f t="shared" si="4"/>
        <v>0</v>
      </c>
      <c r="I78" s="176"/>
      <c r="J78" s="98"/>
      <c r="K78" s="98"/>
      <c r="L78" s="98"/>
    </row>
    <row r="79" spans="1:12" ht="18" hidden="1" customHeight="1">
      <c r="A79" s="1182"/>
      <c r="B79" s="1182"/>
      <c r="C79" s="1182"/>
      <c r="D79" s="182"/>
      <c r="E79" s="182"/>
      <c r="F79" s="1183"/>
      <c r="G79" s="1183"/>
      <c r="H79" s="183">
        <f t="shared" si="4"/>
        <v>0</v>
      </c>
      <c r="I79" s="176"/>
      <c r="J79" s="98"/>
      <c r="K79" s="98"/>
      <c r="L79" s="98"/>
    </row>
    <row r="80" spans="1:12" ht="18" hidden="1" customHeight="1">
      <c r="A80" s="1182"/>
      <c r="B80" s="1182"/>
      <c r="C80" s="1182"/>
      <c r="D80" s="182"/>
      <c r="E80" s="182"/>
      <c r="F80" s="1183"/>
      <c r="G80" s="1183"/>
      <c r="H80" s="183">
        <f t="shared" si="4"/>
        <v>0</v>
      </c>
      <c r="I80" s="176"/>
      <c r="J80" s="98"/>
      <c r="K80" s="98"/>
      <c r="L80" s="98"/>
    </row>
    <row r="81" spans="1:12" ht="18" hidden="1" customHeight="1">
      <c r="A81" s="1182"/>
      <c r="B81" s="1182"/>
      <c r="C81" s="1182"/>
      <c r="D81" s="182"/>
      <c r="E81" s="182"/>
      <c r="F81" s="1183"/>
      <c r="G81" s="1183"/>
      <c r="H81" s="183">
        <f t="shared" si="4"/>
        <v>0</v>
      </c>
      <c r="I81" s="176"/>
      <c r="J81" s="98"/>
      <c r="K81" s="98"/>
      <c r="L81" s="98"/>
    </row>
    <row r="82" spans="1:12" ht="18" hidden="1" customHeight="1">
      <c r="A82" s="1182"/>
      <c r="B82" s="1182"/>
      <c r="C82" s="1182"/>
      <c r="D82" s="182"/>
      <c r="E82" s="182"/>
      <c r="F82" s="1183"/>
      <c r="G82" s="1183"/>
      <c r="H82" s="183">
        <f t="shared" si="4"/>
        <v>0</v>
      </c>
      <c r="I82" s="176"/>
      <c r="J82" s="98"/>
      <c r="K82" s="98"/>
      <c r="L82" s="98"/>
    </row>
    <row r="83" spans="1:12" ht="18" hidden="1" customHeight="1">
      <c r="A83" s="1182"/>
      <c r="B83" s="1182"/>
      <c r="C83" s="1182"/>
      <c r="D83" s="182"/>
      <c r="E83" s="182"/>
      <c r="F83" s="1183"/>
      <c r="G83" s="1183"/>
      <c r="H83" s="183">
        <f t="shared" si="4"/>
        <v>0</v>
      </c>
      <c r="I83" s="176"/>
      <c r="J83" s="98"/>
      <c r="K83" s="98"/>
      <c r="L83" s="98"/>
    </row>
    <row r="84" spans="1:12" ht="18" hidden="1" customHeight="1">
      <c r="A84" s="1182"/>
      <c r="B84" s="1182"/>
      <c r="C84" s="1182"/>
      <c r="D84" s="182"/>
      <c r="E84" s="182"/>
      <c r="F84" s="1183"/>
      <c r="G84" s="1183"/>
      <c r="H84" s="183">
        <f t="shared" si="4"/>
        <v>0</v>
      </c>
      <c r="I84" s="176"/>
      <c r="J84" s="98"/>
      <c r="K84" s="98"/>
      <c r="L84" s="98"/>
    </row>
    <row r="85" spans="1:12" ht="18" hidden="1" customHeight="1">
      <c r="A85" s="1182"/>
      <c r="B85" s="1182"/>
      <c r="C85" s="1182"/>
      <c r="D85" s="182"/>
      <c r="E85" s="182"/>
      <c r="F85" s="1183"/>
      <c r="G85" s="1183"/>
      <c r="H85" s="183">
        <f t="shared" si="4"/>
        <v>0</v>
      </c>
      <c r="I85" s="176"/>
      <c r="J85" s="98"/>
      <c r="K85" s="98"/>
      <c r="L85" s="98"/>
    </row>
    <row r="86" spans="1:12" ht="18" hidden="1" customHeight="1">
      <c r="A86" s="1182"/>
      <c r="B86" s="1182"/>
      <c r="C86" s="1182"/>
      <c r="D86" s="182"/>
      <c r="E86" s="182"/>
      <c r="F86" s="1183"/>
      <c r="G86" s="1183"/>
      <c r="H86" s="183">
        <f t="shared" si="4"/>
        <v>0</v>
      </c>
      <c r="I86" s="176"/>
      <c r="J86" s="98"/>
      <c r="K86" s="98"/>
      <c r="L86" s="98"/>
    </row>
    <row r="87" spans="1:12" ht="18" hidden="1" customHeight="1">
      <c r="A87" s="1182"/>
      <c r="B87" s="1182"/>
      <c r="C87" s="1182"/>
      <c r="D87" s="182"/>
      <c r="E87" s="182"/>
      <c r="F87" s="1183"/>
      <c r="G87" s="1183"/>
      <c r="H87" s="183">
        <f t="shared" si="4"/>
        <v>0</v>
      </c>
      <c r="I87" s="176"/>
      <c r="J87" s="98"/>
      <c r="K87" s="98"/>
      <c r="L87" s="98"/>
    </row>
    <row r="88" spans="1:12" ht="18" hidden="1" customHeight="1">
      <c r="A88" s="1182"/>
      <c r="B88" s="1182"/>
      <c r="C88" s="1182"/>
      <c r="D88" s="182"/>
      <c r="E88" s="182"/>
      <c r="F88" s="1183"/>
      <c r="G88" s="1183"/>
      <c r="H88" s="183">
        <f t="shared" si="4"/>
        <v>0</v>
      </c>
      <c r="I88" s="176"/>
      <c r="J88" s="98"/>
      <c r="K88" s="98"/>
      <c r="L88" s="98"/>
    </row>
    <row r="89" spans="1:12" ht="18" hidden="1" customHeight="1">
      <c r="A89" s="1182"/>
      <c r="B89" s="1182"/>
      <c r="C89" s="1182"/>
      <c r="D89" s="182"/>
      <c r="E89" s="182"/>
      <c r="F89" s="1183"/>
      <c r="G89" s="1183"/>
      <c r="H89" s="183">
        <f t="shared" si="4"/>
        <v>0</v>
      </c>
      <c r="I89" s="176"/>
      <c r="J89" s="98"/>
      <c r="K89" s="98"/>
      <c r="L89" s="98"/>
    </row>
    <row r="90" spans="1:12" ht="18" hidden="1" customHeight="1">
      <c r="A90" s="1182"/>
      <c r="B90" s="1182"/>
      <c r="C90" s="1182"/>
      <c r="D90" s="182"/>
      <c r="E90" s="182"/>
      <c r="F90" s="1183"/>
      <c r="G90" s="1183"/>
      <c r="H90" s="183">
        <f t="shared" si="4"/>
        <v>0</v>
      </c>
      <c r="I90" s="176"/>
      <c r="J90" s="98"/>
      <c r="K90" s="98"/>
      <c r="L90" s="98"/>
    </row>
    <row r="91" spans="1:12" ht="18" hidden="1" customHeight="1">
      <c r="A91" s="1182"/>
      <c r="B91" s="1182"/>
      <c r="C91" s="1182"/>
      <c r="D91" s="182"/>
      <c r="E91" s="182"/>
      <c r="F91" s="1183"/>
      <c r="G91" s="1183"/>
      <c r="H91" s="183">
        <f t="shared" si="4"/>
        <v>0</v>
      </c>
      <c r="I91" s="176"/>
      <c r="J91" s="98"/>
      <c r="K91" s="98"/>
      <c r="L91" s="98"/>
    </row>
    <row r="92" spans="1:12" ht="18" hidden="1" customHeight="1">
      <c r="A92" s="1182"/>
      <c r="B92" s="1182"/>
      <c r="C92" s="1182"/>
      <c r="D92" s="182"/>
      <c r="E92" s="182"/>
      <c r="F92" s="1183"/>
      <c r="G92" s="1183"/>
      <c r="H92" s="183">
        <f t="shared" si="4"/>
        <v>0</v>
      </c>
      <c r="I92" s="176"/>
      <c r="J92" s="98"/>
      <c r="K92" s="98"/>
      <c r="L92" s="98"/>
    </row>
    <row r="93" spans="1:12" ht="18" hidden="1" customHeight="1">
      <c r="A93" s="1182"/>
      <c r="B93" s="1182"/>
      <c r="C93" s="1182"/>
      <c r="D93" s="182"/>
      <c r="E93" s="182"/>
      <c r="F93" s="1183"/>
      <c r="G93" s="1183"/>
      <c r="H93" s="183">
        <f t="shared" si="4"/>
        <v>0</v>
      </c>
      <c r="I93" s="176"/>
      <c r="J93" s="98"/>
      <c r="K93" s="98"/>
      <c r="L93" s="98"/>
    </row>
    <row r="94" spans="1:12" ht="18" hidden="1" customHeight="1">
      <c r="A94" s="1182"/>
      <c r="B94" s="1182"/>
      <c r="C94" s="1182"/>
      <c r="D94" s="182"/>
      <c r="E94" s="182"/>
      <c r="F94" s="1183"/>
      <c r="G94" s="1183"/>
      <c r="H94" s="183">
        <f t="shared" si="4"/>
        <v>0</v>
      </c>
      <c r="I94" s="176"/>
      <c r="J94" s="98"/>
      <c r="K94" s="98"/>
      <c r="L94" s="98"/>
    </row>
    <row r="95" spans="1:12" ht="18" hidden="1" customHeight="1">
      <c r="A95" s="1182"/>
      <c r="B95" s="1182"/>
      <c r="C95" s="1182"/>
      <c r="D95" s="182"/>
      <c r="E95" s="182"/>
      <c r="F95" s="1183"/>
      <c r="G95" s="1183"/>
      <c r="H95" s="183">
        <f t="shared" si="4"/>
        <v>0</v>
      </c>
      <c r="I95" s="176"/>
      <c r="J95" s="98"/>
      <c r="K95" s="98"/>
      <c r="L95" s="98"/>
    </row>
    <row r="96" spans="1:12" ht="18" hidden="1" customHeight="1">
      <c r="A96" s="1182"/>
      <c r="B96" s="1182"/>
      <c r="C96" s="1182"/>
      <c r="D96" s="182"/>
      <c r="E96" s="182"/>
      <c r="F96" s="1183"/>
      <c r="G96" s="1183"/>
      <c r="H96" s="183">
        <f t="shared" si="4"/>
        <v>0</v>
      </c>
      <c r="I96" s="176"/>
      <c r="J96" s="98"/>
      <c r="K96" s="98"/>
      <c r="L96" s="98"/>
    </row>
    <row r="97" spans="1:12" ht="18" hidden="1" customHeight="1">
      <c r="A97" s="1182"/>
      <c r="B97" s="1182"/>
      <c r="C97" s="1182"/>
      <c r="D97" s="182"/>
      <c r="E97" s="182"/>
      <c r="F97" s="1183"/>
      <c r="G97" s="1183"/>
      <c r="H97" s="183">
        <f t="shared" si="4"/>
        <v>0</v>
      </c>
      <c r="I97" s="176"/>
      <c r="J97" s="98"/>
      <c r="K97" s="98"/>
      <c r="L97" s="98"/>
    </row>
    <row r="98" spans="1:12" ht="18" hidden="1" customHeight="1">
      <c r="A98" s="1182"/>
      <c r="B98" s="1182"/>
      <c r="C98" s="1182"/>
      <c r="D98" s="182"/>
      <c r="E98" s="182"/>
      <c r="F98" s="1183"/>
      <c r="G98" s="1183"/>
      <c r="H98" s="183">
        <f t="shared" si="4"/>
        <v>0</v>
      </c>
      <c r="I98" s="176"/>
      <c r="J98" s="98"/>
      <c r="K98" s="98"/>
      <c r="L98" s="98"/>
    </row>
    <row r="99" spans="1:12" ht="18" hidden="1" customHeight="1">
      <c r="A99" s="1182"/>
      <c r="B99" s="1182"/>
      <c r="C99" s="1182"/>
      <c r="D99" s="182"/>
      <c r="E99" s="182"/>
      <c r="F99" s="1183"/>
      <c r="G99" s="1183"/>
      <c r="H99" s="183">
        <f t="shared" si="4"/>
        <v>0</v>
      </c>
      <c r="I99" s="176"/>
      <c r="J99" s="98"/>
      <c r="K99" s="98"/>
      <c r="L99" s="98"/>
    </row>
    <row r="100" spans="1:12" ht="18" hidden="1" customHeight="1">
      <c r="A100" s="1182"/>
      <c r="B100" s="1182"/>
      <c r="C100" s="1182"/>
      <c r="D100" s="182"/>
      <c r="E100" s="182"/>
      <c r="F100" s="1183"/>
      <c r="G100" s="1183"/>
      <c r="H100" s="183">
        <f t="shared" si="4"/>
        <v>0</v>
      </c>
      <c r="I100" s="176"/>
      <c r="J100" s="98"/>
      <c r="K100" s="98"/>
      <c r="L100" s="98"/>
    </row>
    <row r="101" spans="1:12" ht="18" hidden="1" customHeight="1">
      <c r="A101" s="1182"/>
      <c r="B101" s="1182"/>
      <c r="C101" s="1182"/>
      <c r="D101" s="182"/>
      <c r="E101" s="182"/>
      <c r="F101" s="1183"/>
      <c r="G101" s="1183"/>
      <c r="H101" s="183">
        <f t="shared" si="4"/>
        <v>0</v>
      </c>
      <c r="I101" s="176"/>
      <c r="J101" s="98"/>
      <c r="K101" s="98"/>
      <c r="L101" s="98"/>
    </row>
    <row r="102" spans="1:12" ht="18" hidden="1" customHeight="1">
      <c r="A102" s="1182"/>
      <c r="B102" s="1182"/>
      <c r="C102" s="1182"/>
      <c r="D102" s="182"/>
      <c r="E102" s="182"/>
      <c r="F102" s="1183"/>
      <c r="G102" s="1183"/>
      <c r="H102" s="183">
        <f t="shared" si="4"/>
        <v>0</v>
      </c>
      <c r="I102" s="176"/>
      <c r="J102" s="98"/>
      <c r="K102" s="98"/>
      <c r="L102" s="98"/>
    </row>
    <row r="103" spans="1:12" ht="18" hidden="1" customHeight="1">
      <c r="A103" s="1182"/>
      <c r="B103" s="1182"/>
      <c r="C103" s="1182"/>
      <c r="D103" s="182"/>
      <c r="E103" s="182"/>
      <c r="F103" s="1183"/>
      <c r="G103" s="1183"/>
      <c r="H103" s="183">
        <f t="shared" si="4"/>
        <v>0</v>
      </c>
      <c r="I103" s="176"/>
      <c r="J103" s="98"/>
      <c r="K103" s="98"/>
      <c r="L103" s="98"/>
    </row>
    <row r="104" spans="1:12" ht="18" hidden="1" customHeight="1">
      <c r="A104" s="1182"/>
      <c r="B104" s="1182"/>
      <c r="C104" s="1182"/>
      <c r="D104" s="182"/>
      <c r="E104" s="182"/>
      <c r="F104" s="1183"/>
      <c r="G104" s="1183"/>
      <c r="H104" s="183">
        <f t="shared" si="4"/>
        <v>0</v>
      </c>
      <c r="I104" s="176"/>
      <c r="J104" s="98"/>
      <c r="K104" s="98"/>
      <c r="L104" s="98"/>
    </row>
    <row r="105" spans="1:12" ht="18" hidden="1" customHeight="1">
      <c r="A105" s="1182"/>
      <c r="B105" s="1182"/>
      <c r="C105" s="1182"/>
      <c r="D105" s="182"/>
      <c r="E105" s="182"/>
      <c r="F105" s="1183"/>
      <c r="G105" s="1183"/>
      <c r="H105" s="183">
        <f t="shared" si="4"/>
        <v>0</v>
      </c>
      <c r="I105" s="176"/>
      <c r="J105" s="98"/>
      <c r="K105" s="98"/>
      <c r="L105" s="98"/>
    </row>
    <row r="106" spans="1:12" ht="18" hidden="1" customHeight="1">
      <c r="A106" s="1182"/>
      <c r="B106" s="1182"/>
      <c r="C106" s="1182"/>
      <c r="D106" s="182"/>
      <c r="E106" s="182"/>
      <c r="F106" s="1183"/>
      <c r="G106" s="1183"/>
      <c r="H106" s="183">
        <f t="shared" si="3"/>
        <v>0</v>
      </c>
      <c r="I106" s="176"/>
      <c r="J106" s="98"/>
      <c r="K106" s="98"/>
      <c r="L106" s="98"/>
    </row>
    <row r="107" spans="1:12" ht="18" hidden="1" customHeight="1">
      <c r="A107" s="1182"/>
      <c r="B107" s="1182"/>
      <c r="C107" s="1182"/>
      <c r="D107" s="182"/>
      <c r="E107" s="182"/>
      <c r="F107" s="1183"/>
      <c r="G107" s="1183"/>
      <c r="H107" s="183">
        <f t="shared" si="3"/>
        <v>0</v>
      </c>
      <c r="I107" s="176"/>
      <c r="J107" s="98"/>
      <c r="K107" s="98"/>
      <c r="L107" s="98"/>
    </row>
    <row r="108" spans="1:12" ht="18" hidden="1" customHeight="1">
      <c r="A108" s="1182"/>
      <c r="B108" s="1182"/>
      <c r="C108" s="1182"/>
      <c r="D108" s="182"/>
      <c r="E108" s="182"/>
      <c r="F108" s="1185"/>
      <c r="G108" s="1185"/>
      <c r="H108" s="183">
        <f t="shared" si="3"/>
        <v>0</v>
      </c>
      <c r="I108" s="176"/>
      <c r="J108" s="98"/>
      <c r="K108" s="98"/>
      <c r="L108" s="98"/>
    </row>
    <row r="109" spans="1:12" ht="18" hidden="1" customHeight="1">
      <c r="A109" s="1182"/>
      <c r="B109" s="1182"/>
      <c r="C109" s="1182"/>
      <c r="D109" s="182"/>
      <c r="E109" s="182"/>
      <c r="F109" s="1185"/>
      <c r="G109" s="1185"/>
      <c r="H109" s="183">
        <f t="shared" si="3"/>
        <v>0</v>
      </c>
      <c r="I109" s="176"/>
      <c r="J109" s="98"/>
      <c r="K109" s="98"/>
      <c r="L109" s="98"/>
    </row>
    <row r="110" spans="1:12" ht="18" hidden="1" customHeight="1">
      <c r="A110" s="1182"/>
      <c r="B110" s="1182"/>
      <c r="C110" s="1182"/>
      <c r="D110" s="182"/>
      <c r="E110" s="182"/>
      <c r="F110" s="1185"/>
      <c r="G110" s="1185"/>
      <c r="H110" s="183">
        <f t="shared" si="3"/>
        <v>0</v>
      </c>
      <c r="I110" s="176"/>
      <c r="J110" s="98"/>
      <c r="K110" s="98"/>
      <c r="L110" s="98"/>
    </row>
    <row r="111" spans="1:12" ht="18" hidden="1" customHeight="1">
      <c r="A111" s="1182"/>
      <c r="B111" s="1182"/>
      <c r="C111" s="1182"/>
      <c r="D111" s="182"/>
      <c r="E111" s="182"/>
      <c r="F111" s="1185"/>
      <c r="G111" s="1185"/>
      <c r="H111" s="183">
        <f t="shared" si="3"/>
        <v>0</v>
      </c>
      <c r="I111" s="176"/>
      <c r="J111" s="98"/>
      <c r="K111" s="98"/>
      <c r="L111" s="98"/>
    </row>
    <row r="112" spans="1:12" ht="18" hidden="1" customHeight="1">
      <c r="A112" s="1182"/>
      <c r="B112" s="1182"/>
      <c r="C112" s="1182"/>
      <c r="D112" s="182"/>
      <c r="E112" s="182"/>
      <c r="F112" s="1185"/>
      <c r="G112" s="1185"/>
      <c r="H112" s="183">
        <f t="shared" si="3"/>
        <v>0</v>
      </c>
      <c r="I112" s="176"/>
      <c r="J112" s="98"/>
      <c r="K112" s="98"/>
      <c r="L112" s="98"/>
    </row>
    <row r="113" spans="1:12" ht="18" hidden="1" customHeight="1">
      <c r="A113" s="1182"/>
      <c r="B113" s="1182"/>
      <c r="C113" s="1182"/>
      <c r="D113" s="182"/>
      <c r="E113" s="182"/>
      <c r="F113" s="1185"/>
      <c r="G113" s="1185"/>
      <c r="H113" s="183">
        <f t="shared" si="3"/>
        <v>0</v>
      </c>
      <c r="I113" s="176"/>
      <c r="J113" s="98"/>
      <c r="K113" s="98"/>
      <c r="L113" s="98"/>
    </row>
    <row r="114" spans="1:12" ht="18" hidden="1" customHeight="1">
      <c r="A114" s="1182"/>
      <c r="B114" s="1182"/>
      <c r="C114" s="1182"/>
      <c r="D114" s="182"/>
      <c r="E114" s="182"/>
      <c r="F114" s="1185"/>
      <c r="G114" s="1185"/>
      <c r="H114" s="183">
        <f t="shared" si="3"/>
        <v>0</v>
      </c>
      <c r="I114" s="176"/>
      <c r="J114" s="98"/>
      <c r="K114" s="98"/>
      <c r="L114" s="98"/>
    </row>
    <row r="115" spans="1:12" ht="18" hidden="1" customHeight="1">
      <c r="A115" s="1182"/>
      <c r="B115" s="1182"/>
      <c r="C115" s="1182"/>
      <c r="D115" s="182"/>
      <c r="E115" s="182"/>
      <c r="F115" s="1185"/>
      <c r="G115" s="1185"/>
      <c r="H115" s="183">
        <f t="shared" si="3"/>
        <v>0</v>
      </c>
      <c r="I115" s="176"/>
      <c r="J115" s="98"/>
      <c r="K115" s="98"/>
      <c r="L115" s="98"/>
    </row>
    <row r="116" spans="1:12" ht="18" hidden="1" customHeight="1">
      <c r="A116" s="1182"/>
      <c r="B116" s="1182"/>
      <c r="C116" s="1182"/>
      <c r="D116" s="182"/>
      <c r="E116" s="182"/>
      <c r="F116" s="1185"/>
      <c r="G116" s="1185"/>
      <c r="H116" s="183">
        <f t="shared" si="3"/>
        <v>0</v>
      </c>
      <c r="I116" s="176"/>
      <c r="J116" s="98"/>
      <c r="K116" s="98"/>
      <c r="L116" s="98"/>
    </row>
    <row r="117" spans="1:12" ht="18" hidden="1" customHeight="1">
      <c r="A117" s="1182"/>
      <c r="B117" s="1182"/>
      <c r="C117" s="1182"/>
      <c r="D117" s="182"/>
      <c r="E117" s="182"/>
      <c r="F117" s="1185"/>
      <c r="G117" s="1185"/>
      <c r="H117" s="183">
        <f>E117*F117</f>
        <v>0</v>
      </c>
      <c r="I117" s="176"/>
      <c r="J117" s="98"/>
      <c r="K117" s="98"/>
      <c r="L117" s="98"/>
    </row>
    <row r="118" spans="1:12" ht="18" hidden="1" customHeight="1">
      <c r="A118" s="1182"/>
      <c r="B118" s="1182"/>
      <c r="C118" s="1182"/>
      <c r="D118" s="182"/>
      <c r="E118" s="182"/>
      <c r="F118" s="1185"/>
      <c r="G118" s="1185"/>
      <c r="H118" s="183">
        <f>E118*F118</f>
        <v>0</v>
      </c>
      <c r="I118" s="176"/>
      <c r="J118" s="98"/>
      <c r="K118" s="98"/>
      <c r="L118" s="98"/>
    </row>
    <row r="119" spans="1:12" ht="18" hidden="1" customHeight="1">
      <c r="A119" s="1182"/>
      <c r="B119" s="1182"/>
      <c r="C119" s="1182"/>
      <c r="D119" s="182"/>
      <c r="E119" s="182"/>
      <c r="F119" s="1185"/>
      <c r="G119" s="1185"/>
      <c r="H119" s="183">
        <f>E119*F119</f>
        <v>0</v>
      </c>
      <c r="I119" s="176"/>
      <c r="J119" s="98"/>
      <c r="K119" s="98"/>
      <c r="L119" s="98"/>
    </row>
    <row r="120" spans="1:12" ht="18" customHeight="1">
      <c r="A120" s="1184" t="s">
        <v>470</v>
      </c>
      <c r="B120" s="1184"/>
      <c r="C120" s="1184"/>
      <c r="D120" s="1184"/>
      <c r="E120" s="1184"/>
      <c r="F120" s="1184"/>
      <c r="G120" s="1184"/>
      <c r="H120" s="184">
        <f>SUM(H44:H119)</f>
        <v>0</v>
      </c>
      <c r="I120" s="184">
        <f>SUM(I44:I119)</f>
        <v>0</v>
      </c>
      <c r="J120" s="184">
        <f t="shared" ref="J120:K120" si="5">SUM(J44:J119)</f>
        <v>0</v>
      </c>
      <c r="K120" s="184">
        <f t="shared" si="5"/>
        <v>0</v>
      </c>
      <c r="L120" s="184">
        <f>SUM(L44:L119)</f>
        <v>0</v>
      </c>
    </row>
    <row r="121" spans="1:12" ht="18" customHeight="1">
      <c r="A121" s="1197" t="s">
        <v>471</v>
      </c>
      <c r="B121" s="1198"/>
      <c r="C121" s="1198"/>
      <c r="D121" s="1198"/>
      <c r="E121" s="1198"/>
      <c r="F121" s="1198"/>
      <c r="G121" s="1198"/>
      <c r="H121" s="1198"/>
      <c r="I121" s="1198"/>
      <c r="J121" s="1198"/>
      <c r="K121" s="1198"/>
      <c r="L121" s="1199"/>
    </row>
    <row r="122" spans="1:12" ht="18" customHeight="1">
      <c r="A122" s="1182"/>
      <c r="B122" s="1182"/>
      <c r="C122" s="1182"/>
      <c r="D122" s="182"/>
      <c r="E122" s="182"/>
      <c r="F122" s="1183"/>
      <c r="G122" s="1183"/>
      <c r="H122" s="183">
        <f>E122*F122</f>
        <v>0</v>
      </c>
      <c r="I122" s="176"/>
      <c r="J122" s="98"/>
      <c r="K122" s="98"/>
      <c r="L122" s="98"/>
    </row>
    <row r="123" spans="1:12" ht="18" customHeight="1">
      <c r="A123" s="1182"/>
      <c r="B123" s="1182"/>
      <c r="C123" s="1182"/>
      <c r="D123" s="182"/>
      <c r="E123" s="182"/>
      <c r="F123" s="1183"/>
      <c r="G123" s="1183"/>
      <c r="H123" s="183">
        <f t="shared" ref="H123:H150" si="6">E123*F123</f>
        <v>0</v>
      </c>
      <c r="I123" s="176"/>
      <c r="J123" s="98"/>
      <c r="K123" s="98"/>
      <c r="L123" s="98"/>
    </row>
    <row r="124" spans="1:12" ht="18" customHeight="1">
      <c r="A124" s="1182"/>
      <c r="B124" s="1182"/>
      <c r="C124" s="1182"/>
      <c r="D124" s="182"/>
      <c r="E124" s="182"/>
      <c r="F124" s="1183"/>
      <c r="G124" s="1183"/>
      <c r="H124" s="183">
        <f t="shared" si="6"/>
        <v>0</v>
      </c>
      <c r="I124" s="176"/>
      <c r="J124" s="98"/>
      <c r="K124" s="98"/>
      <c r="L124" s="98"/>
    </row>
    <row r="125" spans="1:12" ht="18" hidden="1" customHeight="1">
      <c r="A125" s="1182"/>
      <c r="B125" s="1182"/>
      <c r="C125" s="1182"/>
      <c r="D125" s="182"/>
      <c r="E125" s="182"/>
      <c r="F125" s="1183"/>
      <c r="G125" s="1183"/>
      <c r="H125" s="183">
        <f t="shared" si="6"/>
        <v>0</v>
      </c>
      <c r="I125" s="176"/>
      <c r="J125" s="98"/>
      <c r="K125" s="98"/>
      <c r="L125" s="98"/>
    </row>
    <row r="126" spans="1:12" ht="18" hidden="1" customHeight="1">
      <c r="A126" s="1182"/>
      <c r="B126" s="1182"/>
      <c r="C126" s="1182"/>
      <c r="D126" s="182"/>
      <c r="E126" s="182"/>
      <c r="F126" s="1183"/>
      <c r="G126" s="1183"/>
      <c r="H126" s="183">
        <f t="shared" si="6"/>
        <v>0</v>
      </c>
      <c r="I126" s="176"/>
      <c r="J126" s="98"/>
      <c r="K126" s="98"/>
      <c r="L126" s="98"/>
    </row>
    <row r="127" spans="1:12" ht="18" hidden="1" customHeight="1">
      <c r="A127" s="1182"/>
      <c r="B127" s="1182"/>
      <c r="C127" s="1182"/>
      <c r="D127" s="182"/>
      <c r="E127" s="182"/>
      <c r="F127" s="1183"/>
      <c r="G127" s="1183"/>
      <c r="H127" s="183">
        <f t="shared" si="6"/>
        <v>0</v>
      </c>
      <c r="I127" s="176"/>
      <c r="J127" s="98"/>
      <c r="K127" s="98"/>
      <c r="L127" s="98"/>
    </row>
    <row r="128" spans="1:12" ht="18" hidden="1" customHeight="1">
      <c r="A128" s="1182"/>
      <c r="B128" s="1182"/>
      <c r="C128" s="1182"/>
      <c r="D128" s="182"/>
      <c r="E128" s="182"/>
      <c r="F128" s="1183"/>
      <c r="G128" s="1183"/>
      <c r="H128" s="183">
        <f t="shared" si="6"/>
        <v>0</v>
      </c>
      <c r="I128" s="176"/>
      <c r="J128" s="98"/>
      <c r="K128" s="98"/>
      <c r="L128" s="98"/>
    </row>
    <row r="129" spans="1:12" ht="18" hidden="1" customHeight="1">
      <c r="A129" s="1182"/>
      <c r="B129" s="1182"/>
      <c r="C129" s="1182"/>
      <c r="D129" s="182"/>
      <c r="E129" s="182"/>
      <c r="F129" s="1183"/>
      <c r="G129" s="1183"/>
      <c r="H129" s="183">
        <f t="shared" si="6"/>
        <v>0</v>
      </c>
      <c r="I129" s="176"/>
      <c r="J129" s="98"/>
      <c r="K129" s="98"/>
      <c r="L129" s="98"/>
    </row>
    <row r="130" spans="1:12" ht="18" hidden="1" customHeight="1">
      <c r="A130" s="1182"/>
      <c r="B130" s="1182"/>
      <c r="C130" s="1182"/>
      <c r="D130" s="182"/>
      <c r="E130" s="182"/>
      <c r="F130" s="1183"/>
      <c r="G130" s="1183"/>
      <c r="H130" s="183">
        <f t="shared" si="6"/>
        <v>0</v>
      </c>
      <c r="I130" s="176"/>
      <c r="J130" s="98"/>
      <c r="K130" s="98"/>
      <c r="L130" s="98"/>
    </row>
    <row r="131" spans="1:12" ht="18" hidden="1" customHeight="1">
      <c r="A131" s="1182"/>
      <c r="B131" s="1182"/>
      <c r="C131" s="1182"/>
      <c r="D131" s="182"/>
      <c r="E131" s="182"/>
      <c r="F131" s="1183"/>
      <c r="G131" s="1183"/>
      <c r="H131" s="183">
        <f t="shared" si="6"/>
        <v>0</v>
      </c>
      <c r="I131" s="176"/>
      <c r="J131" s="98"/>
      <c r="K131" s="98"/>
      <c r="L131" s="98"/>
    </row>
    <row r="132" spans="1:12" ht="18" hidden="1" customHeight="1">
      <c r="A132" s="1182"/>
      <c r="B132" s="1182"/>
      <c r="C132" s="1182"/>
      <c r="D132" s="182"/>
      <c r="E132" s="182"/>
      <c r="F132" s="1183"/>
      <c r="G132" s="1183"/>
      <c r="H132" s="183">
        <f t="shared" si="6"/>
        <v>0</v>
      </c>
      <c r="I132" s="176"/>
      <c r="J132" s="98"/>
      <c r="K132" s="98"/>
      <c r="L132" s="98"/>
    </row>
    <row r="133" spans="1:12" ht="18" hidden="1" customHeight="1">
      <c r="A133" s="1182"/>
      <c r="B133" s="1182"/>
      <c r="C133" s="1182"/>
      <c r="D133" s="182"/>
      <c r="E133" s="182"/>
      <c r="F133" s="1183"/>
      <c r="G133" s="1183"/>
      <c r="H133" s="183">
        <f t="shared" si="6"/>
        <v>0</v>
      </c>
      <c r="I133" s="176"/>
      <c r="J133" s="98"/>
      <c r="K133" s="98"/>
      <c r="L133" s="98"/>
    </row>
    <row r="134" spans="1:12" ht="18" hidden="1" customHeight="1">
      <c r="A134" s="1182"/>
      <c r="B134" s="1182"/>
      <c r="C134" s="1182"/>
      <c r="D134" s="182"/>
      <c r="E134" s="182"/>
      <c r="F134" s="1183"/>
      <c r="G134" s="1183"/>
      <c r="H134" s="183">
        <f t="shared" si="6"/>
        <v>0</v>
      </c>
      <c r="I134" s="176"/>
      <c r="J134" s="98"/>
      <c r="K134" s="98"/>
      <c r="L134" s="98"/>
    </row>
    <row r="135" spans="1:12" ht="18" hidden="1" customHeight="1">
      <c r="A135" s="1182"/>
      <c r="B135" s="1182"/>
      <c r="C135" s="1182"/>
      <c r="D135" s="182"/>
      <c r="E135" s="182"/>
      <c r="F135" s="1183"/>
      <c r="G135" s="1183"/>
      <c r="H135" s="183">
        <f t="shared" si="6"/>
        <v>0</v>
      </c>
      <c r="I135" s="176"/>
      <c r="J135" s="98"/>
      <c r="K135" s="98"/>
      <c r="L135" s="98"/>
    </row>
    <row r="136" spans="1:12" ht="18" hidden="1" customHeight="1">
      <c r="A136" s="1182"/>
      <c r="B136" s="1182"/>
      <c r="C136" s="1182"/>
      <c r="D136" s="182"/>
      <c r="E136" s="182"/>
      <c r="F136" s="1183"/>
      <c r="G136" s="1183"/>
      <c r="H136" s="183">
        <f t="shared" si="6"/>
        <v>0</v>
      </c>
      <c r="I136" s="176"/>
      <c r="J136" s="98"/>
      <c r="K136" s="98"/>
      <c r="L136" s="98"/>
    </row>
    <row r="137" spans="1:12" ht="18" hidden="1" customHeight="1">
      <c r="A137" s="1182"/>
      <c r="B137" s="1182"/>
      <c r="C137" s="1182"/>
      <c r="D137" s="182"/>
      <c r="E137" s="182"/>
      <c r="F137" s="1183"/>
      <c r="G137" s="1183"/>
      <c r="H137" s="183">
        <f t="shared" si="6"/>
        <v>0</v>
      </c>
      <c r="I137" s="176"/>
      <c r="J137" s="98"/>
      <c r="K137" s="98"/>
      <c r="L137" s="98"/>
    </row>
    <row r="138" spans="1:12" ht="18" hidden="1" customHeight="1">
      <c r="A138" s="1182"/>
      <c r="B138" s="1182"/>
      <c r="C138" s="1182"/>
      <c r="D138" s="182"/>
      <c r="E138" s="182"/>
      <c r="F138" s="1183"/>
      <c r="G138" s="1183"/>
      <c r="H138" s="183">
        <f t="shared" si="6"/>
        <v>0</v>
      </c>
      <c r="I138" s="176"/>
      <c r="J138" s="98"/>
      <c r="K138" s="98"/>
      <c r="L138" s="98"/>
    </row>
    <row r="139" spans="1:12" ht="18" hidden="1" customHeight="1">
      <c r="A139" s="1182"/>
      <c r="B139" s="1182"/>
      <c r="C139" s="1182"/>
      <c r="D139" s="182"/>
      <c r="E139" s="182"/>
      <c r="F139" s="1183"/>
      <c r="G139" s="1183"/>
      <c r="H139" s="183">
        <f t="shared" si="6"/>
        <v>0</v>
      </c>
      <c r="I139" s="176"/>
      <c r="J139" s="98"/>
      <c r="K139" s="98"/>
      <c r="L139" s="98"/>
    </row>
    <row r="140" spans="1:12" ht="18" hidden="1" customHeight="1">
      <c r="A140" s="1182"/>
      <c r="B140" s="1182"/>
      <c r="C140" s="1182"/>
      <c r="D140" s="182"/>
      <c r="E140" s="182"/>
      <c r="F140" s="1183"/>
      <c r="G140" s="1183"/>
      <c r="H140" s="183">
        <f t="shared" si="6"/>
        <v>0</v>
      </c>
      <c r="I140" s="176"/>
      <c r="J140" s="98"/>
      <c r="K140" s="98"/>
      <c r="L140" s="98"/>
    </row>
    <row r="141" spans="1:12" ht="18" hidden="1" customHeight="1">
      <c r="A141" s="1182"/>
      <c r="B141" s="1182"/>
      <c r="C141" s="1182"/>
      <c r="D141" s="182"/>
      <c r="E141" s="182"/>
      <c r="F141" s="1183"/>
      <c r="G141" s="1183"/>
      <c r="H141" s="183">
        <f t="shared" si="6"/>
        <v>0</v>
      </c>
      <c r="I141" s="176"/>
      <c r="J141" s="98"/>
      <c r="K141" s="98"/>
      <c r="L141" s="98"/>
    </row>
    <row r="142" spans="1:12" ht="18" hidden="1" customHeight="1">
      <c r="A142" s="1182"/>
      <c r="B142" s="1182"/>
      <c r="C142" s="1182"/>
      <c r="D142" s="182"/>
      <c r="E142" s="182"/>
      <c r="F142" s="1183"/>
      <c r="G142" s="1183"/>
      <c r="H142" s="183">
        <f t="shared" si="6"/>
        <v>0</v>
      </c>
      <c r="I142" s="176"/>
      <c r="J142" s="98"/>
      <c r="K142" s="98"/>
      <c r="L142" s="98"/>
    </row>
    <row r="143" spans="1:12" ht="18" hidden="1" customHeight="1">
      <c r="A143" s="1182"/>
      <c r="B143" s="1182"/>
      <c r="C143" s="1182"/>
      <c r="D143" s="182"/>
      <c r="E143" s="182"/>
      <c r="F143" s="1183"/>
      <c r="G143" s="1183"/>
      <c r="H143" s="183">
        <f t="shared" si="6"/>
        <v>0</v>
      </c>
      <c r="I143" s="176"/>
      <c r="J143" s="98"/>
      <c r="K143" s="98"/>
      <c r="L143" s="98"/>
    </row>
    <row r="144" spans="1:12" ht="18" hidden="1" customHeight="1">
      <c r="A144" s="1182"/>
      <c r="B144" s="1182"/>
      <c r="C144" s="1182"/>
      <c r="D144" s="182"/>
      <c r="E144" s="182"/>
      <c r="F144" s="1183"/>
      <c r="G144" s="1183"/>
      <c r="H144" s="183">
        <f t="shared" si="6"/>
        <v>0</v>
      </c>
      <c r="I144" s="176"/>
      <c r="J144" s="98"/>
      <c r="K144" s="98"/>
      <c r="L144" s="98"/>
    </row>
    <row r="145" spans="1:12" ht="18" hidden="1" customHeight="1">
      <c r="A145" s="1182"/>
      <c r="B145" s="1182"/>
      <c r="C145" s="1182"/>
      <c r="D145" s="182"/>
      <c r="E145" s="182"/>
      <c r="F145" s="1183"/>
      <c r="G145" s="1183"/>
      <c r="H145" s="183">
        <f t="shared" si="6"/>
        <v>0</v>
      </c>
      <c r="I145" s="176"/>
      <c r="J145" s="98"/>
      <c r="K145" s="98"/>
      <c r="L145" s="98"/>
    </row>
    <row r="146" spans="1:12" ht="18" hidden="1" customHeight="1">
      <c r="A146" s="1182"/>
      <c r="B146" s="1182"/>
      <c r="C146" s="1182"/>
      <c r="D146" s="182"/>
      <c r="E146" s="182"/>
      <c r="F146" s="1183"/>
      <c r="G146" s="1183"/>
      <c r="H146" s="183">
        <f t="shared" si="6"/>
        <v>0</v>
      </c>
      <c r="I146" s="176"/>
      <c r="J146" s="98"/>
      <c r="K146" s="98"/>
      <c r="L146" s="98"/>
    </row>
    <row r="147" spans="1:12" ht="18" hidden="1" customHeight="1">
      <c r="A147" s="1182"/>
      <c r="B147" s="1182"/>
      <c r="C147" s="1182"/>
      <c r="D147" s="182"/>
      <c r="E147" s="182"/>
      <c r="F147" s="1183"/>
      <c r="G147" s="1183"/>
      <c r="H147" s="183">
        <f t="shared" si="6"/>
        <v>0</v>
      </c>
      <c r="I147" s="176"/>
      <c r="J147" s="98"/>
      <c r="K147" s="98"/>
      <c r="L147" s="98"/>
    </row>
    <row r="148" spans="1:12" ht="18" hidden="1" customHeight="1">
      <c r="A148" s="1182"/>
      <c r="B148" s="1182"/>
      <c r="C148" s="1182"/>
      <c r="D148" s="182"/>
      <c r="E148" s="182"/>
      <c r="F148" s="1183"/>
      <c r="G148" s="1183"/>
      <c r="H148" s="183">
        <f t="shared" si="6"/>
        <v>0</v>
      </c>
      <c r="I148" s="176"/>
      <c r="J148" s="98"/>
      <c r="K148" s="98"/>
      <c r="L148" s="98"/>
    </row>
    <row r="149" spans="1:12" ht="18" hidden="1" customHeight="1">
      <c r="A149" s="1182"/>
      <c r="B149" s="1182"/>
      <c r="C149" s="1182"/>
      <c r="D149" s="182"/>
      <c r="E149" s="182"/>
      <c r="F149" s="1183"/>
      <c r="G149" s="1183"/>
      <c r="H149" s="183">
        <f t="shared" si="6"/>
        <v>0</v>
      </c>
      <c r="I149" s="176"/>
      <c r="J149" s="98"/>
      <c r="K149" s="98"/>
      <c r="L149" s="98"/>
    </row>
    <row r="150" spans="1:12" ht="18" hidden="1" customHeight="1">
      <c r="A150" s="1182"/>
      <c r="B150" s="1182"/>
      <c r="C150" s="1182"/>
      <c r="D150" s="182"/>
      <c r="E150" s="182"/>
      <c r="F150" s="1183"/>
      <c r="G150" s="1183"/>
      <c r="H150" s="183">
        <f t="shared" si="6"/>
        <v>0</v>
      </c>
      <c r="I150" s="176"/>
      <c r="J150" s="98"/>
      <c r="K150" s="98"/>
      <c r="L150" s="98"/>
    </row>
    <row r="151" spans="1:12" ht="18" hidden="1" customHeight="1">
      <c r="A151" s="1182"/>
      <c r="B151" s="1182"/>
      <c r="C151" s="1182"/>
      <c r="D151" s="182"/>
      <c r="E151" s="182"/>
      <c r="F151" s="1183"/>
      <c r="G151" s="1183"/>
      <c r="H151" s="183">
        <f t="shared" ref="H151:H176" si="7">E151*F151</f>
        <v>0</v>
      </c>
      <c r="I151" s="176"/>
      <c r="J151" s="98"/>
      <c r="K151" s="98"/>
      <c r="L151" s="98"/>
    </row>
    <row r="152" spans="1:12" ht="18" hidden="1" customHeight="1">
      <c r="A152" s="1182"/>
      <c r="B152" s="1182"/>
      <c r="C152" s="1182"/>
      <c r="D152" s="182"/>
      <c r="E152" s="182"/>
      <c r="F152" s="1183"/>
      <c r="G152" s="1183"/>
      <c r="H152" s="183">
        <f t="shared" ref="H152:H164" si="8">E152*F152</f>
        <v>0</v>
      </c>
      <c r="I152" s="176"/>
      <c r="J152" s="98"/>
      <c r="K152" s="98"/>
      <c r="L152" s="98"/>
    </row>
    <row r="153" spans="1:12" ht="18" hidden="1" customHeight="1">
      <c r="A153" s="1182"/>
      <c r="B153" s="1182"/>
      <c r="C153" s="1182"/>
      <c r="D153" s="182"/>
      <c r="E153" s="182"/>
      <c r="F153" s="1183"/>
      <c r="G153" s="1183"/>
      <c r="H153" s="183">
        <f t="shared" si="8"/>
        <v>0</v>
      </c>
      <c r="I153" s="176"/>
      <c r="J153" s="98"/>
      <c r="K153" s="98"/>
      <c r="L153" s="98"/>
    </row>
    <row r="154" spans="1:12" ht="18" hidden="1" customHeight="1">
      <c r="A154" s="1182"/>
      <c r="B154" s="1182"/>
      <c r="C154" s="1182"/>
      <c r="D154" s="182"/>
      <c r="E154" s="182"/>
      <c r="F154" s="1183"/>
      <c r="G154" s="1183"/>
      <c r="H154" s="183">
        <f t="shared" si="8"/>
        <v>0</v>
      </c>
      <c r="I154" s="176"/>
      <c r="J154" s="98"/>
      <c r="K154" s="98"/>
      <c r="L154" s="98"/>
    </row>
    <row r="155" spans="1:12" ht="18" hidden="1" customHeight="1">
      <c r="A155" s="1182"/>
      <c r="B155" s="1182"/>
      <c r="C155" s="1182"/>
      <c r="D155" s="182"/>
      <c r="E155" s="182"/>
      <c r="F155" s="1183"/>
      <c r="G155" s="1183"/>
      <c r="H155" s="183">
        <f t="shared" si="8"/>
        <v>0</v>
      </c>
      <c r="I155" s="176"/>
      <c r="J155" s="98"/>
      <c r="K155" s="98"/>
      <c r="L155" s="98"/>
    </row>
    <row r="156" spans="1:12" ht="18" hidden="1" customHeight="1">
      <c r="A156" s="1182"/>
      <c r="B156" s="1182"/>
      <c r="C156" s="1182"/>
      <c r="D156" s="182"/>
      <c r="E156" s="182"/>
      <c r="F156" s="1183"/>
      <c r="G156" s="1183"/>
      <c r="H156" s="183">
        <f t="shared" si="8"/>
        <v>0</v>
      </c>
      <c r="I156" s="176"/>
      <c r="J156" s="98"/>
      <c r="K156" s="98"/>
      <c r="L156" s="98"/>
    </row>
    <row r="157" spans="1:12" ht="18" hidden="1" customHeight="1">
      <c r="A157" s="1182"/>
      <c r="B157" s="1182"/>
      <c r="C157" s="1182"/>
      <c r="D157" s="182"/>
      <c r="E157" s="182"/>
      <c r="F157" s="1183"/>
      <c r="G157" s="1183"/>
      <c r="H157" s="183">
        <f t="shared" si="8"/>
        <v>0</v>
      </c>
      <c r="I157" s="176"/>
      <c r="J157" s="98"/>
      <c r="K157" s="98"/>
      <c r="L157" s="98"/>
    </row>
    <row r="158" spans="1:12" ht="18" hidden="1" customHeight="1">
      <c r="A158" s="1182"/>
      <c r="B158" s="1182"/>
      <c r="C158" s="1182"/>
      <c r="D158" s="182"/>
      <c r="E158" s="182"/>
      <c r="F158" s="1183"/>
      <c r="G158" s="1183"/>
      <c r="H158" s="183">
        <f t="shared" si="8"/>
        <v>0</v>
      </c>
      <c r="I158" s="176"/>
      <c r="J158" s="98"/>
      <c r="K158" s="98"/>
      <c r="L158" s="98"/>
    </row>
    <row r="159" spans="1:12" ht="18" hidden="1" customHeight="1">
      <c r="A159" s="1182"/>
      <c r="B159" s="1182"/>
      <c r="C159" s="1182"/>
      <c r="D159" s="182"/>
      <c r="E159" s="182"/>
      <c r="F159" s="1183"/>
      <c r="G159" s="1183"/>
      <c r="H159" s="183">
        <f t="shared" si="8"/>
        <v>0</v>
      </c>
      <c r="I159" s="176"/>
      <c r="J159" s="98"/>
      <c r="K159" s="98"/>
      <c r="L159" s="98"/>
    </row>
    <row r="160" spans="1:12" ht="18" hidden="1" customHeight="1">
      <c r="A160" s="1182"/>
      <c r="B160" s="1182"/>
      <c r="C160" s="1182"/>
      <c r="D160" s="182"/>
      <c r="E160" s="182"/>
      <c r="F160" s="1183"/>
      <c r="G160" s="1183"/>
      <c r="H160" s="183">
        <f t="shared" si="8"/>
        <v>0</v>
      </c>
      <c r="I160" s="176"/>
      <c r="J160" s="98"/>
      <c r="K160" s="98"/>
      <c r="L160" s="98"/>
    </row>
    <row r="161" spans="1:13" ht="18" hidden="1" customHeight="1">
      <c r="A161" s="1182"/>
      <c r="B161" s="1182"/>
      <c r="C161" s="1182"/>
      <c r="D161" s="182"/>
      <c r="E161" s="182"/>
      <c r="F161" s="1183"/>
      <c r="G161" s="1183"/>
      <c r="H161" s="183">
        <f t="shared" si="8"/>
        <v>0</v>
      </c>
      <c r="I161" s="176"/>
      <c r="J161" s="98"/>
      <c r="K161" s="98"/>
      <c r="L161" s="98"/>
    </row>
    <row r="162" spans="1:13" ht="18" hidden="1" customHeight="1">
      <c r="A162" s="1182"/>
      <c r="B162" s="1182"/>
      <c r="C162" s="1182"/>
      <c r="D162" s="182"/>
      <c r="E162" s="182"/>
      <c r="F162" s="1183"/>
      <c r="G162" s="1183"/>
      <c r="H162" s="183">
        <f t="shared" si="8"/>
        <v>0</v>
      </c>
      <c r="I162" s="176"/>
      <c r="J162" s="98"/>
      <c r="K162" s="98"/>
      <c r="L162" s="98"/>
    </row>
    <row r="163" spans="1:13" ht="18" hidden="1" customHeight="1">
      <c r="A163" s="1182"/>
      <c r="B163" s="1182"/>
      <c r="C163" s="1182"/>
      <c r="D163" s="182"/>
      <c r="E163" s="182"/>
      <c r="F163" s="1183"/>
      <c r="G163" s="1183"/>
      <c r="H163" s="183">
        <f t="shared" si="8"/>
        <v>0</v>
      </c>
      <c r="I163" s="176"/>
      <c r="J163" s="98"/>
      <c r="K163" s="98"/>
      <c r="L163" s="98"/>
    </row>
    <row r="164" spans="1:13" ht="18" hidden="1" customHeight="1">
      <c r="A164" s="1182"/>
      <c r="B164" s="1182"/>
      <c r="C164" s="1182"/>
      <c r="D164" s="182"/>
      <c r="E164" s="182"/>
      <c r="F164" s="1183"/>
      <c r="G164" s="1183"/>
      <c r="H164" s="183">
        <f t="shared" si="8"/>
        <v>0</v>
      </c>
      <c r="I164" s="176"/>
      <c r="J164" s="98"/>
      <c r="K164" s="98"/>
      <c r="L164" s="98"/>
    </row>
    <row r="165" spans="1:13" ht="18" hidden="1" customHeight="1">
      <c r="A165" s="1182"/>
      <c r="B165" s="1182"/>
      <c r="C165" s="1182"/>
      <c r="D165" s="182"/>
      <c r="E165" s="182"/>
      <c r="F165" s="1183"/>
      <c r="G165" s="1183"/>
      <c r="H165" s="183">
        <f t="shared" si="7"/>
        <v>0</v>
      </c>
      <c r="I165" s="176"/>
      <c r="J165" s="98"/>
      <c r="K165" s="98"/>
      <c r="L165" s="98"/>
    </row>
    <row r="166" spans="1:13" ht="18" hidden="1" customHeight="1">
      <c r="A166" s="1182"/>
      <c r="B166" s="1182"/>
      <c r="C166" s="1182"/>
      <c r="D166" s="182"/>
      <c r="E166" s="182"/>
      <c r="F166" s="1183"/>
      <c r="G166" s="1183"/>
      <c r="H166" s="183">
        <f t="shared" si="7"/>
        <v>0</v>
      </c>
      <c r="I166" s="176"/>
      <c r="J166" s="98"/>
      <c r="K166" s="98"/>
      <c r="L166" s="98"/>
    </row>
    <row r="167" spans="1:13" ht="18" hidden="1" customHeight="1">
      <c r="A167" s="1182"/>
      <c r="B167" s="1182"/>
      <c r="C167" s="1182"/>
      <c r="D167" s="182"/>
      <c r="E167" s="182"/>
      <c r="F167" s="1183"/>
      <c r="G167" s="1183"/>
      <c r="H167" s="183">
        <f t="shared" si="7"/>
        <v>0</v>
      </c>
      <c r="I167" s="176"/>
      <c r="J167" s="98"/>
      <c r="K167" s="98"/>
      <c r="L167" s="98"/>
    </row>
    <row r="168" spans="1:13" ht="18" hidden="1" customHeight="1">
      <c r="A168" s="1182"/>
      <c r="B168" s="1182"/>
      <c r="C168" s="1182"/>
      <c r="D168" s="182"/>
      <c r="E168" s="182"/>
      <c r="F168" s="1183"/>
      <c r="G168" s="1183"/>
      <c r="H168" s="183">
        <f t="shared" si="7"/>
        <v>0</v>
      </c>
      <c r="I168" s="176"/>
      <c r="J168" s="98"/>
      <c r="K168" s="98"/>
      <c r="L168" s="98"/>
    </row>
    <row r="169" spans="1:13" ht="18" hidden="1" customHeight="1">
      <c r="A169" s="1182"/>
      <c r="B169" s="1182"/>
      <c r="C169" s="1182"/>
      <c r="D169" s="182"/>
      <c r="E169" s="182"/>
      <c r="F169" s="1183"/>
      <c r="G169" s="1183"/>
      <c r="H169" s="183">
        <f t="shared" si="7"/>
        <v>0</v>
      </c>
      <c r="I169" s="176"/>
      <c r="J169" s="98"/>
      <c r="K169" s="98"/>
      <c r="L169" s="98"/>
    </row>
    <row r="170" spans="1:13" ht="18" hidden="1" customHeight="1">
      <c r="A170" s="1182"/>
      <c r="B170" s="1182"/>
      <c r="C170" s="1182"/>
      <c r="D170" s="182"/>
      <c r="E170" s="182"/>
      <c r="F170" s="1183"/>
      <c r="G170" s="1183"/>
      <c r="H170" s="183">
        <f t="shared" si="7"/>
        <v>0</v>
      </c>
      <c r="I170" s="176"/>
      <c r="J170" s="98"/>
      <c r="K170" s="98"/>
      <c r="L170" s="98"/>
    </row>
    <row r="171" spans="1:13" ht="18" hidden="1" customHeight="1">
      <c r="A171" s="1182"/>
      <c r="B171" s="1182"/>
      <c r="C171" s="1182"/>
      <c r="D171" s="182"/>
      <c r="E171" s="182"/>
      <c r="F171" s="1183"/>
      <c r="G171" s="1183"/>
      <c r="H171" s="183">
        <f t="shared" si="7"/>
        <v>0</v>
      </c>
      <c r="I171" s="176"/>
      <c r="J171" s="98"/>
      <c r="K171" s="98"/>
      <c r="L171" s="98"/>
    </row>
    <row r="172" spans="1:13" ht="18" hidden="1" customHeight="1">
      <c r="A172" s="1182"/>
      <c r="B172" s="1182"/>
      <c r="C172" s="1182"/>
      <c r="D172" s="182"/>
      <c r="E172" s="182"/>
      <c r="F172" s="1183"/>
      <c r="G172" s="1183"/>
      <c r="H172" s="183">
        <f t="shared" si="7"/>
        <v>0</v>
      </c>
      <c r="I172" s="176"/>
      <c r="J172" s="98"/>
      <c r="K172" s="98"/>
      <c r="L172" s="98"/>
      <c r="M172" s="415"/>
    </row>
    <row r="173" spans="1:13" ht="18" hidden="1" customHeight="1">
      <c r="A173" s="1182"/>
      <c r="B173" s="1182"/>
      <c r="C173" s="1182"/>
      <c r="D173" s="182"/>
      <c r="E173" s="182"/>
      <c r="F173" s="1183"/>
      <c r="G173" s="1183"/>
      <c r="H173" s="183">
        <f t="shared" si="7"/>
        <v>0</v>
      </c>
      <c r="I173" s="176"/>
      <c r="J173" s="98"/>
      <c r="K173" s="98"/>
      <c r="L173" s="98"/>
    </row>
    <row r="174" spans="1:13" ht="18" hidden="1" customHeight="1">
      <c r="A174" s="1182"/>
      <c r="B174" s="1182"/>
      <c r="C174" s="1182"/>
      <c r="D174" s="182"/>
      <c r="E174" s="182"/>
      <c r="F174" s="1183"/>
      <c r="G174" s="1183"/>
      <c r="H174" s="183">
        <f t="shared" si="7"/>
        <v>0</v>
      </c>
      <c r="I174" s="176"/>
      <c r="J174" s="98"/>
      <c r="K174" s="98"/>
      <c r="L174" s="98"/>
    </row>
    <row r="175" spans="1:13" ht="18" hidden="1" customHeight="1">
      <c r="A175" s="1182"/>
      <c r="B175" s="1182"/>
      <c r="C175" s="1182"/>
      <c r="D175" s="182"/>
      <c r="E175" s="182"/>
      <c r="F175" s="1183"/>
      <c r="G175" s="1183"/>
      <c r="H175" s="183">
        <f t="shared" si="7"/>
        <v>0</v>
      </c>
      <c r="I175" s="176"/>
      <c r="J175" s="98"/>
      <c r="K175" s="98"/>
      <c r="L175" s="98"/>
    </row>
    <row r="176" spans="1:13" ht="18" hidden="1" customHeight="1">
      <c r="A176" s="1182"/>
      <c r="B176" s="1182"/>
      <c r="C176" s="1182"/>
      <c r="D176" s="182"/>
      <c r="E176" s="182"/>
      <c r="F176" s="1183"/>
      <c r="G176" s="1183"/>
      <c r="H176" s="183">
        <f t="shared" si="7"/>
        <v>0</v>
      </c>
      <c r="I176" s="176"/>
      <c r="J176" s="98"/>
      <c r="K176" s="98"/>
      <c r="L176" s="98"/>
    </row>
    <row r="177" spans="1:12" ht="18" customHeight="1">
      <c r="A177" s="1184" t="s">
        <v>472</v>
      </c>
      <c r="B177" s="1184"/>
      <c r="C177" s="1184"/>
      <c r="D177" s="1184"/>
      <c r="E177" s="1184"/>
      <c r="F177" s="1184"/>
      <c r="G177" s="1184"/>
      <c r="H177" s="184">
        <f>SUM(H122:H176)</f>
        <v>0</v>
      </c>
      <c r="I177" s="184">
        <f>SUM(I122:I176)</f>
        <v>0</v>
      </c>
      <c r="J177" s="184">
        <f>SUM(J122:J176)</f>
        <v>0</v>
      </c>
      <c r="K177" s="184">
        <f>SUM(K122:K176)</f>
        <v>0</v>
      </c>
      <c r="L177" s="184">
        <f>SUM(L122:L176)</f>
        <v>0</v>
      </c>
    </row>
    <row r="178" spans="1:12" ht="18" customHeight="1">
      <c r="A178" s="1197" t="s">
        <v>473</v>
      </c>
      <c r="B178" s="1198"/>
      <c r="C178" s="1198"/>
      <c r="D178" s="1198"/>
      <c r="E178" s="1198"/>
      <c r="F178" s="1198"/>
      <c r="G178" s="1198"/>
      <c r="H178" s="1198"/>
      <c r="I178" s="1198"/>
      <c r="J178" s="1198"/>
      <c r="K178" s="1198"/>
      <c r="L178" s="1199"/>
    </row>
    <row r="179" spans="1:12" ht="18" customHeight="1">
      <c r="A179" s="1182"/>
      <c r="B179" s="1182"/>
      <c r="C179" s="1182"/>
      <c r="D179" s="40"/>
      <c r="E179" s="40"/>
      <c r="F179" s="1183"/>
      <c r="G179" s="1183"/>
      <c r="H179" s="183">
        <f>E179*F179</f>
        <v>0</v>
      </c>
      <c r="I179" s="176"/>
      <c r="J179" s="98"/>
      <c r="K179" s="98"/>
      <c r="L179" s="98"/>
    </row>
    <row r="180" spans="1:12" ht="18" customHeight="1">
      <c r="A180" s="1182"/>
      <c r="B180" s="1182"/>
      <c r="C180" s="1182"/>
      <c r="D180" s="40"/>
      <c r="E180" s="40"/>
      <c r="F180" s="1183"/>
      <c r="G180" s="1183"/>
      <c r="H180" s="183">
        <f t="shared" ref="H180:H219" si="9">E180*F180</f>
        <v>0</v>
      </c>
      <c r="I180" s="176"/>
      <c r="J180" s="98"/>
      <c r="K180" s="98"/>
      <c r="L180" s="98"/>
    </row>
    <row r="181" spans="1:12" ht="18" customHeight="1">
      <c r="A181" s="1182"/>
      <c r="B181" s="1182"/>
      <c r="C181" s="1182"/>
      <c r="D181" s="40"/>
      <c r="E181" s="40"/>
      <c r="F181" s="1183"/>
      <c r="G181" s="1183"/>
      <c r="H181" s="183">
        <f t="shared" si="9"/>
        <v>0</v>
      </c>
      <c r="I181" s="176"/>
      <c r="J181" s="98"/>
      <c r="K181" s="98"/>
      <c r="L181" s="98"/>
    </row>
    <row r="182" spans="1:12" ht="18" hidden="1" customHeight="1">
      <c r="A182" s="1182"/>
      <c r="B182" s="1182"/>
      <c r="C182" s="1182"/>
      <c r="D182" s="40"/>
      <c r="E182" s="40"/>
      <c r="F182" s="1183"/>
      <c r="G182" s="1183"/>
      <c r="H182" s="183">
        <f t="shared" si="9"/>
        <v>0</v>
      </c>
      <c r="I182" s="176"/>
      <c r="J182" s="98"/>
      <c r="K182" s="98"/>
      <c r="L182" s="98"/>
    </row>
    <row r="183" spans="1:12" ht="18" hidden="1" customHeight="1">
      <c r="A183" s="1182"/>
      <c r="B183" s="1182"/>
      <c r="C183" s="1182"/>
      <c r="D183" s="40"/>
      <c r="E183" s="40"/>
      <c r="F183" s="1183"/>
      <c r="G183" s="1183"/>
      <c r="H183" s="183">
        <f t="shared" si="9"/>
        <v>0</v>
      </c>
      <c r="I183" s="176"/>
      <c r="J183" s="98"/>
      <c r="K183" s="98"/>
      <c r="L183" s="98"/>
    </row>
    <row r="184" spans="1:12" ht="18" hidden="1" customHeight="1">
      <c r="A184" s="1182"/>
      <c r="B184" s="1182"/>
      <c r="C184" s="1182"/>
      <c r="D184" s="40"/>
      <c r="E184" s="40"/>
      <c r="F184" s="1183"/>
      <c r="G184" s="1183"/>
      <c r="H184" s="183">
        <f t="shared" si="9"/>
        <v>0</v>
      </c>
      <c r="I184" s="176"/>
      <c r="J184" s="98"/>
      <c r="K184" s="98"/>
      <c r="L184" s="98"/>
    </row>
    <row r="185" spans="1:12" ht="18" hidden="1" customHeight="1">
      <c r="A185" s="1182"/>
      <c r="B185" s="1182"/>
      <c r="C185" s="1182"/>
      <c r="D185" s="40"/>
      <c r="E185" s="40"/>
      <c r="F185" s="1183"/>
      <c r="G185" s="1183"/>
      <c r="H185" s="183">
        <f t="shared" si="9"/>
        <v>0</v>
      </c>
      <c r="I185" s="176"/>
      <c r="J185" s="98"/>
      <c r="K185" s="98"/>
      <c r="L185" s="98"/>
    </row>
    <row r="186" spans="1:12" ht="18" hidden="1" customHeight="1">
      <c r="A186" s="1182"/>
      <c r="B186" s="1182"/>
      <c r="C186" s="1182"/>
      <c r="D186" s="40"/>
      <c r="E186" s="40"/>
      <c r="F186" s="1183"/>
      <c r="G186" s="1183"/>
      <c r="H186" s="183">
        <f t="shared" si="9"/>
        <v>0</v>
      </c>
      <c r="I186" s="176"/>
      <c r="J186" s="98"/>
      <c r="K186" s="98"/>
      <c r="L186" s="98"/>
    </row>
    <row r="187" spans="1:12" ht="18" hidden="1" customHeight="1">
      <c r="A187" s="1182"/>
      <c r="B187" s="1182"/>
      <c r="C187" s="1182"/>
      <c r="D187" s="40"/>
      <c r="E187" s="40"/>
      <c r="F187" s="1183"/>
      <c r="G187" s="1183"/>
      <c r="H187" s="183">
        <f t="shared" si="9"/>
        <v>0</v>
      </c>
      <c r="I187" s="176"/>
      <c r="J187" s="98"/>
      <c r="K187" s="98"/>
      <c r="L187" s="98"/>
    </row>
    <row r="188" spans="1:12" ht="18" hidden="1" customHeight="1">
      <c r="A188" s="1182"/>
      <c r="B188" s="1182"/>
      <c r="C188" s="1182"/>
      <c r="D188" s="40"/>
      <c r="E188" s="40"/>
      <c r="F188" s="1183"/>
      <c r="G188" s="1183"/>
      <c r="H188" s="183">
        <f t="shared" si="9"/>
        <v>0</v>
      </c>
      <c r="I188" s="176"/>
      <c r="J188" s="98"/>
      <c r="K188" s="98"/>
      <c r="L188" s="98"/>
    </row>
    <row r="189" spans="1:12" ht="18" hidden="1" customHeight="1">
      <c r="A189" s="1182"/>
      <c r="B189" s="1182"/>
      <c r="C189" s="1182"/>
      <c r="D189" s="40"/>
      <c r="E189" s="40"/>
      <c r="F189" s="1183"/>
      <c r="G189" s="1183"/>
      <c r="H189" s="183">
        <f t="shared" si="9"/>
        <v>0</v>
      </c>
      <c r="I189" s="176"/>
      <c r="J189" s="98"/>
      <c r="K189" s="98"/>
      <c r="L189" s="98"/>
    </row>
    <row r="190" spans="1:12" ht="18" hidden="1" customHeight="1">
      <c r="A190" s="1182"/>
      <c r="B190" s="1182"/>
      <c r="C190" s="1182"/>
      <c r="D190" s="40"/>
      <c r="E190" s="40"/>
      <c r="F190" s="1183"/>
      <c r="G190" s="1183"/>
      <c r="H190" s="183">
        <f t="shared" si="9"/>
        <v>0</v>
      </c>
      <c r="I190" s="176"/>
      <c r="J190" s="98"/>
      <c r="K190" s="98"/>
      <c r="L190" s="98"/>
    </row>
    <row r="191" spans="1:12" ht="18" hidden="1" customHeight="1">
      <c r="A191" s="1182"/>
      <c r="B191" s="1182"/>
      <c r="C191" s="1182"/>
      <c r="D191" s="40"/>
      <c r="E191" s="40"/>
      <c r="F191" s="1183"/>
      <c r="G191" s="1183"/>
      <c r="H191" s="183">
        <f t="shared" si="9"/>
        <v>0</v>
      </c>
      <c r="I191" s="176"/>
      <c r="J191" s="98"/>
      <c r="K191" s="98"/>
      <c r="L191" s="98"/>
    </row>
    <row r="192" spans="1:12" ht="18" hidden="1" customHeight="1">
      <c r="A192" s="1182"/>
      <c r="B192" s="1182"/>
      <c r="C192" s="1182"/>
      <c r="D192" s="40"/>
      <c r="E192" s="40"/>
      <c r="F192" s="1183"/>
      <c r="G192" s="1183"/>
      <c r="H192" s="183">
        <f t="shared" si="9"/>
        <v>0</v>
      </c>
      <c r="I192" s="176"/>
      <c r="J192" s="98"/>
      <c r="K192" s="98"/>
      <c r="L192" s="98"/>
    </row>
    <row r="193" spans="1:12" ht="18" hidden="1" customHeight="1">
      <c r="A193" s="1182"/>
      <c r="B193" s="1182"/>
      <c r="C193" s="1182"/>
      <c r="D193" s="40"/>
      <c r="E193" s="40"/>
      <c r="F193" s="1183"/>
      <c r="G193" s="1183"/>
      <c r="H193" s="183">
        <f t="shared" si="9"/>
        <v>0</v>
      </c>
      <c r="I193" s="176"/>
      <c r="J193" s="98"/>
      <c r="K193" s="98"/>
      <c r="L193" s="98"/>
    </row>
    <row r="194" spans="1:12" ht="18" hidden="1" customHeight="1">
      <c r="A194" s="1182"/>
      <c r="B194" s="1182"/>
      <c r="C194" s="1182"/>
      <c r="D194" s="40"/>
      <c r="E194" s="40"/>
      <c r="F194" s="1183"/>
      <c r="G194" s="1183"/>
      <c r="H194" s="183">
        <f t="shared" si="9"/>
        <v>0</v>
      </c>
      <c r="I194" s="176"/>
      <c r="J194" s="98"/>
      <c r="K194" s="98"/>
      <c r="L194" s="98"/>
    </row>
    <row r="195" spans="1:12" ht="18" hidden="1" customHeight="1">
      <c r="A195" s="1182"/>
      <c r="B195" s="1182"/>
      <c r="C195" s="1182"/>
      <c r="D195" s="40"/>
      <c r="E195" s="40"/>
      <c r="F195" s="1183"/>
      <c r="G195" s="1183"/>
      <c r="H195" s="183">
        <f t="shared" si="9"/>
        <v>0</v>
      </c>
      <c r="I195" s="176"/>
      <c r="J195" s="98"/>
      <c r="K195" s="98"/>
      <c r="L195" s="98"/>
    </row>
    <row r="196" spans="1:12" ht="18" hidden="1" customHeight="1">
      <c r="A196" s="1182"/>
      <c r="B196" s="1182"/>
      <c r="C196" s="1182"/>
      <c r="D196" s="40"/>
      <c r="E196" s="40"/>
      <c r="F196" s="1183"/>
      <c r="G196" s="1183"/>
      <c r="H196" s="183">
        <f t="shared" si="9"/>
        <v>0</v>
      </c>
      <c r="I196" s="176"/>
      <c r="J196" s="98"/>
      <c r="K196" s="98"/>
      <c r="L196" s="98"/>
    </row>
    <row r="197" spans="1:12" ht="18" hidden="1" customHeight="1">
      <c r="A197" s="1182"/>
      <c r="B197" s="1182"/>
      <c r="C197" s="1182"/>
      <c r="D197" s="40"/>
      <c r="E197" s="40"/>
      <c r="F197" s="1183"/>
      <c r="G197" s="1183"/>
      <c r="H197" s="183">
        <f t="shared" si="9"/>
        <v>0</v>
      </c>
      <c r="I197" s="176"/>
      <c r="J197" s="98"/>
      <c r="K197" s="98"/>
      <c r="L197" s="98"/>
    </row>
    <row r="198" spans="1:12" ht="18" hidden="1" customHeight="1">
      <c r="A198" s="1182"/>
      <c r="B198" s="1182"/>
      <c r="C198" s="1182"/>
      <c r="D198" s="40"/>
      <c r="E198" s="40"/>
      <c r="F198" s="1183"/>
      <c r="G198" s="1183"/>
      <c r="H198" s="183">
        <f t="shared" si="9"/>
        <v>0</v>
      </c>
      <c r="I198" s="176"/>
      <c r="J198" s="98"/>
      <c r="K198" s="98"/>
      <c r="L198" s="98"/>
    </row>
    <row r="199" spans="1:12" ht="18" hidden="1" customHeight="1">
      <c r="A199" s="1182"/>
      <c r="B199" s="1182"/>
      <c r="C199" s="1182"/>
      <c r="D199" s="40"/>
      <c r="E199" s="40"/>
      <c r="F199" s="1183"/>
      <c r="G199" s="1183"/>
      <c r="H199" s="183">
        <f t="shared" si="9"/>
        <v>0</v>
      </c>
      <c r="I199" s="176"/>
      <c r="J199" s="98"/>
      <c r="K199" s="98"/>
      <c r="L199" s="98"/>
    </row>
    <row r="200" spans="1:12" ht="18" hidden="1" customHeight="1">
      <c r="A200" s="1182"/>
      <c r="B200" s="1182"/>
      <c r="C200" s="1182"/>
      <c r="D200" s="40"/>
      <c r="E200" s="40"/>
      <c r="F200" s="1183"/>
      <c r="G200" s="1183"/>
      <c r="H200" s="183">
        <f t="shared" si="9"/>
        <v>0</v>
      </c>
      <c r="I200" s="176"/>
      <c r="J200" s="98"/>
      <c r="K200" s="98"/>
      <c r="L200" s="98"/>
    </row>
    <row r="201" spans="1:12" ht="18" hidden="1" customHeight="1">
      <c r="A201" s="1182"/>
      <c r="B201" s="1182"/>
      <c r="C201" s="1182"/>
      <c r="D201" s="40"/>
      <c r="E201" s="40"/>
      <c r="F201" s="1183"/>
      <c r="G201" s="1183"/>
      <c r="H201" s="183">
        <f t="shared" si="9"/>
        <v>0</v>
      </c>
      <c r="I201" s="176"/>
      <c r="J201" s="98"/>
      <c r="K201" s="98"/>
      <c r="L201" s="98"/>
    </row>
    <row r="202" spans="1:12" ht="18" hidden="1" customHeight="1">
      <c r="A202" s="1182"/>
      <c r="B202" s="1182"/>
      <c r="C202" s="1182"/>
      <c r="D202" s="40"/>
      <c r="E202" s="40"/>
      <c r="F202" s="1183"/>
      <c r="G202" s="1183"/>
      <c r="H202" s="183">
        <f t="shared" si="9"/>
        <v>0</v>
      </c>
      <c r="I202" s="176"/>
      <c r="J202" s="98"/>
      <c r="K202" s="98"/>
      <c r="L202" s="98"/>
    </row>
    <row r="203" spans="1:12" ht="18" hidden="1" customHeight="1">
      <c r="A203" s="1182"/>
      <c r="B203" s="1182"/>
      <c r="C203" s="1182"/>
      <c r="D203" s="40"/>
      <c r="E203" s="40"/>
      <c r="F203" s="1183"/>
      <c r="G203" s="1183"/>
      <c r="H203" s="183">
        <f t="shared" si="9"/>
        <v>0</v>
      </c>
      <c r="I203" s="176"/>
      <c r="J203" s="98"/>
      <c r="K203" s="98"/>
      <c r="L203" s="98"/>
    </row>
    <row r="204" spans="1:12" ht="18" hidden="1" customHeight="1">
      <c r="A204" s="1182"/>
      <c r="B204" s="1182"/>
      <c r="C204" s="1182"/>
      <c r="D204" s="40"/>
      <c r="E204" s="40"/>
      <c r="F204" s="1183"/>
      <c r="G204" s="1183"/>
      <c r="H204" s="183">
        <f t="shared" si="9"/>
        <v>0</v>
      </c>
      <c r="I204" s="176"/>
      <c r="J204" s="98"/>
      <c r="K204" s="98"/>
      <c r="L204" s="98"/>
    </row>
    <row r="205" spans="1:12" ht="18" hidden="1" customHeight="1">
      <c r="A205" s="1182"/>
      <c r="B205" s="1182"/>
      <c r="C205" s="1182"/>
      <c r="D205" s="40"/>
      <c r="E205" s="40"/>
      <c r="F205" s="1183"/>
      <c r="G205" s="1183"/>
      <c r="H205" s="183">
        <f t="shared" si="9"/>
        <v>0</v>
      </c>
      <c r="I205" s="176"/>
      <c r="J205" s="98"/>
      <c r="K205" s="98"/>
      <c r="L205" s="98"/>
    </row>
    <row r="206" spans="1:12" ht="18" hidden="1" customHeight="1">
      <c r="A206" s="1182"/>
      <c r="B206" s="1182"/>
      <c r="C206" s="1182"/>
      <c r="D206" s="40"/>
      <c r="E206" s="40"/>
      <c r="F206" s="1183"/>
      <c r="G206" s="1183"/>
      <c r="H206" s="183">
        <f t="shared" si="9"/>
        <v>0</v>
      </c>
      <c r="I206" s="176"/>
      <c r="J206" s="98"/>
      <c r="K206" s="98"/>
      <c r="L206" s="98"/>
    </row>
    <row r="207" spans="1:12" ht="18" hidden="1" customHeight="1">
      <c r="A207" s="1182"/>
      <c r="B207" s="1182"/>
      <c r="C207" s="1182"/>
      <c r="D207" s="40"/>
      <c r="E207" s="40"/>
      <c r="F207" s="1183"/>
      <c r="G207" s="1183"/>
      <c r="H207" s="183">
        <f t="shared" si="9"/>
        <v>0</v>
      </c>
      <c r="I207" s="176"/>
      <c r="J207" s="98"/>
      <c r="K207" s="98"/>
      <c r="L207" s="98"/>
    </row>
    <row r="208" spans="1:12" ht="18" hidden="1" customHeight="1">
      <c r="A208" s="1182"/>
      <c r="B208" s="1182"/>
      <c r="C208" s="1182"/>
      <c r="D208" s="40"/>
      <c r="E208" s="40"/>
      <c r="F208" s="1183"/>
      <c r="G208" s="1183"/>
      <c r="H208" s="183">
        <f t="shared" si="9"/>
        <v>0</v>
      </c>
      <c r="I208" s="176"/>
      <c r="J208" s="98"/>
      <c r="K208" s="98"/>
      <c r="L208" s="98"/>
    </row>
    <row r="209" spans="1:12" ht="18" hidden="1" customHeight="1">
      <c r="A209" s="1182"/>
      <c r="B209" s="1182"/>
      <c r="C209" s="1182"/>
      <c r="D209" s="40"/>
      <c r="E209" s="40"/>
      <c r="F209" s="1183"/>
      <c r="G209" s="1183"/>
      <c r="H209" s="183">
        <f t="shared" si="9"/>
        <v>0</v>
      </c>
      <c r="I209" s="176"/>
      <c r="J209" s="98"/>
      <c r="K209" s="98"/>
      <c r="L209" s="98"/>
    </row>
    <row r="210" spans="1:12" ht="18" hidden="1" customHeight="1">
      <c r="A210" s="1182"/>
      <c r="B210" s="1182"/>
      <c r="C210" s="1182"/>
      <c r="D210" s="40"/>
      <c r="E210" s="40"/>
      <c r="F210" s="1183"/>
      <c r="G210" s="1183"/>
      <c r="H210" s="183">
        <f t="shared" si="9"/>
        <v>0</v>
      </c>
      <c r="I210" s="176"/>
      <c r="J210" s="98"/>
      <c r="K210" s="98"/>
      <c r="L210" s="98"/>
    </row>
    <row r="211" spans="1:12" ht="18" hidden="1" customHeight="1">
      <c r="A211" s="1182"/>
      <c r="B211" s="1182"/>
      <c r="C211" s="1182"/>
      <c r="D211" s="40"/>
      <c r="E211" s="40"/>
      <c r="F211" s="1183"/>
      <c r="G211" s="1183"/>
      <c r="H211" s="183">
        <f t="shared" si="9"/>
        <v>0</v>
      </c>
      <c r="I211" s="176"/>
      <c r="J211" s="98"/>
      <c r="K211" s="98"/>
      <c r="L211" s="98"/>
    </row>
    <row r="212" spans="1:12" ht="18" hidden="1" customHeight="1">
      <c r="A212" s="1182"/>
      <c r="B212" s="1182"/>
      <c r="C212" s="1182"/>
      <c r="D212" s="40"/>
      <c r="E212" s="40"/>
      <c r="F212" s="1183"/>
      <c r="G212" s="1183"/>
      <c r="H212" s="183">
        <f t="shared" si="9"/>
        <v>0</v>
      </c>
      <c r="I212" s="176"/>
      <c r="J212" s="98"/>
      <c r="K212" s="98"/>
      <c r="L212" s="98"/>
    </row>
    <row r="213" spans="1:12" ht="18" hidden="1" customHeight="1">
      <c r="A213" s="1182"/>
      <c r="B213" s="1182"/>
      <c r="C213" s="1182"/>
      <c r="D213" s="40"/>
      <c r="E213" s="40"/>
      <c r="F213" s="1183"/>
      <c r="G213" s="1183"/>
      <c r="H213" s="183">
        <f t="shared" si="9"/>
        <v>0</v>
      </c>
      <c r="I213" s="176"/>
      <c r="J213" s="98"/>
      <c r="K213" s="98"/>
      <c r="L213" s="98"/>
    </row>
    <row r="214" spans="1:12" ht="18" hidden="1" customHeight="1">
      <c r="A214" s="1182"/>
      <c r="B214" s="1182"/>
      <c r="C214" s="1182"/>
      <c r="D214" s="40"/>
      <c r="E214" s="40"/>
      <c r="F214" s="1183"/>
      <c r="G214" s="1183"/>
      <c r="H214" s="183">
        <f t="shared" si="9"/>
        <v>0</v>
      </c>
      <c r="I214" s="176"/>
      <c r="J214" s="98"/>
      <c r="K214" s="98"/>
      <c r="L214" s="98"/>
    </row>
    <row r="215" spans="1:12" ht="18" hidden="1" customHeight="1">
      <c r="A215" s="1182"/>
      <c r="B215" s="1182"/>
      <c r="C215" s="1182"/>
      <c r="D215" s="40"/>
      <c r="E215" s="40"/>
      <c r="F215" s="1183"/>
      <c r="G215" s="1183"/>
      <c r="H215" s="183">
        <f t="shared" si="9"/>
        <v>0</v>
      </c>
      <c r="I215" s="176"/>
      <c r="J215" s="98"/>
      <c r="K215" s="98"/>
      <c r="L215" s="98"/>
    </row>
    <row r="216" spans="1:12" ht="18" hidden="1" customHeight="1">
      <c r="A216" s="1182"/>
      <c r="B216" s="1182"/>
      <c r="C216" s="1182"/>
      <c r="D216" s="40"/>
      <c r="E216" s="40"/>
      <c r="F216" s="1183"/>
      <c r="G216" s="1183"/>
      <c r="H216" s="183">
        <f t="shared" si="9"/>
        <v>0</v>
      </c>
      <c r="I216" s="176"/>
      <c r="J216" s="98"/>
      <c r="K216" s="98"/>
      <c r="L216" s="98"/>
    </row>
    <row r="217" spans="1:12" ht="18" hidden="1" customHeight="1">
      <c r="A217" s="1182"/>
      <c r="B217" s="1182"/>
      <c r="C217" s="1182"/>
      <c r="D217" s="40"/>
      <c r="E217" s="40"/>
      <c r="F217" s="1183"/>
      <c r="G217" s="1183"/>
      <c r="H217" s="183">
        <f t="shared" si="9"/>
        <v>0</v>
      </c>
      <c r="I217" s="176"/>
      <c r="J217" s="98"/>
      <c r="K217" s="98"/>
      <c r="L217" s="98"/>
    </row>
    <row r="218" spans="1:12" ht="18" hidden="1" customHeight="1">
      <c r="A218" s="1182"/>
      <c r="B218" s="1182"/>
      <c r="C218" s="1182"/>
      <c r="D218" s="40"/>
      <c r="E218" s="40"/>
      <c r="F218" s="1183"/>
      <c r="G218" s="1183"/>
      <c r="H218" s="183">
        <f t="shared" si="9"/>
        <v>0</v>
      </c>
      <c r="I218" s="176"/>
      <c r="J218" s="98"/>
      <c r="K218" s="98"/>
      <c r="L218" s="98"/>
    </row>
    <row r="219" spans="1:12" ht="18" hidden="1" customHeight="1">
      <c r="A219" s="1182"/>
      <c r="B219" s="1182"/>
      <c r="C219" s="1182"/>
      <c r="D219" s="40"/>
      <c r="E219" s="40"/>
      <c r="F219" s="1183"/>
      <c r="G219" s="1183"/>
      <c r="H219" s="183">
        <f t="shared" si="9"/>
        <v>0</v>
      </c>
      <c r="I219" s="176"/>
      <c r="J219" s="98"/>
      <c r="K219" s="98"/>
      <c r="L219" s="98"/>
    </row>
    <row r="220" spans="1:12" ht="18" hidden="1" customHeight="1">
      <c r="A220" s="1182"/>
      <c r="B220" s="1182"/>
      <c r="C220" s="1182"/>
      <c r="D220" s="40"/>
      <c r="E220" s="40"/>
      <c r="F220" s="1183"/>
      <c r="G220" s="1183"/>
      <c r="H220" s="183">
        <f t="shared" ref="H220:H232" si="10">E220*F220</f>
        <v>0</v>
      </c>
      <c r="I220" s="176"/>
      <c r="J220" s="98"/>
      <c r="K220" s="98"/>
      <c r="L220" s="98"/>
    </row>
    <row r="221" spans="1:12" ht="18" hidden="1" customHeight="1">
      <c r="A221" s="1182"/>
      <c r="B221" s="1182"/>
      <c r="C221" s="1182"/>
      <c r="D221" s="40"/>
      <c r="E221" s="40"/>
      <c r="F221" s="1183"/>
      <c r="G221" s="1183"/>
      <c r="H221" s="183">
        <f t="shared" si="10"/>
        <v>0</v>
      </c>
      <c r="I221" s="176"/>
      <c r="J221" s="98"/>
      <c r="K221" s="98"/>
      <c r="L221" s="98"/>
    </row>
    <row r="222" spans="1:12" ht="18" hidden="1" customHeight="1">
      <c r="A222" s="1182"/>
      <c r="B222" s="1182"/>
      <c r="C222" s="1182"/>
      <c r="D222" s="40"/>
      <c r="E222" s="40"/>
      <c r="F222" s="1183"/>
      <c r="G222" s="1183"/>
      <c r="H222" s="183">
        <f t="shared" si="10"/>
        <v>0</v>
      </c>
      <c r="I222" s="176"/>
      <c r="J222" s="98"/>
      <c r="K222" s="98"/>
      <c r="L222" s="98"/>
    </row>
    <row r="223" spans="1:12" ht="18" hidden="1" customHeight="1">
      <c r="A223" s="1182"/>
      <c r="B223" s="1182"/>
      <c r="C223" s="1182"/>
      <c r="D223" s="40"/>
      <c r="E223" s="40"/>
      <c r="F223" s="1183"/>
      <c r="G223" s="1183"/>
      <c r="H223" s="183">
        <f t="shared" si="10"/>
        <v>0</v>
      </c>
      <c r="I223" s="176"/>
      <c r="J223" s="98"/>
      <c r="K223" s="98"/>
      <c r="L223" s="98"/>
    </row>
    <row r="224" spans="1:12" ht="18" hidden="1" customHeight="1">
      <c r="A224" s="1182"/>
      <c r="B224" s="1182"/>
      <c r="C224" s="1182"/>
      <c r="D224" s="40"/>
      <c r="E224" s="40"/>
      <c r="F224" s="1183"/>
      <c r="G224" s="1183"/>
      <c r="H224" s="183">
        <f t="shared" si="10"/>
        <v>0</v>
      </c>
      <c r="I224" s="176"/>
      <c r="J224" s="98"/>
      <c r="K224" s="98"/>
      <c r="L224" s="98"/>
    </row>
    <row r="225" spans="1:13" ht="18" hidden="1" customHeight="1">
      <c r="A225" s="1182"/>
      <c r="B225" s="1182"/>
      <c r="C225" s="1182"/>
      <c r="D225" s="40"/>
      <c r="E225" s="40"/>
      <c r="F225" s="1183"/>
      <c r="G225" s="1183"/>
      <c r="H225" s="183">
        <f t="shared" si="10"/>
        <v>0</v>
      </c>
      <c r="I225" s="176"/>
      <c r="J225" s="98"/>
      <c r="K225" s="98"/>
      <c r="L225" s="98"/>
    </row>
    <row r="226" spans="1:13" ht="18" hidden="1" customHeight="1">
      <c r="A226" s="1182"/>
      <c r="B226" s="1182"/>
      <c r="C226" s="1182"/>
      <c r="D226" s="40"/>
      <c r="E226" s="40"/>
      <c r="F226" s="1183"/>
      <c r="G226" s="1183"/>
      <c r="H226" s="183">
        <f t="shared" si="10"/>
        <v>0</v>
      </c>
      <c r="I226" s="176"/>
      <c r="J226" s="98"/>
      <c r="K226" s="98"/>
      <c r="L226" s="98"/>
    </row>
    <row r="227" spans="1:13" ht="18" hidden="1" customHeight="1">
      <c r="A227" s="1182"/>
      <c r="B227" s="1182"/>
      <c r="C227" s="1182"/>
      <c r="D227" s="40"/>
      <c r="E227" s="40"/>
      <c r="F227" s="1183"/>
      <c r="G227" s="1183"/>
      <c r="H227" s="183">
        <f t="shared" si="10"/>
        <v>0</v>
      </c>
      <c r="I227" s="176"/>
      <c r="J227" s="98"/>
      <c r="K227" s="98"/>
      <c r="L227" s="98"/>
    </row>
    <row r="228" spans="1:13" ht="18" hidden="1" customHeight="1">
      <c r="A228" s="1182"/>
      <c r="B228" s="1182"/>
      <c r="C228" s="1182"/>
      <c r="D228" s="40"/>
      <c r="E228" s="40"/>
      <c r="F228" s="1183"/>
      <c r="G228" s="1183"/>
      <c r="H228" s="183">
        <f t="shared" si="10"/>
        <v>0</v>
      </c>
      <c r="I228" s="176"/>
      <c r="J228" s="98"/>
      <c r="K228" s="98"/>
      <c r="L228" s="98"/>
    </row>
    <row r="229" spans="1:13" ht="18" hidden="1" customHeight="1">
      <c r="A229" s="1182"/>
      <c r="B229" s="1182"/>
      <c r="C229" s="1182"/>
      <c r="D229" s="40"/>
      <c r="E229" s="40"/>
      <c r="F229" s="1183"/>
      <c r="G229" s="1183"/>
      <c r="H229" s="183">
        <f t="shared" si="10"/>
        <v>0</v>
      </c>
      <c r="I229" s="176"/>
      <c r="J229" s="98"/>
      <c r="K229" s="98"/>
      <c r="L229" s="98"/>
    </row>
    <row r="230" spans="1:13" ht="18" hidden="1" customHeight="1">
      <c r="A230" s="1182"/>
      <c r="B230" s="1182"/>
      <c r="C230" s="1182"/>
      <c r="D230" s="40"/>
      <c r="E230" s="40"/>
      <c r="F230" s="1183"/>
      <c r="G230" s="1183"/>
      <c r="H230" s="183">
        <f t="shared" si="10"/>
        <v>0</v>
      </c>
      <c r="I230" s="176"/>
      <c r="J230" s="98"/>
      <c r="K230" s="98"/>
      <c r="L230" s="98"/>
    </row>
    <row r="231" spans="1:13" ht="18" hidden="1" customHeight="1">
      <c r="A231" s="1182"/>
      <c r="B231" s="1182"/>
      <c r="C231" s="1182"/>
      <c r="D231" s="40"/>
      <c r="E231" s="40"/>
      <c r="F231" s="1183"/>
      <c r="G231" s="1183"/>
      <c r="H231" s="183">
        <f t="shared" si="10"/>
        <v>0</v>
      </c>
      <c r="I231" s="176"/>
      <c r="J231" s="98"/>
      <c r="K231" s="98"/>
      <c r="L231" s="98"/>
    </row>
    <row r="232" spans="1:13" ht="18" hidden="1" customHeight="1">
      <c r="A232" s="1182"/>
      <c r="B232" s="1182"/>
      <c r="C232" s="1182"/>
      <c r="D232" s="40"/>
      <c r="E232" s="40"/>
      <c r="F232" s="1183"/>
      <c r="G232" s="1183"/>
      <c r="H232" s="183">
        <f t="shared" si="10"/>
        <v>0</v>
      </c>
      <c r="I232" s="176"/>
      <c r="J232" s="98"/>
      <c r="K232" s="98"/>
      <c r="L232" s="98"/>
    </row>
    <row r="233" spans="1:13" ht="18" customHeight="1">
      <c r="A233" s="1184" t="s">
        <v>474</v>
      </c>
      <c r="B233" s="1184"/>
      <c r="C233" s="1184"/>
      <c r="D233" s="1184"/>
      <c r="E233" s="1184"/>
      <c r="F233" s="1184"/>
      <c r="G233" s="1184"/>
      <c r="H233" s="184">
        <f>SUM(H179:H232)</f>
        <v>0</v>
      </c>
      <c r="I233" s="184">
        <f>SUM(I179:I232)</f>
        <v>0</v>
      </c>
      <c r="J233" s="184">
        <f t="shared" ref="J233:L233" si="11">SUM(J179:J232)</f>
        <v>0</v>
      </c>
      <c r="K233" s="184">
        <f>SUM(K179:K232)</f>
        <v>0</v>
      </c>
      <c r="L233" s="184">
        <f t="shared" si="11"/>
        <v>0</v>
      </c>
    </row>
    <row r="234" spans="1:13" ht="18" customHeight="1" thickBot="1">
      <c r="A234" s="1214"/>
      <c r="B234" s="1215"/>
      <c r="C234" s="1215"/>
      <c r="D234" s="1215"/>
      <c r="E234" s="1215"/>
      <c r="F234" s="1215"/>
      <c r="G234" s="1215"/>
      <c r="H234" s="1215"/>
    </row>
    <row r="235" spans="1:13" ht="18" customHeight="1" thickBot="1">
      <c r="A235" s="1208" t="s">
        <v>475</v>
      </c>
      <c r="B235" s="1209"/>
      <c r="C235" s="1209"/>
      <c r="D235" s="1209"/>
      <c r="E235" s="1209"/>
      <c r="F235" s="1209"/>
      <c r="G235" s="1210"/>
      <c r="H235" s="475" t="s">
        <v>476</v>
      </c>
      <c r="I235" s="1200"/>
      <c r="J235" s="1200"/>
      <c r="K235" s="1200"/>
      <c r="L235" s="1201"/>
    </row>
    <row r="236" spans="1:13" ht="18" customHeight="1">
      <c r="A236" s="1211" t="str">
        <f>IF(H235="Si","SUBTOTAL (antes de AU e IVA)", "SUBTOTAL (antes de administración)")</f>
        <v>SUBTOTAL (antes de administración)</v>
      </c>
      <c r="B236" s="1212"/>
      <c r="C236" s="1212"/>
      <c r="D236" s="1212"/>
      <c r="E236" s="1212"/>
      <c r="F236" s="1212"/>
      <c r="G236" s="1213"/>
      <c r="H236" s="185">
        <f>H41+H120+H177+H233</f>
        <v>0</v>
      </c>
      <c r="I236" s="185">
        <f>I41+I120+I177+I233</f>
        <v>0</v>
      </c>
      <c r="J236" s="185">
        <f>J41+J120+J177+J233</f>
        <v>0</v>
      </c>
      <c r="K236" s="185">
        <f>K41+K120+K177+K233</f>
        <v>0</v>
      </c>
      <c r="L236" s="186">
        <f>L41+L120+L177+L233</f>
        <v>0</v>
      </c>
    </row>
    <row r="237" spans="1:13" ht="18" customHeight="1">
      <c r="A237" s="1202" t="str">
        <f>IF(H235="Si","Administración","Gastos de administración")</f>
        <v>Gastos de administración</v>
      </c>
      <c r="B237" s="1203"/>
      <c r="C237" s="1203"/>
      <c r="D237" s="1203"/>
      <c r="E237" s="1203"/>
      <c r="F237" s="1204"/>
      <c r="G237" s="187"/>
      <c r="H237" s="179">
        <f>H236*G237</f>
        <v>0</v>
      </c>
      <c r="I237" s="376"/>
      <c r="J237" s="376"/>
      <c r="K237" s="376"/>
      <c r="L237" s="188"/>
      <c r="M237" s="415" t="s">
        <v>410</v>
      </c>
    </row>
    <row r="238" spans="1:13" ht="18" customHeight="1">
      <c r="A238" s="1202" t="str">
        <f>IF(H235="Si","Utilidad","")</f>
        <v/>
      </c>
      <c r="B238" s="1203"/>
      <c r="C238" s="1203"/>
      <c r="D238" s="1203"/>
      <c r="E238" s="1203"/>
      <c r="F238" s="1204"/>
      <c r="G238" s="187"/>
      <c r="H238" s="179">
        <f>H236*G238</f>
        <v>0</v>
      </c>
      <c r="I238" s="376"/>
      <c r="J238" s="376"/>
      <c r="K238" s="376"/>
      <c r="L238" s="188"/>
    </row>
    <row r="239" spans="1:13" ht="18" customHeight="1">
      <c r="A239" s="1202" t="str">
        <f>IF(H235="Si","IVA","")</f>
        <v/>
      </c>
      <c r="B239" s="1203"/>
      <c r="C239" s="1203"/>
      <c r="D239" s="1203"/>
      <c r="E239" s="1203"/>
      <c r="F239" s="1204"/>
      <c r="G239" s="187"/>
      <c r="H239" s="179">
        <f>G239*(H236+H237+H238)</f>
        <v>0</v>
      </c>
      <c r="I239" s="376"/>
      <c r="J239" s="376"/>
      <c r="K239" s="376"/>
      <c r="L239" s="188"/>
      <c r="M239" s="411" t="s">
        <v>413</v>
      </c>
    </row>
    <row r="240" spans="1:13" ht="18" customHeight="1">
      <c r="A240" s="1205" t="str">
        <f>IF(H235="Si","TOTAL (incluido AU e IVA)", "TOTAL (incluido administración)")</f>
        <v>TOTAL (incluido administración)</v>
      </c>
      <c r="B240" s="1206"/>
      <c r="C240" s="1206"/>
      <c r="D240" s="1206"/>
      <c r="E240" s="1206"/>
      <c r="F240" s="1206"/>
      <c r="G240" s="1207"/>
      <c r="H240" s="189">
        <f>SUM(H236:H239)</f>
        <v>0</v>
      </c>
      <c r="I240" s="190">
        <f>SUM(I236:I239)</f>
        <v>0</v>
      </c>
      <c r="J240" s="190">
        <f t="shared" ref="J240:L240" si="12">SUM(J236:J239)</f>
        <v>0</v>
      </c>
      <c r="K240" s="190">
        <f t="shared" si="12"/>
        <v>0</v>
      </c>
      <c r="L240" s="191">
        <f t="shared" si="12"/>
        <v>0</v>
      </c>
    </row>
    <row r="241" spans="1:12" ht="42" customHeight="1">
      <c r="A241" s="192" t="s">
        <v>477</v>
      </c>
      <c r="B241" s="743"/>
      <c r="C241" s="193" t="s">
        <v>122</v>
      </c>
      <c r="D241" s="743"/>
      <c r="E241" s="193" t="str">
        <f>IF(H235="Si","Costo unitario (antes de AU e IVA)", "Costo unitario (antes de administración)")</f>
        <v>Costo unitario (antes de administración)</v>
      </c>
      <c r="F241" s="1225">
        <f>IFERROR(H236/B241,0)</f>
        <v>0</v>
      </c>
      <c r="G241" s="1226"/>
      <c r="H241" s="1227" t="s">
        <v>478</v>
      </c>
      <c r="I241" s="1227"/>
      <c r="J241" s="1227"/>
      <c r="K241" s="1227"/>
      <c r="L241" s="1228"/>
    </row>
    <row r="242" spans="1:12" ht="42" customHeight="1" thickBot="1">
      <c r="A242" s="194" t="s">
        <v>477</v>
      </c>
      <c r="B242" s="744"/>
      <c r="C242" s="195" t="s">
        <v>122</v>
      </c>
      <c r="D242" s="744"/>
      <c r="E242" s="195" t="str">
        <f>IF(H235="Si","Costo unitario (AU e IVA incluido)", "Costo unitario (administración incluida)")</f>
        <v>Costo unitario (administración incluida)</v>
      </c>
      <c r="F242" s="1195">
        <f>IFERROR(H240/B242,0)</f>
        <v>0</v>
      </c>
      <c r="G242" s="1196"/>
      <c r="H242" s="1220"/>
      <c r="I242" s="1220"/>
      <c r="J242" s="1220"/>
      <c r="K242" s="1220"/>
      <c r="L242" s="1221"/>
    </row>
    <row r="243" spans="1:12" ht="18" customHeight="1" thickBot="1">
      <c r="A243" s="1222"/>
      <c r="B243" s="1223"/>
      <c r="C243" s="1223"/>
      <c r="D243" s="1223"/>
      <c r="E243" s="1223"/>
      <c r="F243" s="1223"/>
      <c r="G243" s="1223"/>
      <c r="H243" s="1223"/>
      <c r="I243" s="1223"/>
      <c r="J243" s="1223"/>
      <c r="K243" s="1223"/>
      <c r="L243" s="1224"/>
    </row>
    <row r="244" spans="1:12" ht="42.75" customHeight="1">
      <c r="A244" s="741" t="s">
        <v>477</v>
      </c>
      <c r="B244" s="745"/>
      <c r="C244" s="742" t="s">
        <v>122</v>
      </c>
      <c r="D244" s="745"/>
      <c r="E244" s="742" t="str">
        <f>IF(H235="Si","Costo unitario sin MO (antes de AU e IVA)", "Costo unitario sin MO (antes de administración)")</f>
        <v>Costo unitario sin MO (antes de administración)</v>
      </c>
      <c r="F244" s="1216">
        <f>IFERROR((H236-H41)/B244,0)</f>
        <v>0</v>
      </c>
      <c r="G244" s="1217"/>
      <c r="H244" s="1218" t="s">
        <v>478</v>
      </c>
      <c r="I244" s="1218"/>
      <c r="J244" s="1218"/>
      <c r="K244" s="1218"/>
      <c r="L244" s="1219"/>
    </row>
    <row r="245" spans="1:12" ht="43.5" customHeight="1" thickBot="1">
      <c r="A245" s="194" t="s">
        <v>477</v>
      </c>
      <c r="B245" s="744"/>
      <c r="C245" s="195" t="s">
        <v>122</v>
      </c>
      <c r="D245" s="744"/>
      <c r="E245" s="195" t="str">
        <f>IF(H235="Si","Costo unitario sin MO (AU e IVA incluido)", "Costo unitario sin MO(administración incluida)")</f>
        <v>Costo unitario sin MO(administración incluida)</v>
      </c>
      <c r="F245" s="1195">
        <f>IFERROR((H240-H41)/B245,0)</f>
        <v>0</v>
      </c>
      <c r="G245" s="1196"/>
      <c r="H245" s="1220"/>
      <c r="I245" s="1220"/>
      <c r="J245" s="1220"/>
      <c r="K245" s="1220"/>
      <c r="L245" s="1221"/>
    </row>
  </sheetData>
  <sheetProtection algorithmName="SHA-512" hashValue="Te6L6TQZF+NqbAebnObB28ljGMIecGoT5pmGAJ+2NVGdhUWG7DJhFq8kwn43DdCb8pOmgeOEHab4Ir8o79foOg==" saltValue="4kezaFLf3bqE13Xg0NbZGQ==" spinCount="100000" sheet="1" objects="1" scenarios="1" formatCells="0" formatColumns="0" formatRows="0" insertColumns="0" insertRows="0" insertHyperlinks="0" deleteColumns="0" deleteRows="0" sort="0" autoFilter="0" pivotTables="0"/>
  <mergeCells count="414">
    <mergeCell ref="A215:C215"/>
    <mergeCell ref="F215:G215"/>
    <mergeCell ref="A216:C216"/>
    <mergeCell ref="F216:G216"/>
    <mergeCell ref="A217:C217"/>
    <mergeCell ref="F217:G217"/>
    <mergeCell ref="A218:C218"/>
    <mergeCell ref="F218:G218"/>
    <mergeCell ref="A219:C219"/>
    <mergeCell ref="F219:G219"/>
    <mergeCell ref="A210:C210"/>
    <mergeCell ref="F210:G210"/>
    <mergeCell ref="A211:C211"/>
    <mergeCell ref="F211:G211"/>
    <mergeCell ref="A212:C212"/>
    <mergeCell ref="F212:G212"/>
    <mergeCell ref="A213:C213"/>
    <mergeCell ref="F213:G213"/>
    <mergeCell ref="A214:C214"/>
    <mergeCell ref="F214:G214"/>
    <mergeCell ref="A205:C205"/>
    <mergeCell ref="F205:G205"/>
    <mergeCell ref="A206:C206"/>
    <mergeCell ref="F206:G206"/>
    <mergeCell ref="A207:C207"/>
    <mergeCell ref="F207:G207"/>
    <mergeCell ref="A208:C208"/>
    <mergeCell ref="F208:G208"/>
    <mergeCell ref="A209:C209"/>
    <mergeCell ref="F209:G209"/>
    <mergeCell ref="A200:C200"/>
    <mergeCell ref="F200:G200"/>
    <mergeCell ref="A201:C201"/>
    <mergeCell ref="F201:G201"/>
    <mergeCell ref="A202:C202"/>
    <mergeCell ref="F202:G202"/>
    <mergeCell ref="A203:C203"/>
    <mergeCell ref="F203:G203"/>
    <mergeCell ref="A204:C204"/>
    <mergeCell ref="F204:G204"/>
    <mergeCell ref="A195:C195"/>
    <mergeCell ref="F195:G195"/>
    <mergeCell ref="A196:C196"/>
    <mergeCell ref="F196:G196"/>
    <mergeCell ref="A197:C197"/>
    <mergeCell ref="F197:G197"/>
    <mergeCell ref="A198:C198"/>
    <mergeCell ref="F198:G198"/>
    <mergeCell ref="A199:C199"/>
    <mergeCell ref="F199:G199"/>
    <mergeCell ref="A190:C190"/>
    <mergeCell ref="F190:G190"/>
    <mergeCell ref="A191:C191"/>
    <mergeCell ref="F191:G191"/>
    <mergeCell ref="A192:C192"/>
    <mergeCell ref="F192:G192"/>
    <mergeCell ref="A193:C193"/>
    <mergeCell ref="F193:G193"/>
    <mergeCell ref="A194:C194"/>
    <mergeCell ref="F194:G194"/>
    <mergeCell ref="A185:C185"/>
    <mergeCell ref="F185:G185"/>
    <mergeCell ref="A186:C186"/>
    <mergeCell ref="F186:G186"/>
    <mergeCell ref="A187:C187"/>
    <mergeCell ref="F187:G187"/>
    <mergeCell ref="A188:C188"/>
    <mergeCell ref="F188:G188"/>
    <mergeCell ref="A189:C189"/>
    <mergeCell ref="F189:G189"/>
    <mergeCell ref="A180:C180"/>
    <mergeCell ref="F180:G180"/>
    <mergeCell ref="A181:C181"/>
    <mergeCell ref="F181:G181"/>
    <mergeCell ref="A182:C182"/>
    <mergeCell ref="F182:G182"/>
    <mergeCell ref="A183:C183"/>
    <mergeCell ref="F183:G183"/>
    <mergeCell ref="A184:C184"/>
    <mergeCell ref="F184:G184"/>
    <mergeCell ref="A146:C146"/>
    <mergeCell ref="F146:G146"/>
    <mergeCell ref="A147:C147"/>
    <mergeCell ref="F147:G147"/>
    <mergeCell ref="A148:C148"/>
    <mergeCell ref="F148:G148"/>
    <mergeCell ref="A149:C149"/>
    <mergeCell ref="F149:G149"/>
    <mergeCell ref="A150:C150"/>
    <mergeCell ref="F150:G150"/>
    <mergeCell ref="A141:C141"/>
    <mergeCell ref="F141:G141"/>
    <mergeCell ref="A142:C142"/>
    <mergeCell ref="F142:G142"/>
    <mergeCell ref="A143:C143"/>
    <mergeCell ref="F143:G143"/>
    <mergeCell ref="A144:C144"/>
    <mergeCell ref="F144:G144"/>
    <mergeCell ref="A145:C145"/>
    <mergeCell ref="F145:G145"/>
    <mergeCell ref="A164:C164"/>
    <mergeCell ref="F164:G164"/>
    <mergeCell ref="A123:C123"/>
    <mergeCell ref="F123:G123"/>
    <mergeCell ref="A124:C124"/>
    <mergeCell ref="F124:G124"/>
    <mergeCell ref="A125:C125"/>
    <mergeCell ref="F125:G125"/>
    <mergeCell ref="A126:C126"/>
    <mergeCell ref="F126:G126"/>
    <mergeCell ref="A127:C127"/>
    <mergeCell ref="F127:G127"/>
    <mergeCell ref="A128:C128"/>
    <mergeCell ref="F128:G128"/>
    <mergeCell ref="A129:C129"/>
    <mergeCell ref="F129:G129"/>
    <mergeCell ref="A130:C130"/>
    <mergeCell ref="F130:G130"/>
    <mergeCell ref="A131:C131"/>
    <mergeCell ref="F131:G131"/>
    <mergeCell ref="A132:C132"/>
    <mergeCell ref="F132:G132"/>
    <mergeCell ref="A133:C133"/>
    <mergeCell ref="F133:G133"/>
    <mergeCell ref="F159:G159"/>
    <mergeCell ref="A160:C160"/>
    <mergeCell ref="F160:G160"/>
    <mergeCell ref="A161:C161"/>
    <mergeCell ref="F161:G161"/>
    <mergeCell ref="A162:C162"/>
    <mergeCell ref="F162:G162"/>
    <mergeCell ref="A163:C163"/>
    <mergeCell ref="F163:G163"/>
    <mergeCell ref="A102:C102"/>
    <mergeCell ref="F102:G102"/>
    <mergeCell ref="A103:C103"/>
    <mergeCell ref="F103:G103"/>
    <mergeCell ref="A104:C104"/>
    <mergeCell ref="F104:G104"/>
    <mergeCell ref="A105:C105"/>
    <mergeCell ref="F105:G105"/>
    <mergeCell ref="A152:C152"/>
    <mergeCell ref="F152:G152"/>
    <mergeCell ref="A134:C134"/>
    <mergeCell ref="F134:G134"/>
    <mergeCell ref="A135:C135"/>
    <mergeCell ref="F135:G135"/>
    <mergeCell ref="A136:C136"/>
    <mergeCell ref="F136:G136"/>
    <mergeCell ref="A137:C137"/>
    <mergeCell ref="F137:G137"/>
    <mergeCell ref="A138:C138"/>
    <mergeCell ref="F138:G138"/>
    <mergeCell ref="A139:C139"/>
    <mergeCell ref="F139:G139"/>
    <mergeCell ref="A140:C140"/>
    <mergeCell ref="F140:G140"/>
    <mergeCell ref="A97:C97"/>
    <mergeCell ref="F97:G97"/>
    <mergeCell ref="A98:C98"/>
    <mergeCell ref="F98:G98"/>
    <mergeCell ref="A99:C99"/>
    <mergeCell ref="F99:G99"/>
    <mergeCell ref="A100:C100"/>
    <mergeCell ref="F100:G100"/>
    <mergeCell ref="A101:C101"/>
    <mergeCell ref="F101:G101"/>
    <mergeCell ref="A92:C92"/>
    <mergeCell ref="F92:G92"/>
    <mergeCell ref="A93:C93"/>
    <mergeCell ref="F93:G93"/>
    <mergeCell ref="A94:C94"/>
    <mergeCell ref="F94:G94"/>
    <mergeCell ref="A95:C95"/>
    <mergeCell ref="F95:G95"/>
    <mergeCell ref="A96:C96"/>
    <mergeCell ref="F96:G96"/>
    <mergeCell ref="A87:C87"/>
    <mergeCell ref="F87:G87"/>
    <mergeCell ref="A88:C88"/>
    <mergeCell ref="F88:G88"/>
    <mergeCell ref="A89:C89"/>
    <mergeCell ref="F89:G89"/>
    <mergeCell ref="A90:C90"/>
    <mergeCell ref="F90:G90"/>
    <mergeCell ref="A91:C91"/>
    <mergeCell ref="F91:G91"/>
    <mergeCell ref="A82:C82"/>
    <mergeCell ref="F82:G82"/>
    <mergeCell ref="A83:C83"/>
    <mergeCell ref="F83:G83"/>
    <mergeCell ref="A84:C84"/>
    <mergeCell ref="F84:G84"/>
    <mergeCell ref="A85:C85"/>
    <mergeCell ref="F85:G85"/>
    <mergeCell ref="A86:C86"/>
    <mergeCell ref="F86:G86"/>
    <mergeCell ref="A77:C77"/>
    <mergeCell ref="F77:G77"/>
    <mergeCell ref="A78:C78"/>
    <mergeCell ref="F78:G78"/>
    <mergeCell ref="A79:C79"/>
    <mergeCell ref="F79:G79"/>
    <mergeCell ref="A80:C80"/>
    <mergeCell ref="F80:G80"/>
    <mergeCell ref="A81:C81"/>
    <mergeCell ref="F81:G81"/>
    <mergeCell ref="A72:C72"/>
    <mergeCell ref="F72:G72"/>
    <mergeCell ref="A73:C73"/>
    <mergeCell ref="F73:G73"/>
    <mergeCell ref="A74:C74"/>
    <mergeCell ref="F74:G74"/>
    <mergeCell ref="A75:C75"/>
    <mergeCell ref="F75:G75"/>
    <mergeCell ref="A76:C76"/>
    <mergeCell ref="F76:G76"/>
    <mergeCell ref="A67:C67"/>
    <mergeCell ref="F67:G67"/>
    <mergeCell ref="A68:C68"/>
    <mergeCell ref="F68:G68"/>
    <mergeCell ref="A69:C69"/>
    <mergeCell ref="F69:G69"/>
    <mergeCell ref="A70:C70"/>
    <mergeCell ref="F70:G70"/>
    <mergeCell ref="A71:C71"/>
    <mergeCell ref="F71:G71"/>
    <mergeCell ref="A62:C62"/>
    <mergeCell ref="F62:G62"/>
    <mergeCell ref="A63:C63"/>
    <mergeCell ref="F63:G63"/>
    <mergeCell ref="A64:C64"/>
    <mergeCell ref="F64:G64"/>
    <mergeCell ref="A65:C65"/>
    <mergeCell ref="F65:G65"/>
    <mergeCell ref="A66:C66"/>
    <mergeCell ref="F66:G66"/>
    <mergeCell ref="A57:C57"/>
    <mergeCell ref="F57:G57"/>
    <mergeCell ref="A58:C58"/>
    <mergeCell ref="F58:G58"/>
    <mergeCell ref="A59:C59"/>
    <mergeCell ref="F59:G59"/>
    <mergeCell ref="A60:C60"/>
    <mergeCell ref="F60:G60"/>
    <mergeCell ref="A61:C61"/>
    <mergeCell ref="F61:G61"/>
    <mergeCell ref="F52:G52"/>
    <mergeCell ref="A53:C53"/>
    <mergeCell ref="F53:G53"/>
    <mergeCell ref="A54:C54"/>
    <mergeCell ref="F54:G54"/>
    <mergeCell ref="A55:C55"/>
    <mergeCell ref="F55:G55"/>
    <mergeCell ref="A56:C56"/>
    <mergeCell ref="F56:G56"/>
    <mergeCell ref="F244:G244"/>
    <mergeCell ref="H244:L245"/>
    <mergeCell ref="F245:G245"/>
    <mergeCell ref="A243:L243"/>
    <mergeCell ref="A230:C230"/>
    <mergeCell ref="F221:G221"/>
    <mergeCell ref="F222:G222"/>
    <mergeCell ref="F223:G223"/>
    <mergeCell ref="F224:G224"/>
    <mergeCell ref="F225:G225"/>
    <mergeCell ref="F226:G226"/>
    <mergeCell ref="F227:G227"/>
    <mergeCell ref="F228:G228"/>
    <mergeCell ref="F229:G229"/>
    <mergeCell ref="F230:G230"/>
    <mergeCell ref="A225:C225"/>
    <mergeCell ref="A226:C226"/>
    <mergeCell ref="A227:C227"/>
    <mergeCell ref="A228:C228"/>
    <mergeCell ref="A229:C229"/>
    <mergeCell ref="A231:C231"/>
    <mergeCell ref="F231:G231"/>
    <mergeCell ref="F241:G241"/>
    <mergeCell ref="H241:L242"/>
    <mergeCell ref="F174:G174"/>
    <mergeCell ref="A221:C221"/>
    <mergeCell ref="A222:C222"/>
    <mergeCell ref="A223:C223"/>
    <mergeCell ref="A224:C224"/>
    <mergeCell ref="F169:G169"/>
    <mergeCell ref="F170:G170"/>
    <mergeCell ref="F171:G171"/>
    <mergeCell ref="F172:G172"/>
    <mergeCell ref="F173:G173"/>
    <mergeCell ref="A170:C170"/>
    <mergeCell ref="A171:C171"/>
    <mergeCell ref="A172:C172"/>
    <mergeCell ref="A173:C173"/>
    <mergeCell ref="A174:C174"/>
    <mergeCell ref="A175:C175"/>
    <mergeCell ref="F175:G175"/>
    <mergeCell ref="A176:C176"/>
    <mergeCell ref="F176:G176"/>
    <mergeCell ref="A179:C179"/>
    <mergeCell ref="F179:G179"/>
    <mergeCell ref="A220:C220"/>
    <mergeCell ref="F220:G220"/>
    <mergeCell ref="A169:C169"/>
    <mergeCell ref="F165:G165"/>
    <mergeCell ref="F166:G166"/>
    <mergeCell ref="F167:G167"/>
    <mergeCell ref="F168:G168"/>
    <mergeCell ref="A151:C151"/>
    <mergeCell ref="F151:G151"/>
    <mergeCell ref="A119:C119"/>
    <mergeCell ref="F119:G119"/>
    <mergeCell ref="A120:G120"/>
    <mergeCell ref="A122:C122"/>
    <mergeCell ref="F122:G122"/>
    <mergeCell ref="A153:C153"/>
    <mergeCell ref="F153:G153"/>
    <mergeCell ref="A154:C154"/>
    <mergeCell ref="F154:G154"/>
    <mergeCell ref="A155:C155"/>
    <mergeCell ref="F155:G155"/>
    <mergeCell ref="A156:C156"/>
    <mergeCell ref="F156:G156"/>
    <mergeCell ref="A157:C157"/>
    <mergeCell ref="F157:G157"/>
    <mergeCell ref="A158:C158"/>
    <mergeCell ref="F158:G158"/>
    <mergeCell ref="A159:C159"/>
    <mergeCell ref="F242:G242"/>
    <mergeCell ref="A15:L15"/>
    <mergeCell ref="A43:L43"/>
    <mergeCell ref="A121:L121"/>
    <mergeCell ref="A178:L178"/>
    <mergeCell ref="I235:L235"/>
    <mergeCell ref="A237:F237"/>
    <mergeCell ref="A238:F238"/>
    <mergeCell ref="A239:F239"/>
    <mergeCell ref="A240:G240"/>
    <mergeCell ref="A235:G235"/>
    <mergeCell ref="A236:G236"/>
    <mergeCell ref="A234:H234"/>
    <mergeCell ref="A177:G177"/>
    <mergeCell ref="A232:C232"/>
    <mergeCell ref="F232:G232"/>
    <mergeCell ref="A233:G233"/>
    <mergeCell ref="F117:G117"/>
    <mergeCell ref="A165:C165"/>
    <mergeCell ref="A166:C166"/>
    <mergeCell ref="A167:C167"/>
    <mergeCell ref="A168:C168"/>
    <mergeCell ref="A108:C108"/>
    <mergeCell ref="F108:G108"/>
    <mergeCell ref="A12:H13"/>
    <mergeCell ref="I12:L12"/>
    <mergeCell ref="I13:J13"/>
    <mergeCell ref="K13:L13"/>
    <mergeCell ref="D1:L1"/>
    <mergeCell ref="D2:L2"/>
    <mergeCell ref="H3:L3"/>
    <mergeCell ref="F8:L8"/>
    <mergeCell ref="F9:L9"/>
    <mergeCell ref="F10:L10"/>
    <mergeCell ref="A8:E8"/>
    <mergeCell ref="A9:E9"/>
    <mergeCell ref="A10:E10"/>
    <mergeCell ref="A1:C3"/>
    <mergeCell ref="D3:G3"/>
    <mergeCell ref="A5:E5"/>
    <mergeCell ref="A6:E6"/>
    <mergeCell ref="F5:L5"/>
    <mergeCell ref="F6:L6"/>
    <mergeCell ref="A109:C109"/>
    <mergeCell ref="F109:G109"/>
    <mergeCell ref="A118:C118"/>
    <mergeCell ref="F118:G118"/>
    <mergeCell ref="A110:C110"/>
    <mergeCell ref="A111:C111"/>
    <mergeCell ref="A112:C112"/>
    <mergeCell ref="A113:C113"/>
    <mergeCell ref="A114:C114"/>
    <mergeCell ref="A115:C115"/>
    <mergeCell ref="A116:C116"/>
    <mergeCell ref="A117:C117"/>
    <mergeCell ref="F110:G110"/>
    <mergeCell ref="F111:G111"/>
    <mergeCell ref="F112:G112"/>
    <mergeCell ref="F113:G113"/>
    <mergeCell ref="F114:G114"/>
    <mergeCell ref="F115:G115"/>
    <mergeCell ref="F116:G116"/>
    <mergeCell ref="A45:C45"/>
    <mergeCell ref="F45:G45"/>
    <mergeCell ref="A106:C106"/>
    <mergeCell ref="F106:G106"/>
    <mergeCell ref="A107:C107"/>
    <mergeCell ref="F107:G107"/>
    <mergeCell ref="A41:G41"/>
    <mergeCell ref="A42:C42"/>
    <mergeCell ref="F42:G42"/>
    <mergeCell ref="A44:C44"/>
    <mergeCell ref="F44:G44"/>
    <mergeCell ref="A46:C46"/>
    <mergeCell ref="F46:G46"/>
    <mergeCell ref="A47:C47"/>
    <mergeCell ref="F47:G47"/>
    <mergeCell ref="A48:C48"/>
    <mergeCell ref="F48:G48"/>
    <mergeCell ref="A49:C49"/>
    <mergeCell ref="F49:G49"/>
    <mergeCell ref="A50:C50"/>
    <mergeCell ref="F50:G50"/>
    <mergeCell ref="A51:C51"/>
    <mergeCell ref="F51:G51"/>
    <mergeCell ref="A52:C52"/>
  </mergeCells>
  <dataValidations count="1">
    <dataValidation type="list" allowBlank="1" showInputMessage="1" showErrorMessage="1" sqref="H235" xr:uid="{00000000-0002-0000-0700-000000000000}">
      <formula1>"Si, No"</formula1>
    </dataValidation>
  </dataValidations>
  <hyperlinks>
    <hyperlink ref="M1" location="ins" display="Instructivo" xr:uid="{00000000-0004-0000-0700-000000000000}"/>
    <hyperlink ref="M239" location="IVA" display="Info IVA" xr:uid="{00000000-0004-0000-0700-000001000000}"/>
    <hyperlink ref="M237" location="gtosadm" display="Gastos de administración" xr:uid="{00000000-0004-0000-0700-000002000000}"/>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5">
    <tabColor theme="5" tint="0.39997558519241921"/>
    <pageSetUpPr fitToPage="1"/>
  </sheetPr>
  <dimension ref="A1:O264"/>
  <sheetViews>
    <sheetView showGridLines="0" zoomScale="90" zoomScaleNormal="90" workbookViewId="0">
      <selection activeCell="H71" sqref="H71"/>
    </sheetView>
  </sheetViews>
  <sheetFormatPr defaultColWidth="11.5" defaultRowHeight="18" customHeight="1"/>
  <cols>
    <col min="1" max="1" width="22.6640625" style="196" customWidth="1"/>
    <col min="2" max="2" width="11.83203125" style="196" customWidth="1"/>
    <col min="3" max="3" width="14.1640625" style="196" customWidth="1"/>
    <col min="4" max="4" width="18.83203125" style="196" customWidth="1"/>
    <col min="5" max="5" width="26.33203125" style="212" customWidth="1"/>
    <col min="6" max="12" width="18.83203125" style="74" customWidth="1"/>
    <col min="13" max="13" width="22.1640625" style="74" customWidth="1"/>
    <col min="14" max="14" width="16.1640625" style="74" bestFit="1" customWidth="1"/>
    <col min="15" max="15" width="14.83203125" style="74" bestFit="1" customWidth="1"/>
    <col min="16" max="16384" width="11.5" style="74"/>
  </cols>
  <sheetData>
    <row r="1" spans="1:14" ht="18" customHeight="1">
      <c r="A1" s="1188"/>
      <c r="B1" s="1189"/>
      <c r="C1" s="1189"/>
      <c r="D1" s="1078" t="s">
        <v>0</v>
      </c>
      <c r="E1" s="1078"/>
      <c r="F1" s="1078"/>
      <c r="G1" s="1078"/>
      <c r="H1" s="1078"/>
      <c r="I1" s="1078"/>
      <c r="J1" s="1078"/>
      <c r="K1" s="1078"/>
      <c r="L1" s="1079"/>
      <c r="M1" s="366" t="s">
        <v>104</v>
      </c>
      <c r="N1" s="65"/>
    </row>
    <row r="2" spans="1:14" ht="18" customHeight="1">
      <c r="A2" s="1190"/>
      <c r="B2" s="1191"/>
      <c r="C2" s="1191"/>
      <c r="D2" s="1080" t="s">
        <v>479</v>
      </c>
      <c r="E2" s="1080"/>
      <c r="F2" s="1080"/>
      <c r="G2" s="1080"/>
      <c r="H2" s="1080"/>
      <c r="I2" s="1080"/>
      <c r="J2" s="1080"/>
      <c r="K2" s="1080"/>
      <c r="L2" s="1081"/>
    </row>
    <row r="3" spans="1:14" ht="18" customHeight="1" thickBot="1">
      <c r="A3" s="1192"/>
      <c r="B3" s="1193"/>
      <c r="C3" s="1193"/>
      <c r="D3" s="1082" t="s">
        <v>2</v>
      </c>
      <c r="E3" s="1082"/>
      <c r="F3" s="1082"/>
      <c r="G3" s="1082"/>
      <c r="H3" s="1082" t="s">
        <v>3</v>
      </c>
      <c r="I3" s="1082"/>
      <c r="J3" s="1082"/>
      <c r="K3" s="1082"/>
      <c r="L3" s="1123"/>
    </row>
    <row r="4" spans="1:14" ht="18" customHeight="1" thickBot="1">
      <c r="A4" s="257"/>
      <c r="B4" s="257"/>
      <c r="C4" s="257"/>
      <c r="D4" s="70"/>
      <c r="E4" s="70"/>
      <c r="F4" s="70"/>
      <c r="G4" s="70"/>
      <c r="H4" s="70"/>
      <c r="I4" s="70"/>
      <c r="J4" s="70"/>
      <c r="K4" s="70"/>
      <c r="L4" s="70"/>
    </row>
    <row r="5" spans="1:14" ht="24" customHeight="1" thickBot="1">
      <c r="A5" s="989" t="s">
        <v>107</v>
      </c>
      <c r="B5" s="990"/>
      <c r="C5" s="990"/>
      <c r="D5" s="990"/>
      <c r="E5" s="1194"/>
      <c r="F5" s="1090" t="str">
        <f>'Plan Ejecución'!AE5</f>
        <v>CONTRATACIÓN DIRECTA</v>
      </c>
      <c r="G5" s="1091"/>
      <c r="H5" s="1091"/>
      <c r="I5" s="1091"/>
      <c r="J5" s="1091"/>
      <c r="K5" s="1091"/>
      <c r="L5" s="1092"/>
    </row>
    <row r="6" spans="1:14" ht="38.25" customHeight="1" thickBot="1">
      <c r="A6" s="989" t="s">
        <v>109</v>
      </c>
      <c r="B6" s="990"/>
      <c r="C6" s="990"/>
      <c r="D6" s="990"/>
      <c r="E6" s="1194"/>
      <c r="F6" s="1168" t="str">
        <f>'Plan Ejecución'!AE6</f>
        <v xml:space="preserve"> "“SOPORTE, MANTENIMIENTO Y ACTUALIZACIÓN DEL VISOR GEOGRÁFICO – AÑO 2025"</v>
      </c>
      <c r="G6" s="1169"/>
      <c r="H6" s="1169"/>
      <c r="I6" s="1169"/>
      <c r="J6" s="1169"/>
      <c r="K6" s="1169"/>
      <c r="L6" s="1170"/>
    </row>
    <row r="7" spans="1:14" ht="18" customHeight="1" thickBot="1">
      <c r="A7" s="64"/>
      <c r="B7" s="64"/>
      <c r="C7" s="64"/>
      <c r="D7" s="64"/>
      <c r="E7" s="64"/>
    </row>
    <row r="8" spans="1:14" s="70" customFormat="1" ht="18" customHeight="1" thickBot="1">
      <c r="A8" s="990" t="s">
        <v>456</v>
      </c>
      <c r="B8" s="990"/>
      <c r="C8" s="990"/>
      <c r="D8" s="990"/>
      <c r="E8" s="990"/>
      <c r="F8" s="991"/>
      <c r="G8" s="992"/>
      <c r="H8" s="992"/>
      <c r="I8" s="992"/>
      <c r="J8" s="992"/>
      <c r="K8" s="992"/>
      <c r="L8" s="993"/>
    </row>
    <row r="9" spans="1:14" s="70" customFormat="1" ht="18" customHeight="1" thickBot="1">
      <c r="A9" s="990" t="s">
        <v>457</v>
      </c>
      <c r="B9" s="990"/>
      <c r="C9" s="990"/>
      <c r="D9" s="990"/>
      <c r="E9" s="990"/>
      <c r="F9" s="991"/>
      <c r="G9" s="992"/>
      <c r="H9" s="992"/>
      <c r="I9" s="992"/>
      <c r="J9" s="992"/>
      <c r="K9" s="992"/>
      <c r="L9" s="993"/>
    </row>
    <row r="10" spans="1:14" ht="18" customHeight="1" thickBot="1">
      <c r="A10" s="990" t="s">
        <v>459</v>
      </c>
      <c r="B10" s="990"/>
      <c r="C10" s="990"/>
      <c r="D10" s="990"/>
      <c r="E10" s="990"/>
      <c r="F10" s="991"/>
      <c r="G10" s="992"/>
      <c r="H10" s="992"/>
      <c r="I10" s="992"/>
      <c r="J10" s="992"/>
      <c r="K10" s="992"/>
      <c r="L10" s="993"/>
    </row>
    <row r="11" spans="1:14" ht="18" customHeight="1" thickBot="1">
      <c r="A11" s="199"/>
      <c r="B11" s="199"/>
      <c r="C11" s="199"/>
      <c r="D11" s="199"/>
      <c r="E11" s="170"/>
      <c r="F11" s="171"/>
      <c r="G11" s="170"/>
      <c r="H11" s="171"/>
      <c r="I11" s="200"/>
      <c r="J11" s="200"/>
      <c r="K11" s="200"/>
      <c r="L11" s="200"/>
    </row>
    <row r="12" spans="1:14" ht="18" customHeight="1">
      <c r="A12" s="1250" t="s">
        <v>466</v>
      </c>
      <c r="B12" s="1251"/>
      <c r="C12" s="1251"/>
      <c r="D12" s="1251"/>
      <c r="E12" s="1251"/>
      <c r="F12" s="1251"/>
      <c r="G12" s="1251"/>
      <c r="H12" s="1252"/>
      <c r="I12" s="1254" t="s">
        <v>433</v>
      </c>
      <c r="J12" s="1254"/>
      <c r="K12" s="1254"/>
      <c r="L12" s="1255"/>
    </row>
    <row r="13" spans="1:14" ht="18" customHeight="1" thickBot="1">
      <c r="A13" s="989"/>
      <c r="B13" s="990"/>
      <c r="C13" s="990"/>
      <c r="D13" s="990"/>
      <c r="E13" s="990"/>
      <c r="F13" s="990"/>
      <c r="G13" s="990"/>
      <c r="H13" s="1253"/>
      <c r="I13" s="1256" t="s">
        <v>435</v>
      </c>
      <c r="J13" s="1256"/>
      <c r="K13" s="1256" t="s">
        <v>436</v>
      </c>
      <c r="L13" s="1257"/>
    </row>
    <row r="14" spans="1:14" ht="18" customHeight="1">
      <c r="A14" s="1244" t="s">
        <v>480</v>
      </c>
      <c r="B14" s="1245"/>
      <c r="C14" s="1245"/>
      <c r="D14" s="1245"/>
      <c r="E14" s="1245"/>
      <c r="F14" s="1245"/>
      <c r="G14" s="1245"/>
      <c r="H14" s="1245"/>
      <c r="I14" s="1245"/>
      <c r="J14" s="1245"/>
      <c r="K14" s="1245"/>
      <c r="L14" s="1246"/>
    </row>
    <row r="15" spans="1:14" ht="27" customHeight="1">
      <c r="A15" s="375" t="s">
        <v>391</v>
      </c>
      <c r="B15" s="109" t="s">
        <v>392</v>
      </c>
      <c r="C15" s="109" t="s">
        <v>393</v>
      </c>
      <c r="D15" s="109" t="s">
        <v>122</v>
      </c>
      <c r="E15" s="109" t="s">
        <v>394</v>
      </c>
      <c r="F15" s="173" t="s">
        <v>395</v>
      </c>
      <c r="G15" s="109" t="s">
        <v>396</v>
      </c>
      <c r="H15" s="173" t="s">
        <v>397</v>
      </c>
      <c r="I15" s="175" t="s">
        <v>437</v>
      </c>
      <c r="J15" s="175" t="s">
        <v>438</v>
      </c>
      <c r="K15" s="175" t="s">
        <v>437</v>
      </c>
      <c r="L15" s="201" t="s">
        <v>438</v>
      </c>
    </row>
    <row r="16" spans="1:14" ht="18" customHeight="1">
      <c r="A16" s="1247" t="s">
        <v>389</v>
      </c>
      <c r="B16" s="1248"/>
      <c r="C16" s="1248"/>
      <c r="D16" s="1248"/>
      <c r="E16" s="1248"/>
      <c r="F16" s="1248"/>
      <c r="G16" s="1248"/>
      <c r="H16" s="1248"/>
      <c r="I16" s="1248"/>
      <c r="J16" s="1248"/>
      <c r="K16" s="1248"/>
      <c r="L16" s="1249"/>
    </row>
    <row r="17" spans="1:15" ht="24" customHeight="1">
      <c r="A17" s="377"/>
      <c r="B17" s="182"/>
      <c r="C17" s="178"/>
      <c r="D17" s="182"/>
      <c r="E17" s="182"/>
      <c r="F17" s="179"/>
      <c r="G17" s="203"/>
      <c r="H17" s="179">
        <f>B17*C17*E17*F17*G17</f>
        <v>0</v>
      </c>
      <c r="I17" s="179"/>
      <c r="J17" s="179"/>
      <c r="K17" s="179"/>
      <c r="L17" s="204"/>
      <c r="N17" s="202"/>
      <c r="O17" s="202"/>
    </row>
    <row r="18" spans="1:15" ht="18" customHeight="1">
      <c r="A18" s="377"/>
      <c r="B18" s="182"/>
      <c r="C18" s="178"/>
      <c r="D18" s="182"/>
      <c r="E18" s="182"/>
      <c r="F18" s="179"/>
      <c r="G18" s="203"/>
      <c r="H18" s="179">
        <f>B18*C18*E18*F18*G18</f>
        <v>0</v>
      </c>
      <c r="I18" s="179"/>
      <c r="J18" s="179"/>
      <c r="K18" s="179"/>
      <c r="L18" s="204"/>
    </row>
    <row r="19" spans="1:15" ht="18" customHeight="1">
      <c r="A19" s="377"/>
      <c r="B19" s="182"/>
      <c r="C19" s="178"/>
      <c r="D19" s="182"/>
      <c r="E19" s="182"/>
      <c r="F19" s="179"/>
      <c r="G19" s="203"/>
      <c r="H19" s="179">
        <f t="shared" ref="H19:H27" si="0">B19*C19*E19*F19*G19</f>
        <v>0</v>
      </c>
      <c r="I19" s="179"/>
      <c r="J19" s="179"/>
      <c r="K19" s="179"/>
      <c r="L19" s="204"/>
    </row>
    <row r="20" spans="1:15" ht="18" hidden="1" customHeight="1">
      <c r="A20" s="377"/>
      <c r="B20" s="182"/>
      <c r="C20" s="178"/>
      <c r="D20" s="182"/>
      <c r="E20" s="182"/>
      <c r="F20" s="179"/>
      <c r="G20" s="203"/>
      <c r="H20" s="179">
        <f t="shared" si="0"/>
        <v>0</v>
      </c>
      <c r="I20" s="179"/>
      <c r="J20" s="179"/>
      <c r="K20" s="179"/>
      <c r="L20" s="204"/>
    </row>
    <row r="21" spans="1:15" ht="18" hidden="1" customHeight="1">
      <c r="A21" s="377"/>
      <c r="B21" s="182"/>
      <c r="C21" s="178"/>
      <c r="D21" s="182"/>
      <c r="E21" s="182"/>
      <c r="F21" s="179"/>
      <c r="G21" s="203"/>
      <c r="H21" s="179">
        <f t="shared" si="0"/>
        <v>0</v>
      </c>
      <c r="I21" s="179"/>
      <c r="J21" s="179"/>
      <c r="K21" s="179"/>
      <c r="L21" s="204"/>
    </row>
    <row r="22" spans="1:15" ht="18" hidden="1" customHeight="1">
      <c r="A22" s="377"/>
      <c r="B22" s="182"/>
      <c r="C22" s="178"/>
      <c r="D22" s="182"/>
      <c r="E22" s="182"/>
      <c r="F22" s="179"/>
      <c r="G22" s="203"/>
      <c r="H22" s="179">
        <f t="shared" si="0"/>
        <v>0</v>
      </c>
      <c r="I22" s="179"/>
      <c r="J22" s="179"/>
      <c r="K22" s="179"/>
      <c r="L22" s="204"/>
    </row>
    <row r="23" spans="1:15" ht="18" hidden="1" customHeight="1">
      <c r="A23" s="377"/>
      <c r="B23" s="182"/>
      <c r="C23" s="178"/>
      <c r="D23" s="182"/>
      <c r="E23" s="182"/>
      <c r="F23" s="179"/>
      <c r="G23" s="203"/>
      <c r="H23" s="179">
        <f t="shared" si="0"/>
        <v>0</v>
      </c>
      <c r="I23" s="179"/>
      <c r="J23" s="179"/>
      <c r="K23" s="179"/>
      <c r="L23" s="204"/>
    </row>
    <row r="24" spans="1:15" ht="18" hidden="1" customHeight="1">
      <c r="A24" s="377"/>
      <c r="B24" s="182"/>
      <c r="C24" s="178"/>
      <c r="D24" s="182"/>
      <c r="E24" s="182"/>
      <c r="F24" s="179"/>
      <c r="G24" s="203"/>
      <c r="H24" s="179">
        <f t="shared" si="0"/>
        <v>0</v>
      </c>
      <c r="I24" s="179"/>
      <c r="J24" s="179"/>
      <c r="K24" s="179"/>
      <c r="L24" s="204"/>
    </row>
    <row r="25" spans="1:15" ht="18" hidden="1" customHeight="1">
      <c r="A25" s="205"/>
      <c r="B25" s="177"/>
      <c r="C25" s="178"/>
      <c r="D25" s="177"/>
      <c r="E25" s="177"/>
      <c r="F25" s="179"/>
      <c r="G25" s="180"/>
      <c r="H25" s="179">
        <f t="shared" si="0"/>
        <v>0</v>
      </c>
      <c r="I25" s="179"/>
      <c r="J25" s="179"/>
      <c r="K25" s="179"/>
      <c r="L25" s="204"/>
    </row>
    <row r="26" spans="1:15" ht="18" hidden="1" customHeight="1">
      <c r="A26" s="205"/>
      <c r="B26" s="177"/>
      <c r="C26" s="178"/>
      <c r="D26" s="177"/>
      <c r="E26" s="177"/>
      <c r="F26" s="179"/>
      <c r="G26" s="180"/>
      <c r="H26" s="179">
        <f t="shared" si="0"/>
        <v>0</v>
      </c>
      <c r="I26" s="179"/>
      <c r="J26" s="179"/>
      <c r="K26" s="179"/>
      <c r="L26" s="204"/>
    </row>
    <row r="27" spans="1:15" ht="18" hidden="1" customHeight="1">
      <c r="A27" s="205"/>
      <c r="B27" s="177"/>
      <c r="C27" s="178"/>
      <c r="D27" s="177"/>
      <c r="E27" s="177"/>
      <c r="F27" s="179"/>
      <c r="G27" s="177"/>
      <c r="H27" s="179">
        <f t="shared" si="0"/>
        <v>0</v>
      </c>
      <c r="I27" s="179"/>
      <c r="J27" s="179"/>
      <c r="K27" s="179"/>
      <c r="L27" s="204"/>
    </row>
    <row r="28" spans="1:15" ht="18" customHeight="1">
      <c r="A28" s="1243" t="s">
        <v>467</v>
      </c>
      <c r="B28" s="1184"/>
      <c r="C28" s="1184"/>
      <c r="D28" s="1184"/>
      <c r="E28" s="1184"/>
      <c r="F28" s="1184"/>
      <c r="G28" s="1184"/>
      <c r="H28" s="181">
        <f>SUM(H17:H27)</f>
        <v>0</v>
      </c>
      <c r="I28" s="181">
        <f>SUM(I17:I27)</f>
        <v>0</v>
      </c>
      <c r="J28" s="181">
        <f>SUM(J17:J27)</f>
        <v>0</v>
      </c>
      <c r="K28" s="181">
        <f>SUM(K17:K27)</f>
        <v>0</v>
      </c>
      <c r="L28" s="206">
        <f>SUM(L17:L27)</f>
        <v>0</v>
      </c>
    </row>
    <row r="29" spans="1:15" ht="27.75" customHeight="1">
      <c r="A29" s="1067" t="s">
        <v>391</v>
      </c>
      <c r="B29" s="1068"/>
      <c r="C29" s="1068"/>
      <c r="D29" s="117" t="s">
        <v>122</v>
      </c>
      <c r="E29" s="117" t="s">
        <v>394</v>
      </c>
      <c r="F29" s="1068" t="s">
        <v>460</v>
      </c>
      <c r="G29" s="1068"/>
      <c r="H29" s="207" t="s">
        <v>461</v>
      </c>
      <c r="I29" s="175" t="s">
        <v>437</v>
      </c>
      <c r="J29" s="175" t="s">
        <v>438</v>
      </c>
      <c r="K29" s="175" t="s">
        <v>437</v>
      </c>
      <c r="L29" s="201" t="s">
        <v>438</v>
      </c>
    </row>
    <row r="30" spans="1:15" ht="18" customHeight="1">
      <c r="A30" s="1247" t="s">
        <v>481</v>
      </c>
      <c r="B30" s="1248"/>
      <c r="C30" s="1248"/>
      <c r="D30" s="1248"/>
      <c r="E30" s="1248"/>
      <c r="F30" s="1248"/>
      <c r="G30" s="1248"/>
      <c r="H30" s="1248"/>
      <c r="I30" s="1248"/>
      <c r="J30" s="1248"/>
      <c r="K30" s="1248"/>
      <c r="L30" s="1249"/>
    </row>
    <row r="31" spans="1:15" ht="18" customHeight="1">
      <c r="A31" s="1235"/>
      <c r="B31" s="1182"/>
      <c r="C31" s="1182"/>
      <c r="D31" s="40"/>
      <c r="E31" s="40"/>
      <c r="F31" s="1183"/>
      <c r="G31" s="1183"/>
      <c r="H31" s="179">
        <f>E31*F31</f>
        <v>0</v>
      </c>
      <c r="I31" s="376"/>
      <c r="J31" s="376"/>
      <c r="K31" s="208"/>
      <c r="L31" s="209"/>
    </row>
    <row r="32" spans="1:15" ht="18" customHeight="1">
      <c r="A32" s="1235"/>
      <c r="B32" s="1182"/>
      <c r="C32" s="1182"/>
      <c r="D32" s="40"/>
      <c r="E32" s="40"/>
      <c r="F32" s="1183"/>
      <c r="G32" s="1183"/>
      <c r="H32" s="179">
        <f>E32*F32</f>
        <v>0</v>
      </c>
      <c r="I32" s="376"/>
      <c r="J32" s="376"/>
      <c r="K32" s="208"/>
      <c r="L32" s="209"/>
    </row>
    <row r="33" spans="1:13" ht="18" customHeight="1">
      <c r="A33" s="1235"/>
      <c r="B33" s="1182"/>
      <c r="C33" s="1182"/>
      <c r="D33" s="40"/>
      <c r="E33" s="40"/>
      <c r="F33" s="1183"/>
      <c r="G33" s="1183"/>
      <c r="H33" s="179">
        <f t="shared" ref="H33:H44" si="1">E33*F33</f>
        <v>0</v>
      </c>
      <c r="I33" s="376"/>
      <c r="J33" s="376"/>
      <c r="K33" s="208"/>
      <c r="L33" s="209"/>
    </row>
    <row r="34" spans="1:13" ht="18" hidden="1" customHeight="1">
      <c r="A34" s="1235"/>
      <c r="B34" s="1182"/>
      <c r="C34" s="1182"/>
      <c r="D34" s="40"/>
      <c r="E34" s="40"/>
      <c r="F34" s="1183"/>
      <c r="G34" s="1183"/>
      <c r="H34" s="179">
        <f t="shared" si="1"/>
        <v>0</v>
      </c>
      <c r="I34" s="376"/>
      <c r="J34" s="376"/>
      <c r="K34" s="208"/>
      <c r="L34" s="209"/>
    </row>
    <row r="35" spans="1:13" ht="18" hidden="1" customHeight="1">
      <c r="A35" s="1235"/>
      <c r="B35" s="1182"/>
      <c r="C35" s="1182"/>
      <c r="D35" s="40"/>
      <c r="E35" s="40"/>
      <c r="F35" s="1183"/>
      <c r="G35" s="1183"/>
      <c r="H35" s="179">
        <f t="shared" si="1"/>
        <v>0</v>
      </c>
      <c r="I35" s="376"/>
      <c r="J35" s="376"/>
      <c r="K35" s="208"/>
      <c r="L35" s="209"/>
    </row>
    <row r="36" spans="1:13" ht="18" hidden="1" customHeight="1">
      <c r="A36" s="1235"/>
      <c r="B36" s="1182"/>
      <c r="C36" s="1182"/>
      <c r="D36" s="40"/>
      <c r="E36" s="40"/>
      <c r="F36" s="1183"/>
      <c r="G36" s="1183"/>
      <c r="H36" s="179">
        <f t="shared" si="1"/>
        <v>0</v>
      </c>
      <c r="I36" s="376"/>
      <c r="J36" s="376"/>
      <c r="K36" s="208"/>
      <c r="L36" s="209"/>
    </row>
    <row r="37" spans="1:13" ht="18" hidden="1" customHeight="1">
      <c r="A37" s="1235"/>
      <c r="B37" s="1182"/>
      <c r="C37" s="1182"/>
      <c r="D37" s="40"/>
      <c r="E37" s="40"/>
      <c r="F37" s="1183"/>
      <c r="G37" s="1183"/>
      <c r="H37" s="179">
        <f t="shared" si="1"/>
        <v>0</v>
      </c>
      <c r="I37" s="376"/>
      <c r="J37" s="376"/>
      <c r="K37" s="208"/>
      <c r="L37" s="209"/>
    </row>
    <row r="38" spans="1:13" ht="18" hidden="1" customHeight="1">
      <c r="A38" s="1235"/>
      <c r="B38" s="1182"/>
      <c r="C38" s="1182"/>
      <c r="D38" s="40"/>
      <c r="E38" s="40"/>
      <c r="F38" s="1183"/>
      <c r="G38" s="1183"/>
      <c r="H38" s="179">
        <f t="shared" si="1"/>
        <v>0</v>
      </c>
      <c r="I38" s="376"/>
      <c r="J38" s="376"/>
      <c r="K38" s="208"/>
      <c r="L38" s="209"/>
    </row>
    <row r="39" spans="1:13" ht="18" hidden="1" customHeight="1">
      <c r="A39" s="1235"/>
      <c r="B39" s="1182"/>
      <c r="C39" s="1182"/>
      <c r="D39" s="40"/>
      <c r="E39" s="40"/>
      <c r="F39" s="1183"/>
      <c r="G39" s="1183"/>
      <c r="H39" s="179">
        <f t="shared" si="1"/>
        <v>0</v>
      </c>
      <c r="I39" s="376"/>
      <c r="J39" s="376"/>
      <c r="K39" s="208"/>
      <c r="L39" s="209"/>
    </row>
    <row r="40" spans="1:13" ht="18" hidden="1" customHeight="1">
      <c r="A40" s="1235"/>
      <c r="B40" s="1182"/>
      <c r="C40" s="1182"/>
      <c r="D40" s="40"/>
      <c r="E40" s="40"/>
      <c r="F40" s="1183"/>
      <c r="G40" s="1183"/>
      <c r="H40" s="179">
        <f t="shared" si="1"/>
        <v>0</v>
      </c>
      <c r="I40" s="376"/>
      <c r="J40" s="376"/>
      <c r="K40" s="208"/>
      <c r="L40" s="209"/>
    </row>
    <row r="41" spans="1:13" ht="18" hidden="1" customHeight="1">
      <c r="A41" s="1235"/>
      <c r="B41" s="1182"/>
      <c r="C41" s="1182"/>
      <c r="D41" s="40"/>
      <c r="E41" s="40"/>
      <c r="F41" s="1183"/>
      <c r="G41" s="1183"/>
      <c r="H41" s="179">
        <f t="shared" si="1"/>
        <v>0</v>
      </c>
      <c r="I41" s="376"/>
      <c r="J41" s="376"/>
      <c r="K41" s="208"/>
      <c r="L41" s="209"/>
    </row>
    <row r="42" spans="1:13" ht="18" hidden="1" customHeight="1">
      <c r="A42" s="1235"/>
      <c r="B42" s="1182"/>
      <c r="C42" s="1182"/>
      <c r="D42" s="40"/>
      <c r="E42" s="40"/>
      <c r="F42" s="1183"/>
      <c r="G42" s="1183"/>
      <c r="H42" s="179">
        <f t="shared" si="1"/>
        <v>0</v>
      </c>
      <c r="I42" s="376"/>
      <c r="J42" s="376"/>
      <c r="K42" s="208"/>
      <c r="L42" s="209"/>
    </row>
    <row r="43" spans="1:13" ht="18" hidden="1" customHeight="1">
      <c r="A43" s="1235"/>
      <c r="B43" s="1182"/>
      <c r="C43" s="1182"/>
      <c r="D43" s="40"/>
      <c r="E43" s="40"/>
      <c r="F43" s="1183"/>
      <c r="G43" s="1183"/>
      <c r="H43" s="179">
        <f t="shared" si="1"/>
        <v>0</v>
      </c>
      <c r="I43" s="376"/>
      <c r="J43" s="376"/>
      <c r="K43" s="208"/>
      <c r="L43" s="209"/>
    </row>
    <row r="44" spans="1:13" ht="18" hidden="1" customHeight="1">
      <c r="A44" s="1235"/>
      <c r="B44" s="1182"/>
      <c r="C44" s="1182"/>
      <c r="D44" s="40"/>
      <c r="E44" s="40"/>
      <c r="F44" s="1183"/>
      <c r="G44" s="1183"/>
      <c r="H44" s="179">
        <f t="shared" si="1"/>
        <v>0</v>
      </c>
      <c r="I44" s="376"/>
      <c r="J44" s="376"/>
      <c r="K44" s="208"/>
      <c r="L44" s="209"/>
    </row>
    <row r="45" spans="1:13" ht="18" customHeight="1">
      <c r="A45" s="1243" t="s">
        <v>474</v>
      </c>
      <c r="B45" s="1184"/>
      <c r="C45" s="1184"/>
      <c r="D45" s="1184"/>
      <c r="E45" s="1184"/>
      <c r="F45" s="1184"/>
      <c r="G45" s="1184"/>
      <c r="H45" s="181">
        <f>SUM(H31:H44)</f>
        <v>0</v>
      </c>
      <c r="I45" s="181">
        <f>SUM(I31:I44)</f>
        <v>0</v>
      </c>
      <c r="J45" s="181">
        <f>SUM(J31:J44)</f>
        <v>0</v>
      </c>
      <c r="K45" s="181">
        <f>SUM(K31:K44)</f>
        <v>0</v>
      </c>
      <c r="L45" s="206">
        <f>SUM(L31:L44)</f>
        <v>0</v>
      </c>
    </row>
    <row r="46" spans="1:13" ht="18" customHeight="1" thickBot="1">
      <c r="A46" s="1229" t="s">
        <v>482</v>
      </c>
      <c r="B46" s="1230"/>
      <c r="C46" s="1230"/>
      <c r="D46" s="1230"/>
      <c r="E46" s="1230"/>
      <c r="F46" s="1230"/>
      <c r="G46" s="1230"/>
      <c r="H46" s="210">
        <f>H28+H45</f>
        <v>0</v>
      </c>
      <c r="I46" s="210">
        <f>I28+I45</f>
        <v>0</v>
      </c>
      <c r="J46" s="210">
        <f t="shared" ref="J46:L46" si="2">J28+J45</f>
        <v>0</v>
      </c>
      <c r="K46" s="210">
        <f t="shared" si="2"/>
        <v>0</v>
      </c>
      <c r="L46" s="211">
        <f t="shared" si="2"/>
        <v>0</v>
      </c>
    </row>
    <row r="47" spans="1:13" ht="18" customHeight="1" thickBot="1">
      <c r="A47" s="1231" t="s">
        <v>475</v>
      </c>
      <c r="B47" s="1232"/>
      <c r="C47" s="1232"/>
      <c r="D47" s="1232"/>
      <c r="E47" s="1232"/>
      <c r="F47" s="1232"/>
      <c r="G47" s="1232"/>
      <c r="H47" s="476" t="s">
        <v>483</v>
      </c>
      <c r="I47" s="1233"/>
      <c r="J47" s="1233"/>
      <c r="K47" s="1233"/>
      <c r="L47" s="1234"/>
    </row>
    <row r="48" spans="1:13" ht="18" customHeight="1">
      <c r="A48" s="1202" t="str">
        <f>IF(H47="Si","Administración","Gastos de administración")</f>
        <v>Administración</v>
      </c>
      <c r="B48" s="1203"/>
      <c r="C48" s="1203"/>
      <c r="D48" s="1203"/>
      <c r="E48" s="1203"/>
      <c r="F48" s="1204"/>
      <c r="G48" s="412"/>
      <c r="H48" s="413">
        <v>0</v>
      </c>
      <c r="I48" s="179">
        <f>H48</f>
        <v>0</v>
      </c>
      <c r="J48" s="179"/>
      <c r="K48" s="179"/>
      <c r="L48" s="204"/>
      <c r="M48" s="415" t="s">
        <v>410</v>
      </c>
    </row>
    <row r="49" spans="1:13" ht="18" customHeight="1">
      <c r="A49" s="1202" t="str">
        <f>IF(H47="Si","Utilidad","")</f>
        <v>Utilidad</v>
      </c>
      <c r="B49" s="1203"/>
      <c r="C49" s="1203"/>
      <c r="D49" s="1203"/>
      <c r="E49" s="1203"/>
      <c r="F49" s="1204"/>
      <c r="G49" s="412"/>
      <c r="H49" s="413">
        <v>0</v>
      </c>
      <c r="I49" s="179"/>
      <c r="J49" s="179"/>
      <c r="K49" s="179"/>
      <c r="L49" s="204"/>
    </row>
    <row r="50" spans="1:13" ht="18" customHeight="1">
      <c r="A50" s="1202" t="str">
        <f>IF(H47="Si","IVA","")</f>
        <v>IVA</v>
      </c>
      <c r="B50" s="1203"/>
      <c r="C50" s="1203"/>
      <c r="D50" s="1203"/>
      <c r="E50" s="1203"/>
      <c r="F50" s="1204"/>
      <c r="G50" s="412"/>
      <c r="H50" s="413">
        <v>0</v>
      </c>
      <c r="I50" s="179"/>
      <c r="J50" s="179"/>
      <c r="K50" s="179"/>
      <c r="L50" s="204"/>
      <c r="M50" s="411" t="s">
        <v>413</v>
      </c>
    </row>
    <row r="51" spans="1:13" ht="18" customHeight="1" thickBot="1">
      <c r="A51" s="1236" t="str">
        <f>IF(H47="Si","TOTAL (después de AU e IVA)", "TOTAL (después de administración)")</f>
        <v>TOTAL (después de AU e IVA)</v>
      </c>
      <c r="B51" s="1237"/>
      <c r="C51" s="1237"/>
      <c r="D51" s="1237"/>
      <c r="E51" s="1237"/>
      <c r="F51" s="1237"/>
      <c r="G51" s="1237"/>
      <c r="H51" s="414">
        <f>SUM(H48:H50)+H46</f>
        <v>0</v>
      </c>
      <c r="I51" s="390">
        <f t="shared" ref="I51:L51" si="3">SUM(I48:I50)+I46</f>
        <v>0</v>
      </c>
      <c r="J51" s="390">
        <f t="shared" si="3"/>
        <v>0</v>
      </c>
      <c r="K51" s="390">
        <f t="shared" si="3"/>
        <v>0</v>
      </c>
      <c r="L51" s="391">
        <f t="shared" si="3"/>
        <v>0</v>
      </c>
    </row>
    <row r="52" spans="1:13" ht="45.75" customHeight="1" thickBot="1">
      <c r="A52" s="388" t="s">
        <v>477</v>
      </c>
      <c r="B52" s="746"/>
      <c r="C52" s="389" t="s">
        <v>122</v>
      </c>
      <c r="D52" s="746"/>
      <c r="E52" s="389" t="s">
        <v>484</v>
      </c>
      <c r="F52" s="1238">
        <f>IFERROR(H46/B52,0)</f>
        <v>0</v>
      </c>
      <c r="G52" s="1239"/>
      <c r="H52" s="1240" t="s">
        <v>485</v>
      </c>
      <c r="I52" s="1241"/>
      <c r="J52" s="1241"/>
      <c r="K52" s="1241"/>
      <c r="L52" s="1242"/>
    </row>
    <row r="53" spans="1:13" ht="12" customHeight="1" thickBot="1">
      <c r="A53" s="1222"/>
      <c r="B53" s="1223"/>
      <c r="C53" s="1223"/>
      <c r="D53" s="1223"/>
      <c r="E53" s="1223"/>
      <c r="F53" s="1223"/>
      <c r="G53" s="1223"/>
      <c r="H53" s="1223"/>
      <c r="I53" s="1223"/>
      <c r="J53" s="1223"/>
      <c r="K53" s="1223"/>
      <c r="L53" s="1224"/>
    </row>
    <row r="54" spans="1:13" ht="53.25" customHeight="1" thickBot="1">
      <c r="A54" s="388" t="s">
        <v>477</v>
      </c>
      <c r="B54" s="746"/>
      <c r="C54" s="389" t="s">
        <v>122</v>
      </c>
      <c r="D54" s="746"/>
      <c r="E54" s="389" t="s">
        <v>486</v>
      </c>
      <c r="F54" s="1238">
        <f>IFERROR((H46-H28)/B54,0)</f>
        <v>0</v>
      </c>
      <c r="G54" s="1239"/>
      <c r="H54" s="1240" t="s">
        <v>485</v>
      </c>
      <c r="I54" s="1241"/>
      <c r="J54" s="1241"/>
      <c r="K54" s="1241"/>
      <c r="L54" s="1242"/>
    </row>
    <row r="55" spans="1:13" ht="18" customHeight="1" thickBot="1">
      <c r="A55" s="1214"/>
      <c r="B55" s="1215"/>
      <c r="C55" s="1215"/>
      <c r="D55" s="1215"/>
      <c r="E55" s="1215"/>
      <c r="F55" s="1215"/>
      <c r="G55" s="1215"/>
      <c r="H55" s="1215"/>
      <c r="I55" s="1215"/>
      <c r="J55" s="1215"/>
      <c r="K55" s="1215"/>
      <c r="L55" s="1215"/>
    </row>
    <row r="56" spans="1:13" ht="18" customHeight="1">
      <c r="A56" s="1244" t="s">
        <v>487</v>
      </c>
      <c r="B56" s="1245"/>
      <c r="C56" s="1245"/>
      <c r="D56" s="1245"/>
      <c r="E56" s="1245"/>
      <c r="F56" s="1245"/>
      <c r="G56" s="1245"/>
      <c r="H56" s="1245"/>
      <c r="I56" s="1245"/>
      <c r="J56" s="1245"/>
      <c r="K56" s="1245"/>
      <c r="L56" s="1246"/>
    </row>
    <row r="57" spans="1:13" ht="30" customHeight="1">
      <c r="A57" s="375" t="s">
        <v>391</v>
      </c>
      <c r="B57" s="109" t="s">
        <v>392</v>
      </c>
      <c r="C57" s="109" t="s">
        <v>393</v>
      </c>
      <c r="D57" s="109" t="s">
        <v>122</v>
      </c>
      <c r="E57" s="109" t="s">
        <v>394</v>
      </c>
      <c r="F57" s="173" t="s">
        <v>395</v>
      </c>
      <c r="G57" s="109" t="s">
        <v>396</v>
      </c>
      <c r="H57" s="173" t="s">
        <v>397</v>
      </c>
      <c r="I57" s="175" t="s">
        <v>437</v>
      </c>
      <c r="J57" s="175" t="s">
        <v>438</v>
      </c>
      <c r="K57" s="175" t="s">
        <v>437</v>
      </c>
      <c r="L57" s="201" t="s">
        <v>438</v>
      </c>
    </row>
    <row r="58" spans="1:13" ht="18" customHeight="1">
      <c r="A58" s="1247" t="s">
        <v>389</v>
      </c>
      <c r="B58" s="1248"/>
      <c r="C58" s="1248"/>
      <c r="D58" s="1248"/>
      <c r="E58" s="1248"/>
      <c r="F58" s="1248"/>
      <c r="G58" s="1248"/>
      <c r="H58" s="1248"/>
      <c r="I58" s="1248"/>
      <c r="J58" s="1248"/>
      <c r="K58" s="1248"/>
      <c r="L58" s="1249"/>
    </row>
    <row r="59" spans="1:13" ht="24.75" customHeight="1">
      <c r="A59" s="377"/>
      <c r="B59" s="182"/>
      <c r="C59" s="178"/>
      <c r="D59" s="182"/>
      <c r="E59" s="182"/>
      <c r="F59" s="179"/>
      <c r="G59" s="203"/>
      <c r="H59" s="179">
        <f>B59*C59*E59*F59*G59</f>
        <v>0</v>
      </c>
      <c r="I59" s="179"/>
      <c r="J59" s="179"/>
      <c r="K59" s="179"/>
      <c r="L59" s="204"/>
    </row>
    <row r="60" spans="1:13" ht="18" customHeight="1">
      <c r="A60" s="377"/>
      <c r="B60" s="182"/>
      <c r="C60" s="178"/>
      <c r="D60" s="182"/>
      <c r="E60" s="182"/>
      <c r="F60" s="179"/>
      <c r="G60" s="203"/>
      <c r="H60" s="179">
        <f>B60*C60*E60*F60*G60</f>
        <v>0</v>
      </c>
      <c r="I60" s="179"/>
      <c r="J60" s="179"/>
      <c r="K60" s="179"/>
      <c r="L60" s="204"/>
    </row>
    <row r="61" spans="1:13" ht="18" customHeight="1">
      <c r="A61" s="377"/>
      <c r="B61" s="182"/>
      <c r="C61" s="178"/>
      <c r="D61" s="182"/>
      <c r="E61" s="182"/>
      <c r="F61" s="179"/>
      <c r="G61" s="203"/>
      <c r="H61" s="179">
        <f t="shared" ref="H61:H69" si="4">B61*C61*E61*F61*G61</f>
        <v>0</v>
      </c>
      <c r="I61" s="179"/>
      <c r="J61" s="179"/>
      <c r="K61" s="179"/>
      <c r="L61" s="204"/>
    </row>
    <row r="62" spans="1:13" ht="18" hidden="1" customHeight="1">
      <c r="A62" s="377"/>
      <c r="B62" s="182"/>
      <c r="C62" s="178"/>
      <c r="D62" s="182"/>
      <c r="E62" s="182"/>
      <c r="F62" s="179"/>
      <c r="G62" s="203"/>
      <c r="H62" s="179">
        <f t="shared" si="4"/>
        <v>0</v>
      </c>
      <c r="I62" s="179"/>
      <c r="J62" s="179"/>
      <c r="K62" s="179"/>
      <c r="L62" s="204"/>
    </row>
    <row r="63" spans="1:13" ht="18" hidden="1" customHeight="1">
      <c r="A63" s="377"/>
      <c r="B63" s="182"/>
      <c r="C63" s="178"/>
      <c r="D63" s="182"/>
      <c r="E63" s="182"/>
      <c r="F63" s="179"/>
      <c r="G63" s="203"/>
      <c r="H63" s="179">
        <f t="shared" si="4"/>
        <v>0</v>
      </c>
      <c r="I63" s="179"/>
      <c r="J63" s="179"/>
      <c r="K63" s="179"/>
      <c r="L63" s="204"/>
    </row>
    <row r="64" spans="1:13" ht="18" hidden="1" customHeight="1">
      <c r="A64" s="377"/>
      <c r="B64" s="182"/>
      <c r="C64" s="178"/>
      <c r="D64" s="182"/>
      <c r="E64" s="182"/>
      <c r="F64" s="179"/>
      <c r="G64" s="203"/>
      <c r="H64" s="179">
        <f t="shared" si="4"/>
        <v>0</v>
      </c>
      <c r="I64" s="179"/>
      <c r="J64" s="179"/>
      <c r="K64" s="179"/>
      <c r="L64" s="204"/>
    </row>
    <row r="65" spans="1:12" ht="18" hidden="1" customHeight="1">
      <c r="A65" s="377"/>
      <c r="B65" s="182"/>
      <c r="C65" s="178"/>
      <c r="D65" s="182"/>
      <c r="E65" s="182"/>
      <c r="F65" s="179"/>
      <c r="G65" s="203"/>
      <c r="H65" s="179">
        <f t="shared" si="4"/>
        <v>0</v>
      </c>
      <c r="I65" s="179"/>
      <c r="J65" s="179"/>
      <c r="K65" s="179"/>
      <c r="L65" s="204"/>
    </row>
    <row r="66" spans="1:12" ht="18" hidden="1" customHeight="1">
      <c r="A66" s="377"/>
      <c r="B66" s="182"/>
      <c r="C66" s="178"/>
      <c r="D66" s="182"/>
      <c r="E66" s="182"/>
      <c r="F66" s="179"/>
      <c r="G66" s="203"/>
      <c r="H66" s="179">
        <f t="shared" si="4"/>
        <v>0</v>
      </c>
      <c r="I66" s="179"/>
      <c r="J66" s="179"/>
      <c r="K66" s="179"/>
      <c r="L66" s="204"/>
    </row>
    <row r="67" spans="1:12" ht="18" hidden="1" customHeight="1">
      <c r="A67" s="205"/>
      <c r="B67" s="177"/>
      <c r="C67" s="178"/>
      <c r="D67" s="177"/>
      <c r="E67" s="177"/>
      <c r="F67" s="179"/>
      <c r="G67" s="180"/>
      <c r="H67" s="179">
        <f t="shared" si="4"/>
        <v>0</v>
      </c>
      <c r="I67" s="179"/>
      <c r="J67" s="179"/>
      <c r="K67" s="179"/>
      <c r="L67" s="204"/>
    </row>
    <row r="68" spans="1:12" ht="18" hidden="1" customHeight="1">
      <c r="A68" s="205"/>
      <c r="B68" s="177"/>
      <c r="C68" s="178"/>
      <c r="D68" s="177"/>
      <c r="E68" s="177"/>
      <c r="F68" s="179"/>
      <c r="G68" s="180"/>
      <c r="H68" s="179">
        <f t="shared" si="4"/>
        <v>0</v>
      </c>
      <c r="I68" s="179"/>
      <c r="J68" s="179"/>
      <c r="K68" s="179"/>
      <c r="L68" s="204"/>
    </row>
    <row r="69" spans="1:12" ht="18" hidden="1" customHeight="1">
      <c r="A69" s="205"/>
      <c r="B69" s="177"/>
      <c r="C69" s="178"/>
      <c r="D69" s="177"/>
      <c r="E69" s="177"/>
      <c r="F69" s="179"/>
      <c r="G69" s="177"/>
      <c r="H69" s="179">
        <f t="shared" si="4"/>
        <v>0</v>
      </c>
      <c r="I69" s="179"/>
      <c r="J69" s="179"/>
      <c r="K69" s="179"/>
      <c r="L69" s="204"/>
    </row>
    <row r="70" spans="1:12" ht="18" customHeight="1">
      <c r="A70" s="1243" t="s">
        <v>467</v>
      </c>
      <c r="B70" s="1184"/>
      <c r="C70" s="1184"/>
      <c r="D70" s="1184"/>
      <c r="E70" s="1184"/>
      <c r="F70" s="1184"/>
      <c r="G70" s="1184"/>
      <c r="H70" s="181">
        <f>SUM(H59:H69)</f>
        <v>0</v>
      </c>
      <c r="I70" s="181">
        <f>SUM(I59:I69)</f>
        <v>0</v>
      </c>
      <c r="J70" s="181">
        <f>SUM(J59:J69)</f>
        <v>0</v>
      </c>
      <c r="K70" s="181">
        <f>SUM(K59:K69)</f>
        <v>0</v>
      </c>
      <c r="L70" s="206">
        <f>SUM(L59:L69)</f>
        <v>0</v>
      </c>
    </row>
    <row r="71" spans="1:12" ht="28.5" customHeight="1">
      <c r="A71" s="1067" t="s">
        <v>391</v>
      </c>
      <c r="B71" s="1068"/>
      <c r="C71" s="1068"/>
      <c r="D71" s="117" t="s">
        <v>122</v>
      </c>
      <c r="E71" s="117" t="s">
        <v>394</v>
      </c>
      <c r="F71" s="1068" t="s">
        <v>460</v>
      </c>
      <c r="G71" s="1068"/>
      <c r="H71" s="207" t="s">
        <v>461</v>
      </c>
      <c r="I71" s="175" t="s">
        <v>437</v>
      </c>
      <c r="J71" s="175" t="s">
        <v>438</v>
      </c>
      <c r="K71" s="175" t="s">
        <v>437</v>
      </c>
      <c r="L71" s="201" t="s">
        <v>438</v>
      </c>
    </row>
    <row r="72" spans="1:12" ht="18" customHeight="1">
      <c r="A72" s="1247" t="s">
        <v>481</v>
      </c>
      <c r="B72" s="1248"/>
      <c r="C72" s="1248"/>
      <c r="D72" s="1248"/>
      <c r="E72" s="1248"/>
      <c r="F72" s="1248"/>
      <c r="G72" s="1248"/>
      <c r="H72" s="1248"/>
      <c r="I72" s="1248"/>
      <c r="J72" s="1248"/>
      <c r="K72" s="1248"/>
      <c r="L72" s="1249"/>
    </row>
    <row r="73" spans="1:12" ht="18" customHeight="1">
      <c r="A73" s="1235"/>
      <c r="B73" s="1182"/>
      <c r="C73" s="1182"/>
      <c r="D73" s="40"/>
      <c r="E73" s="40"/>
      <c r="F73" s="1183"/>
      <c r="G73" s="1183"/>
      <c r="H73" s="179">
        <f>E73*F73</f>
        <v>0</v>
      </c>
      <c r="I73" s="376"/>
      <c r="J73" s="376"/>
      <c r="K73" s="208"/>
      <c r="L73" s="209"/>
    </row>
    <row r="74" spans="1:12" ht="18" customHeight="1">
      <c r="A74" s="1235"/>
      <c r="B74" s="1182"/>
      <c r="C74" s="1182"/>
      <c r="D74" s="40"/>
      <c r="E74" s="40"/>
      <c r="F74" s="1183"/>
      <c r="G74" s="1183"/>
      <c r="H74" s="179">
        <f>E74*F74</f>
        <v>0</v>
      </c>
      <c r="I74" s="376"/>
      <c r="J74" s="376"/>
      <c r="K74" s="208"/>
      <c r="L74" s="209"/>
    </row>
    <row r="75" spans="1:12" ht="18" customHeight="1">
      <c r="A75" s="1235"/>
      <c r="B75" s="1182"/>
      <c r="C75" s="1182"/>
      <c r="D75" s="40"/>
      <c r="E75" s="40"/>
      <c r="F75" s="1183"/>
      <c r="G75" s="1183"/>
      <c r="H75" s="179">
        <f t="shared" ref="H75:H86" si="5">E75*F75</f>
        <v>0</v>
      </c>
      <c r="I75" s="376"/>
      <c r="J75" s="376"/>
      <c r="K75" s="208"/>
      <c r="L75" s="209"/>
    </row>
    <row r="76" spans="1:12" ht="18" hidden="1" customHeight="1">
      <c r="A76" s="1235"/>
      <c r="B76" s="1182"/>
      <c r="C76" s="1182"/>
      <c r="D76" s="40"/>
      <c r="E76" s="40"/>
      <c r="F76" s="1183"/>
      <c r="G76" s="1183"/>
      <c r="H76" s="179">
        <f t="shared" si="5"/>
        <v>0</v>
      </c>
      <c r="I76" s="376"/>
      <c r="J76" s="376"/>
      <c r="K76" s="208"/>
      <c r="L76" s="209"/>
    </row>
    <row r="77" spans="1:12" ht="18" hidden="1" customHeight="1">
      <c r="A77" s="1235"/>
      <c r="B77" s="1182"/>
      <c r="C77" s="1182"/>
      <c r="D77" s="40"/>
      <c r="E77" s="40"/>
      <c r="F77" s="1183"/>
      <c r="G77" s="1183"/>
      <c r="H77" s="179">
        <f t="shared" si="5"/>
        <v>0</v>
      </c>
      <c r="I77" s="376"/>
      <c r="J77" s="376"/>
      <c r="K77" s="208"/>
      <c r="L77" s="209"/>
    </row>
    <row r="78" spans="1:12" ht="18" hidden="1" customHeight="1">
      <c r="A78" s="1235"/>
      <c r="B78" s="1182"/>
      <c r="C78" s="1182"/>
      <c r="D78" s="40"/>
      <c r="E78" s="40"/>
      <c r="F78" s="1183"/>
      <c r="G78" s="1183"/>
      <c r="H78" s="179">
        <f t="shared" si="5"/>
        <v>0</v>
      </c>
      <c r="I78" s="376"/>
      <c r="J78" s="376"/>
      <c r="K78" s="208"/>
      <c r="L78" s="209"/>
    </row>
    <row r="79" spans="1:12" ht="18" hidden="1" customHeight="1">
      <c r="A79" s="1235"/>
      <c r="B79" s="1182"/>
      <c r="C79" s="1182"/>
      <c r="D79" s="40"/>
      <c r="E79" s="40"/>
      <c r="F79" s="1183"/>
      <c r="G79" s="1183"/>
      <c r="H79" s="179">
        <f t="shared" si="5"/>
        <v>0</v>
      </c>
      <c r="I79" s="376"/>
      <c r="J79" s="376"/>
      <c r="K79" s="208"/>
      <c r="L79" s="209"/>
    </row>
    <row r="80" spans="1:12" ht="18" hidden="1" customHeight="1">
      <c r="A80" s="1235"/>
      <c r="B80" s="1182"/>
      <c r="C80" s="1182"/>
      <c r="D80" s="40"/>
      <c r="E80" s="40"/>
      <c r="F80" s="1183"/>
      <c r="G80" s="1183"/>
      <c r="H80" s="179">
        <f t="shared" si="5"/>
        <v>0</v>
      </c>
      <c r="I80" s="376"/>
      <c r="J80" s="376"/>
      <c r="K80" s="208"/>
      <c r="L80" s="209"/>
    </row>
    <row r="81" spans="1:13" ht="18" hidden="1" customHeight="1">
      <c r="A81" s="1235"/>
      <c r="B81" s="1182"/>
      <c r="C81" s="1182"/>
      <c r="D81" s="40"/>
      <c r="E81" s="40"/>
      <c r="F81" s="1183"/>
      <c r="G81" s="1183"/>
      <c r="H81" s="179">
        <f t="shared" si="5"/>
        <v>0</v>
      </c>
      <c r="I81" s="376"/>
      <c r="J81" s="376"/>
      <c r="K81" s="208"/>
      <c r="L81" s="209"/>
    </row>
    <row r="82" spans="1:13" ht="18" hidden="1" customHeight="1">
      <c r="A82" s="1235"/>
      <c r="B82" s="1182"/>
      <c r="C82" s="1182"/>
      <c r="D82" s="40"/>
      <c r="E82" s="40"/>
      <c r="F82" s="1183"/>
      <c r="G82" s="1183"/>
      <c r="H82" s="179">
        <f t="shared" si="5"/>
        <v>0</v>
      </c>
      <c r="I82" s="376"/>
      <c r="J82" s="376"/>
      <c r="K82" s="208"/>
      <c r="L82" s="209"/>
    </row>
    <row r="83" spans="1:13" ht="18" hidden="1" customHeight="1">
      <c r="A83" s="1235"/>
      <c r="B83" s="1182"/>
      <c r="C83" s="1182"/>
      <c r="D83" s="40"/>
      <c r="E83" s="40"/>
      <c r="F83" s="1183"/>
      <c r="G83" s="1183"/>
      <c r="H83" s="179">
        <f t="shared" si="5"/>
        <v>0</v>
      </c>
      <c r="I83" s="376"/>
      <c r="J83" s="376"/>
      <c r="K83" s="208"/>
      <c r="L83" s="209"/>
    </row>
    <row r="84" spans="1:13" ht="18" hidden="1" customHeight="1">
      <c r="A84" s="1235"/>
      <c r="B84" s="1182"/>
      <c r="C84" s="1182"/>
      <c r="D84" s="40"/>
      <c r="E84" s="40"/>
      <c r="F84" s="1183"/>
      <c r="G84" s="1183"/>
      <c r="H84" s="179">
        <f t="shared" si="5"/>
        <v>0</v>
      </c>
      <c r="I84" s="376"/>
      <c r="J84" s="376"/>
      <c r="K84" s="208"/>
      <c r="L84" s="209"/>
    </row>
    <row r="85" spans="1:13" ht="18" hidden="1" customHeight="1">
      <c r="A85" s="1235"/>
      <c r="B85" s="1182"/>
      <c r="C85" s="1182"/>
      <c r="D85" s="40"/>
      <c r="E85" s="40"/>
      <c r="F85" s="1183"/>
      <c r="G85" s="1183"/>
      <c r="H85" s="179">
        <f t="shared" si="5"/>
        <v>0</v>
      </c>
      <c r="I85" s="376"/>
      <c r="J85" s="376"/>
      <c r="K85" s="208"/>
      <c r="L85" s="209"/>
    </row>
    <row r="86" spans="1:13" ht="18" hidden="1" customHeight="1">
      <c r="A86" s="1235"/>
      <c r="B86" s="1182"/>
      <c r="C86" s="1182"/>
      <c r="D86" s="40"/>
      <c r="E86" s="40"/>
      <c r="F86" s="1183"/>
      <c r="G86" s="1183"/>
      <c r="H86" s="179">
        <f t="shared" si="5"/>
        <v>0</v>
      </c>
      <c r="I86" s="376"/>
      <c r="J86" s="376"/>
      <c r="K86" s="208"/>
      <c r="L86" s="209"/>
    </row>
    <row r="87" spans="1:13" ht="18" customHeight="1">
      <c r="A87" s="1243" t="s">
        <v>474</v>
      </c>
      <c r="B87" s="1184"/>
      <c r="C87" s="1184"/>
      <c r="D87" s="1184"/>
      <c r="E87" s="1184"/>
      <c r="F87" s="1184"/>
      <c r="G87" s="1184"/>
      <c r="H87" s="181">
        <f>SUM(H73:H86)</f>
        <v>0</v>
      </c>
      <c r="I87" s="181">
        <f>SUM(I73:I86)</f>
        <v>0</v>
      </c>
      <c r="J87" s="181">
        <f>SUM(J73:J86)</f>
        <v>0</v>
      </c>
      <c r="K87" s="181">
        <f>SUM(K73:K86)</f>
        <v>0</v>
      </c>
      <c r="L87" s="206">
        <f>SUM(L73:L86)</f>
        <v>0</v>
      </c>
    </row>
    <row r="88" spans="1:13" ht="18" customHeight="1" thickBot="1">
      <c r="A88" s="1229" t="s">
        <v>482</v>
      </c>
      <c r="B88" s="1230"/>
      <c r="C88" s="1230"/>
      <c r="D88" s="1230"/>
      <c r="E88" s="1230"/>
      <c r="F88" s="1230"/>
      <c r="G88" s="1230"/>
      <c r="H88" s="210">
        <f>H70+H87</f>
        <v>0</v>
      </c>
      <c r="I88" s="210">
        <f>I70+I87</f>
        <v>0</v>
      </c>
      <c r="J88" s="210">
        <f t="shared" ref="J88:L88" si="6">J70+J87</f>
        <v>0</v>
      </c>
      <c r="K88" s="210">
        <f t="shared" si="6"/>
        <v>0</v>
      </c>
      <c r="L88" s="211">
        <f t="shared" si="6"/>
        <v>0</v>
      </c>
    </row>
    <row r="89" spans="1:13" ht="18" customHeight="1" thickBot="1">
      <c r="A89" s="1231" t="s">
        <v>475</v>
      </c>
      <c r="B89" s="1232"/>
      <c r="C89" s="1232"/>
      <c r="D89" s="1232"/>
      <c r="E89" s="1232"/>
      <c r="F89" s="1232"/>
      <c r="G89" s="1232"/>
      <c r="H89" s="476" t="s">
        <v>476</v>
      </c>
      <c r="I89" s="1233"/>
      <c r="J89" s="1233"/>
      <c r="K89" s="1233"/>
      <c r="L89" s="1234"/>
    </row>
    <row r="90" spans="1:13" ht="18" customHeight="1">
      <c r="A90" s="1202" t="str">
        <f>IF(H89="Si","Administración","Gastos de administración")</f>
        <v>Gastos de administración</v>
      </c>
      <c r="B90" s="1203"/>
      <c r="C90" s="1203"/>
      <c r="D90" s="1203"/>
      <c r="E90" s="1203"/>
      <c r="F90" s="1204"/>
      <c r="G90" s="412"/>
      <c r="H90" s="413">
        <v>0</v>
      </c>
      <c r="I90" s="179">
        <f>H90</f>
        <v>0</v>
      </c>
      <c r="J90" s="179"/>
      <c r="K90" s="179"/>
      <c r="L90" s="204"/>
      <c r="M90" s="477" t="s">
        <v>410</v>
      </c>
    </row>
    <row r="91" spans="1:13" ht="18" customHeight="1">
      <c r="A91" s="1202" t="str">
        <f>IF(H89="Si","Utilidad","")</f>
        <v/>
      </c>
      <c r="B91" s="1203"/>
      <c r="C91" s="1203"/>
      <c r="D91" s="1203"/>
      <c r="E91" s="1203"/>
      <c r="F91" s="1204"/>
      <c r="G91" s="412"/>
      <c r="H91" s="413">
        <v>0</v>
      </c>
      <c r="I91" s="179"/>
      <c r="J91" s="179"/>
      <c r="K91" s="179"/>
      <c r="L91" s="204"/>
    </row>
    <row r="92" spans="1:13" ht="18" customHeight="1">
      <c r="A92" s="1202" t="str">
        <f>IF(H89="Si","IVA","")</f>
        <v/>
      </c>
      <c r="B92" s="1203"/>
      <c r="C92" s="1203"/>
      <c r="D92" s="1203"/>
      <c r="E92" s="1203"/>
      <c r="F92" s="1204"/>
      <c r="G92" s="412"/>
      <c r="H92" s="413">
        <v>0</v>
      </c>
      <c r="I92" s="179"/>
      <c r="J92" s="179"/>
      <c r="K92" s="179"/>
      <c r="L92" s="204"/>
      <c r="M92" s="411" t="s">
        <v>413</v>
      </c>
    </row>
    <row r="93" spans="1:13" ht="18" customHeight="1" thickBot="1">
      <c r="A93" s="1236" t="str">
        <f>IF(H89="Si","TOTAL (después de AU e IVA)", "TOTAL (después de administración)")</f>
        <v>TOTAL (después de administración)</v>
      </c>
      <c r="B93" s="1237"/>
      <c r="C93" s="1237"/>
      <c r="D93" s="1237"/>
      <c r="E93" s="1237"/>
      <c r="F93" s="1237"/>
      <c r="G93" s="1237"/>
      <c r="H93" s="414">
        <f>SUM(H90:H92)+H88</f>
        <v>0</v>
      </c>
      <c r="I93" s="390">
        <f t="shared" ref="I93:L93" si="7">SUM(I90:I92)+I88</f>
        <v>0</v>
      </c>
      <c r="J93" s="390">
        <f t="shared" si="7"/>
        <v>0</v>
      </c>
      <c r="K93" s="390">
        <f t="shared" si="7"/>
        <v>0</v>
      </c>
      <c r="L93" s="391">
        <f t="shared" si="7"/>
        <v>0</v>
      </c>
    </row>
    <row r="94" spans="1:13" ht="42" customHeight="1" thickBot="1">
      <c r="A94" s="388" t="s">
        <v>477</v>
      </c>
      <c r="B94" s="746"/>
      <c r="C94" s="389" t="s">
        <v>122</v>
      </c>
      <c r="D94" s="746"/>
      <c r="E94" s="389" t="s">
        <v>484</v>
      </c>
      <c r="F94" s="1238">
        <f>IFERROR(H88/B94,0)</f>
        <v>0</v>
      </c>
      <c r="G94" s="1239"/>
      <c r="H94" s="1240" t="s">
        <v>485</v>
      </c>
      <c r="I94" s="1241"/>
      <c r="J94" s="1241"/>
      <c r="K94" s="1241"/>
      <c r="L94" s="1242"/>
    </row>
    <row r="95" spans="1:13" ht="30.75" customHeight="1" thickBot="1">
      <c r="A95" s="1222"/>
      <c r="B95" s="1223"/>
      <c r="C95" s="1223"/>
      <c r="D95" s="1223"/>
      <c r="E95" s="1223"/>
      <c r="F95" s="1223"/>
      <c r="G95" s="1223"/>
      <c r="H95" s="1223"/>
      <c r="I95" s="1223"/>
      <c r="J95" s="1223"/>
      <c r="K95" s="1223"/>
      <c r="L95" s="1224"/>
    </row>
    <row r="96" spans="1:13" ht="51.75" customHeight="1" thickBot="1">
      <c r="A96" s="388" t="s">
        <v>477</v>
      </c>
      <c r="B96" s="746"/>
      <c r="C96" s="389" t="s">
        <v>122</v>
      </c>
      <c r="D96" s="746"/>
      <c r="E96" s="389" t="s">
        <v>486</v>
      </c>
      <c r="F96" s="1238">
        <f>IFERROR((H88-H70)/B96,0)</f>
        <v>0</v>
      </c>
      <c r="G96" s="1239"/>
      <c r="H96" s="1240" t="s">
        <v>485</v>
      </c>
      <c r="I96" s="1241"/>
      <c r="J96" s="1241"/>
      <c r="K96" s="1241"/>
      <c r="L96" s="1242"/>
    </row>
    <row r="97" spans="1:12" ht="18" customHeight="1" thickBot="1">
      <c r="A97" s="1214"/>
      <c r="B97" s="1215"/>
      <c r="C97" s="1215"/>
      <c r="D97" s="1215"/>
      <c r="E97" s="1215"/>
      <c r="F97" s="1215"/>
      <c r="G97" s="1215"/>
      <c r="H97" s="1215"/>
      <c r="I97" s="1215"/>
      <c r="J97" s="1215"/>
      <c r="K97" s="1215"/>
      <c r="L97" s="1215"/>
    </row>
    <row r="98" spans="1:12" ht="18" customHeight="1">
      <c r="A98" s="1244" t="s">
        <v>488</v>
      </c>
      <c r="B98" s="1245"/>
      <c r="C98" s="1245"/>
      <c r="D98" s="1245"/>
      <c r="E98" s="1245"/>
      <c r="F98" s="1245"/>
      <c r="G98" s="1245"/>
      <c r="H98" s="1245"/>
      <c r="I98" s="1245"/>
      <c r="J98" s="1245"/>
      <c r="K98" s="1245"/>
      <c r="L98" s="1246"/>
    </row>
    <row r="99" spans="1:12" ht="31.5" customHeight="1">
      <c r="A99" s="375" t="s">
        <v>391</v>
      </c>
      <c r="B99" s="109" t="s">
        <v>392</v>
      </c>
      <c r="C99" s="109" t="s">
        <v>393</v>
      </c>
      <c r="D99" s="109" t="s">
        <v>122</v>
      </c>
      <c r="E99" s="109" t="s">
        <v>394</v>
      </c>
      <c r="F99" s="173" t="s">
        <v>395</v>
      </c>
      <c r="G99" s="109" t="s">
        <v>396</v>
      </c>
      <c r="H99" s="173" t="s">
        <v>397</v>
      </c>
      <c r="I99" s="175" t="s">
        <v>437</v>
      </c>
      <c r="J99" s="175" t="s">
        <v>438</v>
      </c>
      <c r="K99" s="175" t="s">
        <v>437</v>
      </c>
      <c r="L99" s="201" t="s">
        <v>438</v>
      </c>
    </row>
    <row r="100" spans="1:12" ht="18" customHeight="1">
      <c r="A100" s="1247" t="s">
        <v>389</v>
      </c>
      <c r="B100" s="1248"/>
      <c r="C100" s="1248"/>
      <c r="D100" s="1248"/>
      <c r="E100" s="1248"/>
      <c r="F100" s="1248"/>
      <c r="G100" s="1248"/>
      <c r="H100" s="1248"/>
      <c r="I100" s="1248"/>
      <c r="J100" s="1248"/>
      <c r="K100" s="1248"/>
      <c r="L100" s="1249"/>
    </row>
    <row r="101" spans="1:12" ht="18" customHeight="1">
      <c r="A101" s="377"/>
      <c r="B101" s="182"/>
      <c r="C101" s="178"/>
      <c r="D101" s="182"/>
      <c r="E101" s="182"/>
      <c r="F101" s="179"/>
      <c r="G101" s="203"/>
      <c r="H101" s="179">
        <f>B101*C101*E101*F101*G101</f>
        <v>0</v>
      </c>
      <c r="I101" s="179"/>
      <c r="J101" s="179"/>
      <c r="K101" s="179"/>
      <c r="L101" s="204"/>
    </row>
    <row r="102" spans="1:12" ht="18" customHeight="1">
      <c r="A102" s="377"/>
      <c r="B102" s="182"/>
      <c r="C102" s="178"/>
      <c r="D102" s="182"/>
      <c r="E102" s="182"/>
      <c r="F102" s="179"/>
      <c r="G102" s="203"/>
      <c r="H102" s="179">
        <f>B102*C102*E102*F102*G102</f>
        <v>0</v>
      </c>
      <c r="I102" s="179"/>
      <c r="J102" s="179"/>
      <c r="K102" s="179"/>
      <c r="L102" s="204"/>
    </row>
    <row r="103" spans="1:12" ht="18" hidden="1" customHeight="1">
      <c r="A103" s="377"/>
      <c r="B103" s="182"/>
      <c r="C103" s="178"/>
      <c r="D103" s="182"/>
      <c r="E103" s="182"/>
      <c r="F103" s="179"/>
      <c r="G103" s="203"/>
      <c r="H103" s="179">
        <f t="shared" ref="H103:H111" si="8">B103*C103*E103*F103*G103</f>
        <v>0</v>
      </c>
      <c r="I103" s="179"/>
      <c r="J103" s="179"/>
      <c r="K103" s="179"/>
      <c r="L103" s="204"/>
    </row>
    <row r="104" spans="1:12" ht="18" hidden="1" customHeight="1">
      <c r="A104" s="377"/>
      <c r="B104" s="182"/>
      <c r="C104" s="178"/>
      <c r="D104" s="182"/>
      <c r="E104" s="182"/>
      <c r="F104" s="179"/>
      <c r="G104" s="203"/>
      <c r="H104" s="179">
        <f t="shared" si="8"/>
        <v>0</v>
      </c>
      <c r="I104" s="179"/>
      <c r="J104" s="179"/>
      <c r="K104" s="179"/>
      <c r="L104" s="204"/>
    </row>
    <row r="105" spans="1:12" ht="18" hidden="1" customHeight="1">
      <c r="A105" s="377"/>
      <c r="B105" s="182"/>
      <c r="C105" s="178"/>
      <c r="D105" s="182"/>
      <c r="E105" s="182"/>
      <c r="F105" s="179"/>
      <c r="G105" s="203"/>
      <c r="H105" s="179">
        <f t="shared" si="8"/>
        <v>0</v>
      </c>
      <c r="I105" s="179"/>
      <c r="J105" s="179"/>
      <c r="K105" s="179"/>
      <c r="L105" s="204"/>
    </row>
    <row r="106" spans="1:12" ht="18" hidden="1" customHeight="1">
      <c r="A106" s="377"/>
      <c r="B106" s="182"/>
      <c r="C106" s="178"/>
      <c r="D106" s="182"/>
      <c r="E106" s="182"/>
      <c r="F106" s="179"/>
      <c r="G106" s="203"/>
      <c r="H106" s="179">
        <f t="shared" si="8"/>
        <v>0</v>
      </c>
      <c r="I106" s="179"/>
      <c r="J106" s="179"/>
      <c r="K106" s="179"/>
      <c r="L106" s="204"/>
    </row>
    <row r="107" spans="1:12" ht="18" hidden="1" customHeight="1">
      <c r="A107" s="377"/>
      <c r="B107" s="182"/>
      <c r="C107" s="178"/>
      <c r="D107" s="182"/>
      <c r="E107" s="182"/>
      <c r="F107" s="179"/>
      <c r="G107" s="203"/>
      <c r="H107" s="179">
        <f t="shared" si="8"/>
        <v>0</v>
      </c>
      <c r="I107" s="179"/>
      <c r="J107" s="179"/>
      <c r="K107" s="179"/>
      <c r="L107" s="204"/>
    </row>
    <row r="108" spans="1:12" ht="18" hidden="1" customHeight="1">
      <c r="A108" s="377"/>
      <c r="B108" s="182"/>
      <c r="C108" s="178"/>
      <c r="D108" s="182"/>
      <c r="E108" s="182"/>
      <c r="F108" s="179"/>
      <c r="G108" s="203"/>
      <c r="H108" s="179">
        <f t="shared" si="8"/>
        <v>0</v>
      </c>
      <c r="I108" s="179"/>
      <c r="J108" s="179"/>
      <c r="K108" s="179"/>
      <c r="L108" s="204"/>
    </row>
    <row r="109" spans="1:12" ht="18" hidden="1" customHeight="1">
      <c r="A109" s="205"/>
      <c r="B109" s="177"/>
      <c r="C109" s="178"/>
      <c r="D109" s="177"/>
      <c r="E109" s="177"/>
      <c r="F109" s="179"/>
      <c r="G109" s="180"/>
      <c r="H109" s="179">
        <f t="shared" si="8"/>
        <v>0</v>
      </c>
      <c r="I109" s="179"/>
      <c r="J109" s="179"/>
      <c r="K109" s="179"/>
      <c r="L109" s="204"/>
    </row>
    <row r="110" spans="1:12" ht="18" hidden="1" customHeight="1">
      <c r="A110" s="205"/>
      <c r="B110" s="177"/>
      <c r="C110" s="178"/>
      <c r="D110" s="177"/>
      <c r="E110" s="177"/>
      <c r="F110" s="179"/>
      <c r="G110" s="180"/>
      <c r="H110" s="179">
        <f t="shared" si="8"/>
        <v>0</v>
      </c>
      <c r="I110" s="179"/>
      <c r="J110" s="179"/>
      <c r="K110" s="179"/>
      <c r="L110" s="204"/>
    </row>
    <row r="111" spans="1:12" ht="18" hidden="1" customHeight="1">
      <c r="A111" s="205"/>
      <c r="B111" s="177"/>
      <c r="C111" s="178"/>
      <c r="D111" s="177"/>
      <c r="E111" s="177"/>
      <c r="F111" s="179"/>
      <c r="G111" s="177"/>
      <c r="H111" s="179">
        <f t="shared" si="8"/>
        <v>0</v>
      </c>
      <c r="I111" s="179"/>
      <c r="J111" s="179"/>
      <c r="K111" s="179"/>
      <c r="L111" s="204"/>
    </row>
    <row r="112" spans="1:12" ht="17.25" customHeight="1">
      <c r="A112" s="1243" t="s">
        <v>467</v>
      </c>
      <c r="B112" s="1184"/>
      <c r="C112" s="1184"/>
      <c r="D112" s="1184"/>
      <c r="E112" s="1184"/>
      <c r="F112" s="1184"/>
      <c r="G112" s="1184"/>
      <c r="H112" s="181">
        <f>SUM(H101:H111)</f>
        <v>0</v>
      </c>
      <c r="I112" s="181">
        <f>SUM(I101:I111)</f>
        <v>0</v>
      </c>
      <c r="J112" s="181">
        <f>SUM(J101:J111)</f>
        <v>0</v>
      </c>
      <c r="K112" s="181">
        <f>SUM(K101:K111)</f>
        <v>0</v>
      </c>
      <c r="L112" s="206">
        <f>SUM(L101:L111)</f>
        <v>0</v>
      </c>
    </row>
    <row r="113" spans="1:12" ht="24.75" customHeight="1">
      <c r="A113" s="1067" t="s">
        <v>391</v>
      </c>
      <c r="B113" s="1068"/>
      <c r="C113" s="1068"/>
      <c r="D113" s="117" t="s">
        <v>122</v>
      </c>
      <c r="E113" s="117" t="s">
        <v>394</v>
      </c>
      <c r="F113" s="1068" t="s">
        <v>460</v>
      </c>
      <c r="G113" s="1068"/>
      <c r="H113" s="207" t="s">
        <v>461</v>
      </c>
      <c r="I113" s="175" t="s">
        <v>437</v>
      </c>
      <c r="J113" s="175" t="s">
        <v>438</v>
      </c>
      <c r="K113" s="175" t="s">
        <v>437</v>
      </c>
      <c r="L113" s="201" t="s">
        <v>438</v>
      </c>
    </row>
    <row r="114" spans="1:12" ht="18" customHeight="1">
      <c r="A114" s="1247" t="s">
        <v>481</v>
      </c>
      <c r="B114" s="1248"/>
      <c r="C114" s="1248"/>
      <c r="D114" s="1248"/>
      <c r="E114" s="1248"/>
      <c r="F114" s="1248"/>
      <c r="G114" s="1248"/>
      <c r="H114" s="1248"/>
      <c r="I114" s="1248"/>
      <c r="J114" s="1248"/>
      <c r="K114" s="1248"/>
      <c r="L114" s="1249"/>
    </row>
    <row r="115" spans="1:12" ht="18" customHeight="1">
      <c r="A115" s="1235"/>
      <c r="B115" s="1182"/>
      <c r="C115" s="1182"/>
      <c r="D115" s="40"/>
      <c r="E115" s="40"/>
      <c r="F115" s="1183"/>
      <c r="G115" s="1183"/>
      <c r="H115" s="179">
        <f>E115*F115</f>
        <v>0</v>
      </c>
      <c r="I115" s="376"/>
      <c r="J115" s="376"/>
      <c r="K115" s="208"/>
      <c r="L115" s="209"/>
    </row>
    <row r="116" spans="1:12" ht="18" customHeight="1">
      <c r="A116" s="1235"/>
      <c r="B116" s="1182"/>
      <c r="C116" s="1182"/>
      <c r="D116" s="40"/>
      <c r="E116" s="40"/>
      <c r="F116" s="1183"/>
      <c r="G116" s="1183"/>
      <c r="H116" s="179">
        <f>E116*F116</f>
        <v>0</v>
      </c>
      <c r="I116" s="376"/>
      <c r="J116" s="376"/>
      <c r="K116" s="208"/>
      <c r="L116" s="209"/>
    </row>
    <row r="117" spans="1:12" ht="18" customHeight="1">
      <c r="A117" s="1235"/>
      <c r="B117" s="1182"/>
      <c r="C117" s="1182"/>
      <c r="D117" s="40"/>
      <c r="E117" s="40"/>
      <c r="F117" s="1183"/>
      <c r="G117" s="1183"/>
      <c r="H117" s="179">
        <f t="shared" ref="H117:H128" si="9">E117*F117</f>
        <v>0</v>
      </c>
      <c r="I117" s="376"/>
      <c r="J117" s="376"/>
      <c r="K117" s="208"/>
      <c r="L117" s="209"/>
    </row>
    <row r="118" spans="1:12" ht="18" hidden="1" customHeight="1">
      <c r="A118" s="1235"/>
      <c r="B118" s="1182"/>
      <c r="C118" s="1182"/>
      <c r="D118" s="40"/>
      <c r="E118" s="40"/>
      <c r="F118" s="1183"/>
      <c r="G118" s="1183"/>
      <c r="H118" s="179">
        <f t="shared" si="9"/>
        <v>0</v>
      </c>
      <c r="I118" s="376"/>
      <c r="J118" s="376"/>
      <c r="K118" s="208"/>
      <c r="L118" s="209"/>
    </row>
    <row r="119" spans="1:12" ht="18" hidden="1" customHeight="1">
      <c r="A119" s="1235"/>
      <c r="B119" s="1182"/>
      <c r="C119" s="1182"/>
      <c r="D119" s="40"/>
      <c r="E119" s="40"/>
      <c r="F119" s="1183"/>
      <c r="G119" s="1183"/>
      <c r="H119" s="179">
        <f t="shared" si="9"/>
        <v>0</v>
      </c>
      <c r="I119" s="376"/>
      <c r="J119" s="376"/>
      <c r="K119" s="208"/>
      <c r="L119" s="209"/>
    </row>
    <row r="120" spans="1:12" ht="18" hidden="1" customHeight="1">
      <c r="A120" s="1235"/>
      <c r="B120" s="1182"/>
      <c r="C120" s="1182"/>
      <c r="D120" s="40"/>
      <c r="E120" s="40"/>
      <c r="F120" s="1183"/>
      <c r="G120" s="1183"/>
      <c r="H120" s="179">
        <f t="shared" si="9"/>
        <v>0</v>
      </c>
      <c r="I120" s="376"/>
      <c r="J120" s="376"/>
      <c r="K120" s="208"/>
      <c r="L120" s="209"/>
    </row>
    <row r="121" spans="1:12" ht="18" hidden="1" customHeight="1">
      <c r="A121" s="1235"/>
      <c r="B121" s="1182"/>
      <c r="C121" s="1182"/>
      <c r="D121" s="40"/>
      <c r="E121" s="40"/>
      <c r="F121" s="1183"/>
      <c r="G121" s="1183"/>
      <c r="H121" s="179">
        <f t="shared" si="9"/>
        <v>0</v>
      </c>
      <c r="I121" s="376"/>
      <c r="J121" s="376"/>
      <c r="K121" s="208"/>
      <c r="L121" s="209"/>
    </row>
    <row r="122" spans="1:12" ht="18" hidden="1" customHeight="1">
      <c r="A122" s="1235"/>
      <c r="B122" s="1182"/>
      <c r="C122" s="1182"/>
      <c r="D122" s="40"/>
      <c r="E122" s="40"/>
      <c r="F122" s="1183"/>
      <c r="G122" s="1183"/>
      <c r="H122" s="179">
        <f t="shared" si="9"/>
        <v>0</v>
      </c>
      <c r="I122" s="376"/>
      <c r="J122" s="376"/>
      <c r="K122" s="208"/>
      <c r="L122" s="209"/>
    </row>
    <row r="123" spans="1:12" ht="18" hidden="1" customHeight="1">
      <c r="A123" s="1235"/>
      <c r="B123" s="1182"/>
      <c r="C123" s="1182"/>
      <c r="D123" s="40"/>
      <c r="E123" s="40"/>
      <c r="F123" s="1183"/>
      <c r="G123" s="1183"/>
      <c r="H123" s="179">
        <f t="shared" si="9"/>
        <v>0</v>
      </c>
      <c r="I123" s="376"/>
      <c r="J123" s="376"/>
      <c r="K123" s="208"/>
      <c r="L123" s="209"/>
    </row>
    <row r="124" spans="1:12" ht="18" hidden="1" customHeight="1">
      <c r="A124" s="1235"/>
      <c r="B124" s="1182"/>
      <c r="C124" s="1182"/>
      <c r="D124" s="40"/>
      <c r="E124" s="40"/>
      <c r="F124" s="1183"/>
      <c r="G124" s="1183"/>
      <c r="H124" s="179">
        <f t="shared" si="9"/>
        <v>0</v>
      </c>
      <c r="I124" s="376"/>
      <c r="J124" s="376"/>
      <c r="K124" s="208"/>
      <c r="L124" s="209"/>
    </row>
    <row r="125" spans="1:12" ht="18" hidden="1" customHeight="1">
      <c r="A125" s="1235"/>
      <c r="B125" s="1182"/>
      <c r="C125" s="1182"/>
      <c r="D125" s="40"/>
      <c r="E125" s="40"/>
      <c r="F125" s="1183"/>
      <c r="G125" s="1183"/>
      <c r="H125" s="179">
        <f t="shared" si="9"/>
        <v>0</v>
      </c>
      <c r="I125" s="376"/>
      <c r="J125" s="376"/>
      <c r="K125" s="208"/>
      <c r="L125" s="209"/>
    </row>
    <row r="126" spans="1:12" ht="18" hidden="1" customHeight="1">
      <c r="A126" s="1235"/>
      <c r="B126" s="1182"/>
      <c r="C126" s="1182"/>
      <c r="D126" s="40"/>
      <c r="E126" s="40"/>
      <c r="F126" s="1183"/>
      <c r="G126" s="1183"/>
      <c r="H126" s="179">
        <f t="shared" si="9"/>
        <v>0</v>
      </c>
      <c r="I126" s="376"/>
      <c r="J126" s="376"/>
      <c r="K126" s="208"/>
      <c r="L126" s="209"/>
    </row>
    <row r="127" spans="1:12" ht="18" hidden="1" customHeight="1">
      <c r="A127" s="1235"/>
      <c r="B127" s="1182"/>
      <c r="C127" s="1182"/>
      <c r="D127" s="40"/>
      <c r="E127" s="40"/>
      <c r="F127" s="1183"/>
      <c r="G127" s="1183"/>
      <c r="H127" s="179">
        <f t="shared" si="9"/>
        <v>0</v>
      </c>
      <c r="I127" s="376"/>
      <c r="J127" s="376"/>
      <c r="K127" s="208"/>
      <c r="L127" s="209"/>
    </row>
    <row r="128" spans="1:12" ht="18" hidden="1" customHeight="1">
      <c r="A128" s="1235"/>
      <c r="B128" s="1182"/>
      <c r="C128" s="1182"/>
      <c r="D128" s="40"/>
      <c r="E128" s="40"/>
      <c r="F128" s="1183"/>
      <c r="G128" s="1183"/>
      <c r="H128" s="179">
        <f t="shared" si="9"/>
        <v>0</v>
      </c>
      <c r="I128" s="376"/>
      <c r="J128" s="376"/>
      <c r="K128" s="208"/>
      <c r="L128" s="209"/>
    </row>
    <row r="129" spans="1:13" ht="18" customHeight="1">
      <c r="A129" s="1243" t="s">
        <v>474</v>
      </c>
      <c r="B129" s="1184"/>
      <c r="C129" s="1184"/>
      <c r="D129" s="1184"/>
      <c r="E129" s="1184"/>
      <c r="F129" s="1184"/>
      <c r="G129" s="1184"/>
      <c r="H129" s="181">
        <f>SUM(H115:H128)</f>
        <v>0</v>
      </c>
      <c r="I129" s="181">
        <f>SUM(I115:I128)</f>
        <v>0</v>
      </c>
      <c r="J129" s="181">
        <f>SUM(J115:J128)</f>
        <v>0</v>
      </c>
      <c r="K129" s="181">
        <f>SUM(K115:K128)</f>
        <v>0</v>
      </c>
      <c r="L129" s="206">
        <f>SUM(L115:L128)</f>
        <v>0</v>
      </c>
    </row>
    <row r="130" spans="1:13" ht="18" customHeight="1" thickBot="1">
      <c r="A130" s="1229" t="s">
        <v>482</v>
      </c>
      <c r="B130" s="1230"/>
      <c r="C130" s="1230"/>
      <c r="D130" s="1230"/>
      <c r="E130" s="1230"/>
      <c r="F130" s="1230"/>
      <c r="G130" s="1230"/>
      <c r="H130" s="210">
        <f>H112+H129</f>
        <v>0</v>
      </c>
      <c r="I130" s="210">
        <f>I112+I129</f>
        <v>0</v>
      </c>
      <c r="J130" s="210">
        <f t="shared" ref="J130:L130" si="10">J112+J129</f>
        <v>0</v>
      </c>
      <c r="K130" s="210">
        <f t="shared" si="10"/>
        <v>0</v>
      </c>
      <c r="L130" s="211">
        <f t="shared" si="10"/>
        <v>0</v>
      </c>
    </row>
    <row r="131" spans="1:13" ht="18" customHeight="1" thickBot="1">
      <c r="A131" s="1231" t="s">
        <v>475</v>
      </c>
      <c r="B131" s="1232"/>
      <c r="C131" s="1232"/>
      <c r="D131" s="1232"/>
      <c r="E131" s="1232"/>
      <c r="F131" s="1232"/>
      <c r="G131" s="1232"/>
      <c r="H131" s="476" t="s">
        <v>483</v>
      </c>
      <c r="I131" s="1233"/>
      <c r="J131" s="1233"/>
      <c r="K131" s="1233"/>
      <c r="L131" s="1234"/>
    </row>
    <row r="132" spans="1:13" ht="18" customHeight="1">
      <c r="A132" s="1202" t="str">
        <f>IF(H131="Si","Administración","Gastos de administración")</f>
        <v>Administración</v>
      </c>
      <c r="B132" s="1203"/>
      <c r="C132" s="1203"/>
      <c r="D132" s="1203"/>
      <c r="E132" s="1203"/>
      <c r="F132" s="1204"/>
      <c r="G132" s="412"/>
      <c r="H132" s="413">
        <v>0</v>
      </c>
      <c r="I132" s="179">
        <f>H132</f>
        <v>0</v>
      </c>
      <c r="J132" s="179"/>
      <c r="K132" s="179"/>
      <c r="L132" s="204"/>
      <c r="M132" s="415" t="s">
        <v>410</v>
      </c>
    </row>
    <row r="133" spans="1:13" ht="18" customHeight="1">
      <c r="A133" s="1202" t="str">
        <f>IF(H131="Si","Utilidad","")</f>
        <v>Utilidad</v>
      </c>
      <c r="B133" s="1203"/>
      <c r="C133" s="1203"/>
      <c r="D133" s="1203"/>
      <c r="E133" s="1203"/>
      <c r="F133" s="1204"/>
      <c r="G133" s="412"/>
      <c r="H133" s="413">
        <v>0</v>
      </c>
      <c r="I133" s="179"/>
      <c r="J133" s="179"/>
      <c r="K133" s="179"/>
      <c r="L133" s="204"/>
    </row>
    <row r="134" spans="1:13" ht="18" customHeight="1">
      <c r="A134" s="1202" t="str">
        <f>IF(H131="Si","IVA","")</f>
        <v>IVA</v>
      </c>
      <c r="B134" s="1203"/>
      <c r="C134" s="1203"/>
      <c r="D134" s="1203"/>
      <c r="E134" s="1203"/>
      <c r="F134" s="1204"/>
      <c r="G134" s="412"/>
      <c r="H134" s="413">
        <v>0</v>
      </c>
      <c r="I134" s="179"/>
      <c r="J134" s="179"/>
      <c r="K134" s="179"/>
      <c r="L134" s="204"/>
      <c r="M134" s="411" t="s">
        <v>413</v>
      </c>
    </row>
    <row r="135" spans="1:13" ht="18" customHeight="1" thickBot="1">
      <c r="A135" s="1236" t="str">
        <f>IF(H131="Si","TOTAL (después de AU e IVA)", "TOTAL (después de administración)")</f>
        <v>TOTAL (después de AU e IVA)</v>
      </c>
      <c r="B135" s="1237"/>
      <c r="C135" s="1237"/>
      <c r="D135" s="1237"/>
      <c r="E135" s="1237"/>
      <c r="F135" s="1237"/>
      <c r="G135" s="1237"/>
      <c r="H135" s="414">
        <f>SUM(H132:H134)+H130</f>
        <v>0</v>
      </c>
      <c r="I135" s="390">
        <f t="shared" ref="I135:L135" si="11">SUM(I132:I134)+I130</f>
        <v>0</v>
      </c>
      <c r="J135" s="390">
        <f t="shared" si="11"/>
        <v>0</v>
      </c>
      <c r="K135" s="390">
        <f t="shared" si="11"/>
        <v>0</v>
      </c>
      <c r="L135" s="391">
        <f t="shared" si="11"/>
        <v>0</v>
      </c>
    </row>
    <row r="136" spans="1:13" ht="40.5" customHeight="1" thickBot="1">
      <c r="A136" s="388" t="s">
        <v>477</v>
      </c>
      <c r="B136" s="746"/>
      <c r="C136" s="389" t="s">
        <v>122</v>
      </c>
      <c r="D136" s="746"/>
      <c r="E136" s="389" t="s">
        <v>484</v>
      </c>
      <c r="F136" s="1238">
        <f>IFERROR(H130/B136,0)</f>
        <v>0</v>
      </c>
      <c r="G136" s="1239"/>
      <c r="H136" s="1240" t="s">
        <v>485</v>
      </c>
      <c r="I136" s="1241"/>
      <c r="J136" s="1241"/>
      <c r="K136" s="1241"/>
      <c r="L136" s="1242"/>
    </row>
    <row r="137" spans="1:13" ht="36" customHeight="1" thickBot="1">
      <c r="A137" s="1222"/>
      <c r="B137" s="1223"/>
      <c r="C137" s="1223"/>
      <c r="D137" s="1223"/>
      <c r="E137" s="1223"/>
      <c r="F137" s="1223"/>
      <c r="G137" s="1223"/>
      <c r="H137" s="1223"/>
      <c r="I137" s="1223"/>
      <c r="J137" s="1223"/>
      <c r="K137" s="1223"/>
      <c r="L137" s="1224"/>
    </row>
    <row r="138" spans="1:13" ht="56.25" customHeight="1" thickBot="1">
      <c r="A138" s="388" t="s">
        <v>477</v>
      </c>
      <c r="B138" s="746"/>
      <c r="C138" s="389" t="s">
        <v>122</v>
      </c>
      <c r="D138" s="746"/>
      <c r="E138" s="389" t="s">
        <v>489</v>
      </c>
      <c r="F138" s="1238">
        <f>IFERROR((H130-H112)/B138,0)</f>
        <v>0</v>
      </c>
      <c r="G138" s="1239"/>
      <c r="H138" s="1240" t="s">
        <v>485</v>
      </c>
      <c r="I138" s="1241"/>
      <c r="J138" s="1241"/>
      <c r="K138" s="1241"/>
      <c r="L138" s="1242"/>
    </row>
    <row r="139" spans="1:13" ht="18" customHeight="1" thickBot="1">
      <c r="A139" s="1258"/>
      <c r="B139" s="1258"/>
      <c r="C139" s="1258"/>
      <c r="D139" s="1258"/>
      <c r="E139" s="1258"/>
      <c r="F139" s="1258"/>
      <c r="G139" s="1258"/>
      <c r="H139" s="1258"/>
      <c r="I139" s="1258"/>
      <c r="J139" s="1258"/>
      <c r="K139" s="1258"/>
      <c r="L139" s="1258"/>
    </row>
    <row r="140" spans="1:13" ht="18" customHeight="1">
      <c r="A140" s="1244" t="s">
        <v>490</v>
      </c>
      <c r="B140" s="1245"/>
      <c r="C140" s="1245"/>
      <c r="D140" s="1245"/>
      <c r="E140" s="1245"/>
      <c r="F140" s="1245"/>
      <c r="G140" s="1245"/>
      <c r="H140" s="1245"/>
      <c r="I140" s="1245"/>
      <c r="J140" s="1245"/>
      <c r="K140" s="1245"/>
      <c r="L140" s="1246"/>
    </row>
    <row r="141" spans="1:13" ht="25.5" customHeight="1">
      <c r="A141" s="375" t="s">
        <v>391</v>
      </c>
      <c r="B141" s="109" t="s">
        <v>392</v>
      </c>
      <c r="C141" s="109" t="s">
        <v>393</v>
      </c>
      <c r="D141" s="109" t="s">
        <v>122</v>
      </c>
      <c r="E141" s="109" t="s">
        <v>394</v>
      </c>
      <c r="F141" s="173" t="s">
        <v>395</v>
      </c>
      <c r="G141" s="109" t="s">
        <v>396</v>
      </c>
      <c r="H141" s="173" t="s">
        <v>397</v>
      </c>
      <c r="I141" s="175" t="s">
        <v>437</v>
      </c>
      <c r="J141" s="175" t="s">
        <v>438</v>
      </c>
      <c r="K141" s="175" t="s">
        <v>437</v>
      </c>
      <c r="L141" s="201" t="s">
        <v>438</v>
      </c>
    </row>
    <row r="142" spans="1:13" ht="18" customHeight="1">
      <c r="A142" s="1247" t="s">
        <v>389</v>
      </c>
      <c r="B142" s="1248"/>
      <c r="C142" s="1248"/>
      <c r="D142" s="1248"/>
      <c r="E142" s="1248"/>
      <c r="F142" s="1248"/>
      <c r="G142" s="1248"/>
      <c r="H142" s="1248"/>
      <c r="I142" s="1248"/>
      <c r="J142" s="1248"/>
      <c r="K142" s="1248"/>
      <c r="L142" s="1249"/>
    </row>
    <row r="143" spans="1:13" ht="18" customHeight="1">
      <c r="A143" s="377"/>
      <c r="B143" s="182"/>
      <c r="C143" s="178"/>
      <c r="D143" s="182"/>
      <c r="E143" s="182"/>
      <c r="F143" s="179"/>
      <c r="G143" s="203"/>
      <c r="H143" s="179">
        <f>B143*C143*E143*F143*G143</f>
        <v>0</v>
      </c>
      <c r="I143" s="179"/>
      <c r="J143" s="179"/>
      <c r="K143" s="179"/>
      <c r="L143" s="204"/>
    </row>
    <row r="144" spans="1:13" ht="18" customHeight="1">
      <c r="A144" s="377"/>
      <c r="B144" s="182"/>
      <c r="C144" s="178"/>
      <c r="D144" s="182"/>
      <c r="E144" s="182"/>
      <c r="F144" s="179"/>
      <c r="G144" s="203"/>
      <c r="H144" s="179">
        <f>B144*C144*E144*F144*G144</f>
        <v>0</v>
      </c>
      <c r="I144" s="179"/>
      <c r="J144" s="179"/>
      <c r="K144" s="179"/>
      <c r="L144" s="204"/>
    </row>
    <row r="145" spans="1:12" ht="18" customHeight="1">
      <c r="A145" s="377"/>
      <c r="B145" s="182"/>
      <c r="C145" s="178"/>
      <c r="D145" s="182"/>
      <c r="E145" s="182"/>
      <c r="F145" s="179"/>
      <c r="G145" s="203"/>
      <c r="H145" s="179">
        <f t="shared" ref="H145:H153" si="12">B145*C145*E145*F145*G145</f>
        <v>0</v>
      </c>
      <c r="I145" s="179"/>
      <c r="J145" s="179"/>
      <c r="K145" s="179"/>
      <c r="L145" s="204"/>
    </row>
    <row r="146" spans="1:12" ht="18" hidden="1" customHeight="1">
      <c r="A146" s="377"/>
      <c r="B146" s="182"/>
      <c r="C146" s="178"/>
      <c r="D146" s="182"/>
      <c r="E146" s="182"/>
      <c r="F146" s="179"/>
      <c r="G146" s="203"/>
      <c r="H146" s="179">
        <f t="shared" si="12"/>
        <v>0</v>
      </c>
      <c r="I146" s="179"/>
      <c r="J146" s="179"/>
      <c r="K146" s="179"/>
      <c r="L146" s="204"/>
    </row>
    <row r="147" spans="1:12" ht="18" hidden="1" customHeight="1">
      <c r="A147" s="377"/>
      <c r="B147" s="182"/>
      <c r="C147" s="178"/>
      <c r="D147" s="182"/>
      <c r="E147" s="182"/>
      <c r="F147" s="179"/>
      <c r="G147" s="203"/>
      <c r="H147" s="179">
        <f t="shared" si="12"/>
        <v>0</v>
      </c>
      <c r="I147" s="179"/>
      <c r="J147" s="179"/>
      <c r="K147" s="179"/>
      <c r="L147" s="204"/>
    </row>
    <row r="148" spans="1:12" ht="18" hidden="1" customHeight="1">
      <c r="A148" s="377"/>
      <c r="B148" s="182"/>
      <c r="C148" s="178"/>
      <c r="D148" s="182"/>
      <c r="E148" s="182"/>
      <c r="F148" s="179"/>
      <c r="G148" s="203"/>
      <c r="H148" s="179">
        <f t="shared" si="12"/>
        <v>0</v>
      </c>
      <c r="I148" s="179"/>
      <c r="J148" s="179"/>
      <c r="K148" s="179"/>
      <c r="L148" s="204"/>
    </row>
    <row r="149" spans="1:12" ht="18" hidden="1" customHeight="1">
      <c r="A149" s="377"/>
      <c r="B149" s="182"/>
      <c r="C149" s="178"/>
      <c r="D149" s="182"/>
      <c r="E149" s="182"/>
      <c r="F149" s="179"/>
      <c r="G149" s="203"/>
      <c r="H149" s="179">
        <f t="shared" si="12"/>
        <v>0</v>
      </c>
      <c r="I149" s="179"/>
      <c r="J149" s="179"/>
      <c r="K149" s="179"/>
      <c r="L149" s="204"/>
    </row>
    <row r="150" spans="1:12" ht="18" hidden="1" customHeight="1">
      <c r="A150" s="377"/>
      <c r="B150" s="182"/>
      <c r="C150" s="178"/>
      <c r="D150" s="182"/>
      <c r="E150" s="182"/>
      <c r="F150" s="179"/>
      <c r="G150" s="203"/>
      <c r="H150" s="179">
        <f t="shared" si="12"/>
        <v>0</v>
      </c>
      <c r="I150" s="179"/>
      <c r="J150" s="179"/>
      <c r="K150" s="179"/>
      <c r="L150" s="204"/>
    </row>
    <row r="151" spans="1:12" ht="18" hidden="1" customHeight="1">
      <c r="A151" s="205"/>
      <c r="B151" s="177"/>
      <c r="C151" s="178"/>
      <c r="D151" s="177"/>
      <c r="E151" s="177"/>
      <c r="F151" s="179"/>
      <c r="G151" s="180"/>
      <c r="H151" s="179">
        <f t="shared" si="12"/>
        <v>0</v>
      </c>
      <c r="I151" s="179"/>
      <c r="J151" s="179"/>
      <c r="K151" s="179"/>
      <c r="L151" s="204"/>
    </row>
    <row r="152" spans="1:12" ht="18" hidden="1" customHeight="1">
      <c r="A152" s="205"/>
      <c r="B152" s="177"/>
      <c r="C152" s="178"/>
      <c r="D152" s="177"/>
      <c r="E152" s="177"/>
      <c r="F152" s="179"/>
      <c r="G152" s="180"/>
      <c r="H152" s="179">
        <f t="shared" si="12"/>
        <v>0</v>
      </c>
      <c r="I152" s="179"/>
      <c r="J152" s="179"/>
      <c r="K152" s="179"/>
      <c r="L152" s="204"/>
    </row>
    <row r="153" spans="1:12" ht="18" hidden="1" customHeight="1">
      <c r="A153" s="205"/>
      <c r="B153" s="177"/>
      <c r="C153" s="178"/>
      <c r="D153" s="177"/>
      <c r="E153" s="177"/>
      <c r="F153" s="179"/>
      <c r="G153" s="177"/>
      <c r="H153" s="179">
        <f t="shared" si="12"/>
        <v>0</v>
      </c>
      <c r="I153" s="179"/>
      <c r="J153" s="179"/>
      <c r="K153" s="179"/>
      <c r="L153" s="204"/>
    </row>
    <row r="154" spans="1:12" ht="18" customHeight="1">
      <c r="A154" s="1243" t="s">
        <v>467</v>
      </c>
      <c r="B154" s="1184"/>
      <c r="C154" s="1184"/>
      <c r="D154" s="1184"/>
      <c r="E154" s="1184"/>
      <c r="F154" s="1184"/>
      <c r="G154" s="1184"/>
      <c r="H154" s="181">
        <f>SUM(H143:H153)</f>
        <v>0</v>
      </c>
      <c r="I154" s="181">
        <f>SUM(I143:I153)</f>
        <v>0</v>
      </c>
      <c r="J154" s="181">
        <f>SUM(J143:J153)</f>
        <v>0</v>
      </c>
      <c r="K154" s="181">
        <f>SUM(K143:K153)</f>
        <v>0</v>
      </c>
      <c r="L154" s="206">
        <f>SUM(L143:L153)</f>
        <v>0</v>
      </c>
    </row>
    <row r="155" spans="1:12" ht="24.75" customHeight="1">
      <c r="A155" s="1067" t="s">
        <v>391</v>
      </c>
      <c r="B155" s="1068"/>
      <c r="C155" s="1068"/>
      <c r="D155" s="117" t="s">
        <v>122</v>
      </c>
      <c r="E155" s="117" t="s">
        <v>394</v>
      </c>
      <c r="F155" s="1068" t="s">
        <v>460</v>
      </c>
      <c r="G155" s="1068"/>
      <c r="H155" s="207" t="s">
        <v>461</v>
      </c>
      <c r="I155" s="175" t="s">
        <v>437</v>
      </c>
      <c r="J155" s="175" t="s">
        <v>438</v>
      </c>
      <c r="K155" s="175" t="s">
        <v>437</v>
      </c>
      <c r="L155" s="201" t="s">
        <v>438</v>
      </c>
    </row>
    <row r="156" spans="1:12" ht="18" customHeight="1">
      <c r="A156" s="1247" t="s">
        <v>481</v>
      </c>
      <c r="B156" s="1248"/>
      <c r="C156" s="1248"/>
      <c r="D156" s="1248"/>
      <c r="E156" s="1248"/>
      <c r="F156" s="1248"/>
      <c r="G156" s="1248"/>
      <c r="H156" s="1248"/>
      <c r="I156" s="1248"/>
      <c r="J156" s="1248"/>
      <c r="K156" s="1248"/>
      <c r="L156" s="1249"/>
    </row>
    <row r="157" spans="1:12" ht="18" customHeight="1">
      <c r="A157" s="1235"/>
      <c r="B157" s="1182"/>
      <c r="C157" s="1182"/>
      <c r="D157" s="40"/>
      <c r="E157" s="40"/>
      <c r="F157" s="1183"/>
      <c r="G157" s="1183"/>
      <c r="H157" s="179">
        <f>E157*F157</f>
        <v>0</v>
      </c>
      <c r="I157" s="376"/>
      <c r="J157" s="376"/>
      <c r="K157" s="208"/>
      <c r="L157" s="209"/>
    </row>
    <row r="158" spans="1:12" ht="18" customHeight="1">
      <c r="A158" s="1235"/>
      <c r="B158" s="1182"/>
      <c r="C158" s="1182"/>
      <c r="D158" s="40"/>
      <c r="E158" s="40"/>
      <c r="F158" s="1183"/>
      <c r="G158" s="1183"/>
      <c r="H158" s="179">
        <f>E158*F158</f>
        <v>0</v>
      </c>
      <c r="I158" s="376"/>
      <c r="J158" s="376"/>
      <c r="K158" s="208"/>
      <c r="L158" s="209"/>
    </row>
    <row r="159" spans="1:12" ht="18" hidden="1" customHeight="1">
      <c r="A159" s="1235"/>
      <c r="B159" s="1182"/>
      <c r="C159" s="1182"/>
      <c r="D159" s="40"/>
      <c r="E159" s="40"/>
      <c r="F159" s="1183"/>
      <c r="G159" s="1183"/>
      <c r="H159" s="179">
        <f t="shared" ref="H159:H170" si="13">E159*F159</f>
        <v>0</v>
      </c>
      <c r="I159" s="376"/>
      <c r="J159" s="376"/>
      <c r="K159" s="208"/>
      <c r="L159" s="209"/>
    </row>
    <row r="160" spans="1:12" ht="18" hidden="1" customHeight="1">
      <c r="A160" s="1235"/>
      <c r="B160" s="1182"/>
      <c r="C160" s="1182"/>
      <c r="D160" s="40"/>
      <c r="E160" s="40"/>
      <c r="F160" s="1183"/>
      <c r="G160" s="1183"/>
      <c r="H160" s="179">
        <f t="shared" si="13"/>
        <v>0</v>
      </c>
      <c r="I160" s="376"/>
      <c r="J160" s="376"/>
      <c r="K160" s="208"/>
      <c r="L160" s="209"/>
    </row>
    <row r="161" spans="1:13" ht="18" hidden="1" customHeight="1">
      <c r="A161" s="1235"/>
      <c r="B161" s="1182"/>
      <c r="C161" s="1182"/>
      <c r="D161" s="40"/>
      <c r="E161" s="40"/>
      <c r="F161" s="1183"/>
      <c r="G161" s="1183"/>
      <c r="H161" s="179">
        <f t="shared" si="13"/>
        <v>0</v>
      </c>
      <c r="I161" s="376"/>
      <c r="J161" s="376"/>
      <c r="K161" s="208"/>
      <c r="L161" s="209"/>
    </row>
    <row r="162" spans="1:13" ht="18" hidden="1" customHeight="1">
      <c r="A162" s="1235"/>
      <c r="B162" s="1182"/>
      <c r="C162" s="1182"/>
      <c r="D162" s="40"/>
      <c r="E162" s="40"/>
      <c r="F162" s="1183"/>
      <c r="G162" s="1183"/>
      <c r="H162" s="179">
        <f t="shared" si="13"/>
        <v>0</v>
      </c>
      <c r="I162" s="376"/>
      <c r="J162" s="376"/>
      <c r="K162" s="208"/>
      <c r="L162" s="209"/>
    </row>
    <row r="163" spans="1:13" ht="18" hidden="1" customHeight="1">
      <c r="A163" s="1235"/>
      <c r="B163" s="1182"/>
      <c r="C163" s="1182"/>
      <c r="D163" s="40"/>
      <c r="E163" s="40"/>
      <c r="F163" s="1183"/>
      <c r="G163" s="1183"/>
      <c r="H163" s="179">
        <f t="shared" si="13"/>
        <v>0</v>
      </c>
      <c r="I163" s="376"/>
      <c r="J163" s="376"/>
      <c r="K163" s="208"/>
      <c r="L163" s="209"/>
    </row>
    <row r="164" spans="1:13" ht="18" hidden="1" customHeight="1">
      <c r="A164" s="1235"/>
      <c r="B164" s="1182"/>
      <c r="C164" s="1182"/>
      <c r="D164" s="40"/>
      <c r="E164" s="40"/>
      <c r="F164" s="1183"/>
      <c r="G164" s="1183"/>
      <c r="H164" s="179">
        <f t="shared" si="13"/>
        <v>0</v>
      </c>
      <c r="I164" s="376"/>
      <c r="J164" s="376"/>
      <c r="K164" s="208"/>
      <c r="L164" s="209"/>
    </row>
    <row r="165" spans="1:13" ht="18" hidden="1" customHeight="1">
      <c r="A165" s="1235"/>
      <c r="B165" s="1182"/>
      <c r="C165" s="1182"/>
      <c r="D165" s="40"/>
      <c r="E165" s="40"/>
      <c r="F165" s="1183"/>
      <c r="G165" s="1183"/>
      <c r="H165" s="179">
        <f t="shared" si="13"/>
        <v>0</v>
      </c>
      <c r="I165" s="376"/>
      <c r="J165" s="376"/>
      <c r="K165" s="208"/>
      <c r="L165" s="209"/>
    </row>
    <row r="166" spans="1:13" ht="18" hidden="1" customHeight="1">
      <c r="A166" s="1235"/>
      <c r="B166" s="1182"/>
      <c r="C166" s="1182"/>
      <c r="D166" s="40"/>
      <c r="E166" s="40"/>
      <c r="F166" s="1183"/>
      <c r="G166" s="1183"/>
      <c r="H166" s="179">
        <f t="shared" si="13"/>
        <v>0</v>
      </c>
      <c r="I166" s="376"/>
      <c r="J166" s="376"/>
      <c r="K166" s="208"/>
      <c r="L166" s="209"/>
    </row>
    <row r="167" spans="1:13" ht="18" hidden="1" customHeight="1">
      <c r="A167" s="1235"/>
      <c r="B167" s="1182"/>
      <c r="C167" s="1182"/>
      <c r="D167" s="40"/>
      <c r="E167" s="40"/>
      <c r="F167" s="1183"/>
      <c r="G167" s="1183"/>
      <c r="H167" s="179">
        <f t="shared" si="13"/>
        <v>0</v>
      </c>
      <c r="I167" s="376"/>
      <c r="J167" s="376"/>
      <c r="K167" s="208"/>
      <c r="L167" s="209"/>
    </row>
    <row r="168" spans="1:13" ht="18" hidden="1" customHeight="1">
      <c r="A168" s="1235"/>
      <c r="B168" s="1182"/>
      <c r="C168" s="1182"/>
      <c r="D168" s="40"/>
      <c r="E168" s="40"/>
      <c r="F168" s="1183"/>
      <c r="G168" s="1183"/>
      <c r="H168" s="179">
        <f t="shared" si="13"/>
        <v>0</v>
      </c>
      <c r="I168" s="376"/>
      <c r="J168" s="376"/>
      <c r="K168" s="208"/>
      <c r="L168" s="209"/>
    </row>
    <row r="169" spans="1:13" ht="18" hidden="1" customHeight="1">
      <c r="A169" s="1235"/>
      <c r="B169" s="1182"/>
      <c r="C169" s="1182"/>
      <c r="D169" s="40"/>
      <c r="E169" s="40"/>
      <c r="F169" s="1183"/>
      <c r="G169" s="1183"/>
      <c r="H169" s="179">
        <f t="shared" si="13"/>
        <v>0</v>
      </c>
      <c r="I169" s="376"/>
      <c r="J169" s="376"/>
      <c r="K169" s="208"/>
      <c r="L169" s="209"/>
    </row>
    <row r="170" spans="1:13" ht="18" hidden="1" customHeight="1">
      <c r="A170" s="1235"/>
      <c r="B170" s="1182"/>
      <c r="C170" s="1182"/>
      <c r="D170" s="40"/>
      <c r="E170" s="40"/>
      <c r="F170" s="1183"/>
      <c r="G170" s="1183"/>
      <c r="H170" s="179">
        <f t="shared" si="13"/>
        <v>0</v>
      </c>
      <c r="I170" s="376"/>
      <c r="J170" s="376"/>
      <c r="K170" s="208"/>
      <c r="L170" s="209"/>
    </row>
    <row r="171" spans="1:13" ht="18" customHeight="1">
      <c r="A171" s="1243" t="s">
        <v>474</v>
      </c>
      <c r="B171" s="1184"/>
      <c r="C171" s="1184"/>
      <c r="D171" s="1184"/>
      <c r="E171" s="1184"/>
      <c r="F171" s="1184"/>
      <c r="G171" s="1184"/>
      <c r="H171" s="181">
        <f>SUM(H157:H170)</f>
        <v>0</v>
      </c>
      <c r="I171" s="181">
        <f>SUM(I157:I170)</f>
        <v>0</v>
      </c>
      <c r="J171" s="181">
        <f>SUM(J157:J170)</f>
        <v>0</v>
      </c>
      <c r="K171" s="181">
        <f>SUM(K157:K170)</f>
        <v>0</v>
      </c>
      <c r="L171" s="206">
        <f>SUM(L157:L170)</f>
        <v>0</v>
      </c>
    </row>
    <row r="172" spans="1:13" ht="18" customHeight="1" thickBot="1">
      <c r="A172" s="1229" t="s">
        <v>482</v>
      </c>
      <c r="B172" s="1230"/>
      <c r="C172" s="1230"/>
      <c r="D172" s="1230"/>
      <c r="E172" s="1230"/>
      <c r="F172" s="1230"/>
      <c r="G172" s="1230"/>
      <c r="H172" s="210">
        <f>H154+H171</f>
        <v>0</v>
      </c>
      <c r="I172" s="210">
        <f>I154+I171</f>
        <v>0</v>
      </c>
      <c r="J172" s="210">
        <f t="shared" ref="J172:L172" si="14">J154+J171</f>
        <v>0</v>
      </c>
      <c r="K172" s="210">
        <f t="shared" si="14"/>
        <v>0</v>
      </c>
      <c r="L172" s="211">
        <f t="shared" si="14"/>
        <v>0</v>
      </c>
    </row>
    <row r="173" spans="1:13" ht="18" customHeight="1" thickBot="1">
      <c r="A173" s="1231" t="s">
        <v>475</v>
      </c>
      <c r="B173" s="1232"/>
      <c r="C173" s="1232"/>
      <c r="D173" s="1232"/>
      <c r="E173" s="1232"/>
      <c r="F173" s="1232"/>
      <c r="G173" s="1232"/>
      <c r="H173" s="476" t="s">
        <v>483</v>
      </c>
      <c r="I173" s="1233"/>
      <c r="J173" s="1233"/>
      <c r="K173" s="1233"/>
      <c r="L173" s="1234"/>
    </row>
    <row r="174" spans="1:13" ht="18" customHeight="1">
      <c r="A174" s="1202" t="str">
        <f>IF(H173="Si","Administración","Gastos de administración")</f>
        <v>Administración</v>
      </c>
      <c r="B174" s="1203"/>
      <c r="C174" s="1203"/>
      <c r="D174" s="1203"/>
      <c r="E174" s="1203"/>
      <c r="F174" s="1204"/>
      <c r="G174" s="412"/>
      <c r="H174" s="413">
        <v>0</v>
      </c>
      <c r="I174" s="179">
        <f>H174</f>
        <v>0</v>
      </c>
      <c r="J174" s="179"/>
      <c r="K174" s="179"/>
      <c r="L174" s="204"/>
      <c r="M174" s="477" t="s">
        <v>410</v>
      </c>
    </row>
    <row r="175" spans="1:13" ht="18" customHeight="1">
      <c r="A175" s="1202" t="str">
        <f>IF(H173="Si","Utilidad","")</f>
        <v>Utilidad</v>
      </c>
      <c r="B175" s="1203"/>
      <c r="C175" s="1203"/>
      <c r="D175" s="1203"/>
      <c r="E175" s="1203"/>
      <c r="F175" s="1204"/>
      <c r="G175" s="412"/>
      <c r="H175" s="413">
        <v>0</v>
      </c>
      <c r="I175" s="179"/>
      <c r="J175" s="179"/>
      <c r="K175" s="179"/>
      <c r="L175" s="204"/>
    </row>
    <row r="176" spans="1:13" ht="18" customHeight="1">
      <c r="A176" s="1202" t="str">
        <f>IF(H173="Si","IVA","")</f>
        <v>IVA</v>
      </c>
      <c r="B176" s="1203"/>
      <c r="C176" s="1203"/>
      <c r="D176" s="1203"/>
      <c r="E176" s="1203"/>
      <c r="F176" s="1204"/>
      <c r="G176" s="412"/>
      <c r="H176" s="413">
        <v>0</v>
      </c>
      <c r="I176" s="179"/>
      <c r="J176" s="179"/>
      <c r="K176" s="179"/>
      <c r="L176" s="204"/>
      <c r="M176" s="411" t="s">
        <v>413</v>
      </c>
    </row>
    <row r="177" spans="1:12" ht="18" customHeight="1" thickBot="1">
      <c r="A177" s="1236" t="str">
        <f>IF(H173="Si","TOTAL (después de AU e IVA)", "TOTAL (después de administración)")</f>
        <v>TOTAL (después de AU e IVA)</v>
      </c>
      <c r="B177" s="1237"/>
      <c r="C177" s="1237"/>
      <c r="D177" s="1237"/>
      <c r="E177" s="1237"/>
      <c r="F177" s="1237"/>
      <c r="G177" s="1237"/>
      <c r="H177" s="414">
        <f>SUM(H174:H176)+H172</f>
        <v>0</v>
      </c>
      <c r="I177" s="390">
        <f t="shared" ref="I177:L177" si="15">SUM(I174:I176)+I172</f>
        <v>0</v>
      </c>
      <c r="J177" s="390">
        <f t="shared" si="15"/>
        <v>0</v>
      </c>
      <c r="K177" s="390">
        <f t="shared" si="15"/>
        <v>0</v>
      </c>
      <c r="L177" s="391">
        <f t="shared" si="15"/>
        <v>0</v>
      </c>
    </row>
    <row r="178" spans="1:12" ht="40.5" customHeight="1" thickBot="1">
      <c r="A178" s="388" t="s">
        <v>477</v>
      </c>
      <c r="B178" s="746"/>
      <c r="C178" s="389" t="s">
        <v>122</v>
      </c>
      <c r="D178" s="746"/>
      <c r="E178" s="389" t="s">
        <v>484</v>
      </c>
      <c r="F178" s="1238">
        <f>IFERROR(H172/B178,0)</f>
        <v>0</v>
      </c>
      <c r="G178" s="1239"/>
      <c r="H178" s="1240" t="s">
        <v>485</v>
      </c>
      <c r="I178" s="1241"/>
      <c r="J178" s="1241"/>
      <c r="K178" s="1241"/>
      <c r="L178" s="1242"/>
    </row>
    <row r="179" spans="1:12" ht="18" customHeight="1" thickBot="1">
      <c r="A179" s="1222"/>
      <c r="B179" s="1223"/>
      <c r="C179" s="1223"/>
      <c r="D179" s="1223"/>
      <c r="E179" s="1223"/>
      <c r="F179" s="1223"/>
      <c r="G179" s="1223"/>
      <c r="H179" s="1223"/>
      <c r="I179" s="1223"/>
      <c r="J179" s="1223"/>
      <c r="K179" s="1223"/>
      <c r="L179" s="1224"/>
    </row>
    <row r="180" spans="1:12" ht="55.5" customHeight="1" thickBot="1">
      <c r="A180" s="388" t="s">
        <v>477</v>
      </c>
      <c r="B180" s="746"/>
      <c r="C180" s="389" t="s">
        <v>122</v>
      </c>
      <c r="D180" s="746"/>
      <c r="E180" s="389" t="s">
        <v>486</v>
      </c>
      <c r="F180" s="1238">
        <f>IFERROR((H172-H154)/B180,0)</f>
        <v>0</v>
      </c>
      <c r="G180" s="1239"/>
      <c r="H180" s="1240" t="s">
        <v>485</v>
      </c>
      <c r="I180" s="1241"/>
      <c r="J180" s="1241"/>
      <c r="K180" s="1241"/>
      <c r="L180" s="1242"/>
    </row>
    <row r="181" spans="1:12" ht="18" customHeight="1" thickBot="1">
      <c r="A181" s="750"/>
      <c r="B181" s="640"/>
      <c r="C181" s="750"/>
      <c r="D181" s="640"/>
      <c r="E181" s="750"/>
      <c r="F181" s="747"/>
      <c r="G181" s="748"/>
      <c r="H181" s="749"/>
      <c r="I181" s="749"/>
      <c r="J181" s="749"/>
      <c r="K181" s="749"/>
      <c r="L181" s="749"/>
    </row>
    <row r="182" spans="1:12" ht="18" customHeight="1">
      <c r="A182" s="1244" t="s">
        <v>491</v>
      </c>
      <c r="B182" s="1245"/>
      <c r="C182" s="1245"/>
      <c r="D182" s="1245"/>
      <c r="E182" s="1245"/>
      <c r="F182" s="1245"/>
      <c r="G182" s="1245"/>
      <c r="H182" s="1245"/>
      <c r="I182" s="1245"/>
      <c r="J182" s="1245"/>
      <c r="K182" s="1245"/>
      <c r="L182" s="1246"/>
    </row>
    <row r="183" spans="1:12" ht="31.5" customHeight="1">
      <c r="A183" s="375" t="s">
        <v>391</v>
      </c>
      <c r="B183" s="109" t="s">
        <v>392</v>
      </c>
      <c r="C183" s="109" t="s">
        <v>393</v>
      </c>
      <c r="D183" s="109" t="s">
        <v>122</v>
      </c>
      <c r="E183" s="109" t="s">
        <v>394</v>
      </c>
      <c r="F183" s="173" t="s">
        <v>395</v>
      </c>
      <c r="G183" s="109" t="s">
        <v>396</v>
      </c>
      <c r="H183" s="173" t="s">
        <v>397</v>
      </c>
      <c r="I183" s="175" t="s">
        <v>437</v>
      </c>
      <c r="J183" s="175" t="s">
        <v>438</v>
      </c>
      <c r="K183" s="175" t="s">
        <v>437</v>
      </c>
      <c r="L183" s="201" t="s">
        <v>438</v>
      </c>
    </row>
    <row r="184" spans="1:12" ht="18" customHeight="1">
      <c r="A184" s="1247" t="s">
        <v>389</v>
      </c>
      <c r="B184" s="1248"/>
      <c r="C184" s="1248"/>
      <c r="D184" s="1248"/>
      <c r="E184" s="1248"/>
      <c r="F184" s="1248"/>
      <c r="G184" s="1248"/>
      <c r="H184" s="1248"/>
      <c r="I184" s="1248"/>
      <c r="J184" s="1248"/>
      <c r="K184" s="1248"/>
      <c r="L184" s="1249"/>
    </row>
    <row r="185" spans="1:12" ht="18" customHeight="1">
      <c r="A185" s="377"/>
      <c r="B185" s="182"/>
      <c r="C185" s="178"/>
      <c r="D185" s="182"/>
      <c r="E185" s="182"/>
      <c r="F185" s="179"/>
      <c r="G185" s="203"/>
      <c r="H185" s="179">
        <f>B185*C185*E185*F185*G185</f>
        <v>0</v>
      </c>
      <c r="I185" s="179"/>
      <c r="J185" s="179"/>
      <c r="K185" s="179"/>
      <c r="L185" s="204"/>
    </row>
    <row r="186" spans="1:12" ht="18" customHeight="1">
      <c r="A186" s="377"/>
      <c r="B186" s="182"/>
      <c r="C186" s="178"/>
      <c r="D186" s="182"/>
      <c r="E186" s="182"/>
      <c r="F186" s="179"/>
      <c r="G186" s="203"/>
      <c r="H186" s="179">
        <f>B186*C186*E186*F186*G186</f>
        <v>0</v>
      </c>
      <c r="I186" s="179"/>
      <c r="J186" s="179"/>
      <c r="K186" s="179"/>
      <c r="L186" s="204"/>
    </row>
    <row r="187" spans="1:12" ht="18" hidden="1" customHeight="1">
      <c r="A187" s="377"/>
      <c r="B187" s="182"/>
      <c r="C187" s="178"/>
      <c r="D187" s="182"/>
      <c r="E187" s="182"/>
      <c r="F187" s="179"/>
      <c r="G187" s="203"/>
      <c r="H187" s="179">
        <f t="shared" ref="H187:H195" si="16">B187*C187*E187*F187*G187</f>
        <v>0</v>
      </c>
      <c r="I187" s="179"/>
      <c r="J187" s="179"/>
      <c r="K187" s="179"/>
      <c r="L187" s="204"/>
    </row>
    <row r="188" spans="1:12" ht="18" hidden="1" customHeight="1">
      <c r="A188" s="377"/>
      <c r="B188" s="182"/>
      <c r="C188" s="178"/>
      <c r="D188" s="182"/>
      <c r="E188" s="182"/>
      <c r="F188" s="179"/>
      <c r="G188" s="203"/>
      <c r="H188" s="179">
        <f t="shared" si="16"/>
        <v>0</v>
      </c>
      <c r="I188" s="179"/>
      <c r="J188" s="179"/>
      <c r="K188" s="179"/>
      <c r="L188" s="204"/>
    </row>
    <row r="189" spans="1:12" ht="18" hidden="1" customHeight="1">
      <c r="A189" s="377"/>
      <c r="B189" s="182"/>
      <c r="C189" s="178"/>
      <c r="D189" s="182"/>
      <c r="E189" s="182"/>
      <c r="F189" s="179"/>
      <c r="G189" s="203"/>
      <c r="H189" s="179">
        <f t="shared" si="16"/>
        <v>0</v>
      </c>
      <c r="I189" s="179"/>
      <c r="J189" s="179"/>
      <c r="K189" s="179"/>
      <c r="L189" s="204"/>
    </row>
    <row r="190" spans="1:12" ht="18" hidden="1" customHeight="1">
      <c r="A190" s="377"/>
      <c r="B190" s="182"/>
      <c r="C190" s="178"/>
      <c r="D190" s="182"/>
      <c r="E190" s="182"/>
      <c r="F190" s="179"/>
      <c r="G190" s="203"/>
      <c r="H190" s="179">
        <f t="shared" si="16"/>
        <v>0</v>
      </c>
      <c r="I190" s="179"/>
      <c r="J190" s="179"/>
      <c r="K190" s="179"/>
      <c r="L190" s="204"/>
    </row>
    <row r="191" spans="1:12" ht="18" hidden="1" customHeight="1">
      <c r="A191" s="377"/>
      <c r="B191" s="182"/>
      <c r="C191" s="178"/>
      <c r="D191" s="182"/>
      <c r="E191" s="182"/>
      <c r="F191" s="179"/>
      <c r="G191" s="203"/>
      <c r="H191" s="179">
        <f t="shared" si="16"/>
        <v>0</v>
      </c>
      <c r="I191" s="179"/>
      <c r="J191" s="179"/>
      <c r="K191" s="179"/>
      <c r="L191" s="204"/>
    </row>
    <row r="192" spans="1:12" ht="18" hidden="1" customHeight="1">
      <c r="A192" s="377"/>
      <c r="B192" s="182"/>
      <c r="C192" s="178"/>
      <c r="D192" s="182"/>
      <c r="E192" s="182"/>
      <c r="F192" s="179"/>
      <c r="G192" s="203"/>
      <c r="H192" s="179">
        <f t="shared" si="16"/>
        <v>0</v>
      </c>
      <c r="I192" s="179"/>
      <c r="J192" s="179"/>
      <c r="K192" s="179"/>
      <c r="L192" s="204"/>
    </row>
    <row r="193" spans="1:12" ht="18" hidden="1" customHeight="1">
      <c r="A193" s="205"/>
      <c r="B193" s="177"/>
      <c r="C193" s="178"/>
      <c r="D193" s="177"/>
      <c r="E193" s="177"/>
      <c r="F193" s="179"/>
      <c r="G193" s="180"/>
      <c r="H193" s="179">
        <f t="shared" si="16"/>
        <v>0</v>
      </c>
      <c r="I193" s="179"/>
      <c r="J193" s="179"/>
      <c r="K193" s="179"/>
      <c r="L193" s="204"/>
    </row>
    <row r="194" spans="1:12" ht="18" hidden="1" customHeight="1">
      <c r="A194" s="205"/>
      <c r="B194" s="177"/>
      <c r="C194" s="178"/>
      <c r="D194" s="177"/>
      <c r="E194" s="177"/>
      <c r="F194" s="179"/>
      <c r="G194" s="180"/>
      <c r="H194" s="179">
        <f t="shared" si="16"/>
        <v>0</v>
      </c>
      <c r="I194" s="179"/>
      <c r="J194" s="179"/>
      <c r="K194" s="179"/>
      <c r="L194" s="204"/>
    </row>
    <row r="195" spans="1:12" ht="18" hidden="1" customHeight="1">
      <c r="A195" s="205"/>
      <c r="B195" s="177"/>
      <c r="C195" s="178"/>
      <c r="D195" s="177"/>
      <c r="E195" s="177"/>
      <c r="F195" s="179"/>
      <c r="G195" s="177"/>
      <c r="H195" s="179">
        <f t="shared" si="16"/>
        <v>0</v>
      </c>
      <c r="I195" s="179"/>
      <c r="J195" s="179"/>
      <c r="K195" s="179"/>
      <c r="L195" s="204"/>
    </row>
    <row r="196" spans="1:12" ht="18" customHeight="1">
      <c r="A196" s="1243" t="s">
        <v>467</v>
      </c>
      <c r="B196" s="1184"/>
      <c r="C196" s="1184"/>
      <c r="D196" s="1184"/>
      <c r="E196" s="1184"/>
      <c r="F196" s="1184"/>
      <c r="G196" s="1184"/>
      <c r="H196" s="181">
        <f>SUM(H185:H195)</f>
        <v>0</v>
      </c>
      <c r="I196" s="181">
        <f>SUM(I185:I195)</f>
        <v>0</v>
      </c>
      <c r="J196" s="181">
        <f>SUM(J185:J195)</f>
        <v>0</v>
      </c>
      <c r="K196" s="181">
        <f>SUM(K185:K195)</f>
        <v>0</v>
      </c>
      <c r="L196" s="206">
        <f>SUM(L185:L195)</f>
        <v>0</v>
      </c>
    </row>
    <row r="197" spans="1:12" ht="24.75" customHeight="1">
      <c r="A197" s="1067" t="s">
        <v>391</v>
      </c>
      <c r="B197" s="1068"/>
      <c r="C197" s="1068"/>
      <c r="D197" s="117" t="s">
        <v>122</v>
      </c>
      <c r="E197" s="117" t="s">
        <v>394</v>
      </c>
      <c r="F197" s="1068" t="s">
        <v>460</v>
      </c>
      <c r="G197" s="1068"/>
      <c r="H197" s="207" t="s">
        <v>461</v>
      </c>
      <c r="I197" s="175" t="s">
        <v>437</v>
      </c>
      <c r="J197" s="175" t="s">
        <v>438</v>
      </c>
      <c r="K197" s="175" t="s">
        <v>437</v>
      </c>
      <c r="L197" s="201" t="s">
        <v>438</v>
      </c>
    </row>
    <row r="198" spans="1:12" ht="18" customHeight="1">
      <c r="A198" s="1247" t="s">
        <v>481</v>
      </c>
      <c r="B198" s="1248"/>
      <c r="C198" s="1248"/>
      <c r="D198" s="1248"/>
      <c r="E198" s="1248"/>
      <c r="F198" s="1248"/>
      <c r="G198" s="1248"/>
      <c r="H198" s="1248"/>
      <c r="I198" s="1248"/>
      <c r="J198" s="1248"/>
      <c r="K198" s="1248"/>
      <c r="L198" s="1249"/>
    </row>
    <row r="199" spans="1:12" ht="18" customHeight="1">
      <c r="A199" s="1235"/>
      <c r="B199" s="1182"/>
      <c r="C199" s="1182"/>
      <c r="D199" s="40"/>
      <c r="E199" s="40"/>
      <c r="F199" s="1183"/>
      <c r="G199" s="1183"/>
      <c r="H199" s="179">
        <f>E199*F199</f>
        <v>0</v>
      </c>
      <c r="I199" s="376"/>
      <c r="J199" s="376"/>
      <c r="K199" s="208"/>
      <c r="L199" s="209"/>
    </row>
    <row r="200" spans="1:12" ht="18" customHeight="1">
      <c r="A200" s="1235"/>
      <c r="B200" s="1182"/>
      <c r="C200" s="1182"/>
      <c r="D200" s="40"/>
      <c r="E200" s="40"/>
      <c r="F200" s="1183"/>
      <c r="G200" s="1183"/>
      <c r="H200" s="179">
        <f>E200*F200</f>
        <v>0</v>
      </c>
      <c r="I200" s="376"/>
      <c r="J200" s="376"/>
      <c r="K200" s="208"/>
      <c r="L200" s="209"/>
    </row>
    <row r="201" spans="1:12" ht="18" customHeight="1">
      <c r="A201" s="1235"/>
      <c r="B201" s="1182"/>
      <c r="C201" s="1182"/>
      <c r="D201" s="40"/>
      <c r="E201" s="40"/>
      <c r="F201" s="1183"/>
      <c r="G201" s="1183"/>
      <c r="H201" s="179">
        <f t="shared" ref="H201:H212" si="17">E201*F201</f>
        <v>0</v>
      </c>
      <c r="I201" s="376"/>
      <c r="J201" s="376"/>
      <c r="K201" s="208"/>
      <c r="L201" s="209"/>
    </row>
    <row r="202" spans="1:12" ht="18" hidden="1" customHeight="1">
      <c r="A202" s="1235"/>
      <c r="B202" s="1182"/>
      <c r="C202" s="1182"/>
      <c r="D202" s="40"/>
      <c r="E202" s="40"/>
      <c r="F202" s="1183"/>
      <c r="G202" s="1183"/>
      <c r="H202" s="179">
        <f t="shared" si="17"/>
        <v>0</v>
      </c>
      <c r="I202" s="376"/>
      <c r="J202" s="376"/>
      <c r="K202" s="208"/>
      <c r="L202" s="209"/>
    </row>
    <row r="203" spans="1:12" ht="18" hidden="1" customHeight="1">
      <c r="A203" s="1235"/>
      <c r="B203" s="1182"/>
      <c r="C203" s="1182"/>
      <c r="D203" s="40"/>
      <c r="E203" s="40"/>
      <c r="F203" s="1183"/>
      <c r="G203" s="1183"/>
      <c r="H203" s="179">
        <f t="shared" si="17"/>
        <v>0</v>
      </c>
      <c r="I203" s="376"/>
      <c r="J203" s="376"/>
      <c r="K203" s="208"/>
      <c r="L203" s="209"/>
    </row>
    <row r="204" spans="1:12" ht="18" hidden="1" customHeight="1">
      <c r="A204" s="1235"/>
      <c r="B204" s="1182"/>
      <c r="C204" s="1182"/>
      <c r="D204" s="40"/>
      <c r="E204" s="40"/>
      <c r="F204" s="1183"/>
      <c r="G204" s="1183"/>
      <c r="H204" s="179">
        <f t="shared" si="17"/>
        <v>0</v>
      </c>
      <c r="I204" s="376"/>
      <c r="J204" s="376"/>
      <c r="K204" s="208"/>
      <c r="L204" s="209"/>
    </row>
    <row r="205" spans="1:12" ht="18" hidden="1" customHeight="1">
      <c r="A205" s="1235"/>
      <c r="B205" s="1182"/>
      <c r="C205" s="1182"/>
      <c r="D205" s="40"/>
      <c r="E205" s="40"/>
      <c r="F205" s="1183"/>
      <c r="G205" s="1183"/>
      <c r="H205" s="179">
        <f t="shared" si="17"/>
        <v>0</v>
      </c>
      <c r="I205" s="376"/>
      <c r="J205" s="376"/>
      <c r="K205" s="208"/>
      <c r="L205" s="209"/>
    </row>
    <row r="206" spans="1:12" ht="18" hidden="1" customHeight="1">
      <c r="A206" s="1235"/>
      <c r="B206" s="1182"/>
      <c r="C206" s="1182"/>
      <c r="D206" s="40"/>
      <c r="E206" s="40"/>
      <c r="F206" s="1183"/>
      <c r="G206" s="1183"/>
      <c r="H206" s="179">
        <f t="shared" si="17"/>
        <v>0</v>
      </c>
      <c r="I206" s="376"/>
      <c r="J206" s="376"/>
      <c r="K206" s="208"/>
      <c r="L206" s="209"/>
    </row>
    <row r="207" spans="1:12" ht="18" hidden="1" customHeight="1">
      <c r="A207" s="1235"/>
      <c r="B207" s="1182"/>
      <c r="C207" s="1182"/>
      <c r="D207" s="40"/>
      <c r="E207" s="40"/>
      <c r="F207" s="1183"/>
      <c r="G207" s="1183"/>
      <c r="H207" s="179">
        <f t="shared" si="17"/>
        <v>0</v>
      </c>
      <c r="I207" s="376"/>
      <c r="J207" s="376"/>
      <c r="K207" s="208"/>
      <c r="L207" s="209"/>
    </row>
    <row r="208" spans="1:12" ht="18" hidden="1" customHeight="1">
      <c r="A208" s="1235"/>
      <c r="B208" s="1182"/>
      <c r="C208" s="1182"/>
      <c r="D208" s="40"/>
      <c r="E208" s="40"/>
      <c r="F208" s="1183"/>
      <c r="G208" s="1183"/>
      <c r="H208" s="179">
        <f t="shared" si="17"/>
        <v>0</v>
      </c>
      <c r="I208" s="376"/>
      <c r="J208" s="376"/>
      <c r="K208" s="208"/>
      <c r="L208" s="209"/>
    </row>
    <row r="209" spans="1:13" ht="18" hidden="1" customHeight="1">
      <c r="A209" s="1235"/>
      <c r="B209" s="1182"/>
      <c r="C209" s="1182"/>
      <c r="D209" s="40"/>
      <c r="E209" s="40"/>
      <c r="F209" s="1183"/>
      <c r="G209" s="1183"/>
      <c r="H209" s="179">
        <f t="shared" si="17"/>
        <v>0</v>
      </c>
      <c r="I209" s="376"/>
      <c r="J209" s="376"/>
      <c r="K209" s="208"/>
      <c r="L209" s="209"/>
    </row>
    <row r="210" spans="1:13" ht="18" hidden="1" customHeight="1">
      <c r="A210" s="1235"/>
      <c r="B210" s="1182"/>
      <c r="C210" s="1182"/>
      <c r="D210" s="40"/>
      <c r="E210" s="40"/>
      <c r="F210" s="1183"/>
      <c r="G210" s="1183"/>
      <c r="H210" s="179">
        <f t="shared" si="17"/>
        <v>0</v>
      </c>
      <c r="I210" s="376"/>
      <c r="J210" s="376"/>
      <c r="K210" s="208"/>
      <c r="L210" s="209"/>
    </row>
    <row r="211" spans="1:13" ht="18" hidden="1" customHeight="1">
      <c r="A211" s="1235"/>
      <c r="B211" s="1182"/>
      <c r="C211" s="1182"/>
      <c r="D211" s="40"/>
      <c r="E211" s="40"/>
      <c r="F211" s="1183"/>
      <c r="G211" s="1183"/>
      <c r="H211" s="179">
        <f t="shared" si="17"/>
        <v>0</v>
      </c>
      <c r="I211" s="376"/>
      <c r="J211" s="376"/>
      <c r="K211" s="208"/>
      <c r="L211" s="209"/>
    </row>
    <row r="212" spans="1:13" ht="18" hidden="1" customHeight="1">
      <c r="A212" s="1235"/>
      <c r="B212" s="1182"/>
      <c r="C212" s="1182"/>
      <c r="D212" s="40"/>
      <c r="E212" s="40"/>
      <c r="F212" s="1183"/>
      <c r="G212" s="1183"/>
      <c r="H212" s="179">
        <f t="shared" si="17"/>
        <v>0</v>
      </c>
      <c r="I212" s="376"/>
      <c r="J212" s="376"/>
      <c r="K212" s="208"/>
      <c r="L212" s="209"/>
    </row>
    <row r="213" spans="1:13" ht="18" customHeight="1">
      <c r="A213" s="1243" t="s">
        <v>474</v>
      </c>
      <c r="B213" s="1184"/>
      <c r="C213" s="1184"/>
      <c r="D213" s="1184"/>
      <c r="E213" s="1184"/>
      <c r="F213" s="1184"/>
      <c r="G213" s="1184"/>
      <c r="H213" s="181">
        <f>SUM(H199:H212)</f>
        <v>0</v>
      </c>
      <c r="I213" s="181">
        <f>SUM(I199:I212)</f>
        <v>0</v>
      </c>
      <c r="J213" s="181">
        <f>SUM(J199:J212)</f>
        <v>0</v>
      </c>
      <c r="K213" s="181">
        <f>SUM(K199:K212)</f>
        <v>0</v>
      </c>
      <c r="L213" s="206">
        <f>SUM(L199:L212)</f>
        <v>0</v>
      </c>
    </row>
    <row r="214" spans="1:13" ht="18" customHeight="1" thickBot="1">
      <c r="A214" s="1229" t="s">
        <v>482</v>
      </c>
      <c r="B214" s="1230"/>
      <c r="C214" s="1230"/>
      <c r="D214" s="1230"/>
      <c r="E214" s="1230"/>
      <c r="F214" s="1230"/>
      <c r="G214" s="1230"/>
      <c r="H214" s="210">
        <f>H196+H213</f>
        <v>0</v>
      </c>
      <c r="I214" s="210">
        <f>I196+I213</f>
        <v>0</v>
      </c>
      <c r="J214" s="210">
        <f t="shared" ref="J214:L214" si="18">J196+J213</f>
        <v>0</v>
      </c>
      <c r="K214" s="210">
        <f t="shared" si="18"/>
        <v>0</v>
      </c>
      <c r="L214" s="211">
        <f t="shared" si="18"/>
        <v>0</v>
      </c>
    </row>
    <row r="215" spans="1:13" ht="18" customHeight="1" thickBot="1">
      <c r="A215" s="1231" t="s">
        <v>475</v>
      </c>
      <c r="B215" s="1232"/>
      <c r="C215" s="1232"/>
      <c r="D215" s="1232"/>
      <c r="E215" s="1232"/>
      <c r="F215" s="1232"/>
      <c r="G215" s="1232"/>
      <c r="H215" s="476" t="s">
        <v>476</v>
      </c>
      <c r="I215" s="1233"/>
      <c r="J215" s="1233"/>
      <c r="K215" s="1233"/>
      <c r="L215" s="1234"/>
    </row>
    <row r="216" spans="1:13" ht="18" customHeight="1">
      <c r="A216" s="1202" t="str">
        <f>IF(H215="Si","Administración","Gastos de administración")</f>
        <v>Gastos de administración</v>
      </c>
      <c r="B216" s="1203"/>
      <c r="C216" s="1203"/>
      <c r="D216" s="1203"/>
      <c r="E216" s="1203"/>
      <c r="F216" s="1204"/>
      <c r="G216" s="412"/>
      <c r="H216" s="413">
        <v>0</v>
      </c>
      <c r="I216" s="179">
        <f>H216</f>
        <v>0</v>
      </c>
      <c r="J216" s="179"/>
      <c r="K216" s="179"/>
      <c r="L216" s="204"/>
      <c r="M216" s="477" t="s">
        <v>410</v>
      </c>
    </row>
    <row r="217" spans="1:13" ht="18" customHeight="1">
      <c r="A217" s="1202" t="str">
        <f>IF(H215="Si","Utilidad","")</f>
        <v/>
      </c>
      <c r="B217" s="1203"/>
      <c r="C217" s="1203"/>
      <c r="D217" s="1203"/>
      <c r="E217" s="1203"/>
      <c r="F217" s="1204"/>
      <c r="G217" s="412"/>
      <c r="H217" s="413">
        <v>0</v>
      </c>
      <c r="I217" s="179"/>
      <c r="J217" s="179"/>
      <c r="K217" s="179"/>
      <c r="L217" s="204"/>
    </row>
    <row r="218" spans="1:13" ht="18" customHeight="1">
      <c r="A218" s="1202" t="str">
        <f>IF(H215="Si","IVA","")</f>
        <v/>
      </c>
      <c r="B218" s="1203"/>
      <c r="C218" s="1203"/>
      <c r="D218" s="1203"/>
      <c r="E218" s="1203"/>
      <c r="F218" s="1204"/>
      <c r="G218" s="412"/>
      <c r="H218" s="413">
        <v>0</v>
      </c>
      <c r="I218" s="179"/>
      <c r="J218" s="179"/>
      <c r="K218" s="179"/>
      <c r="L218" s="204"/>
      <c r="M218" s="411" t="s">
        <v>413</v>
      </c>
    </row>
    <row r="219" spans="1:13" ht="18" customHeight="1" thickBot="1">
      <c r="A219" s="1236" t="str">
        <f>IF(H215="Si","TOTAL (después de AU e IVA)", "TOTAL (después de administración)")</f>
        <v>TOTAL (después de administración)</v>
      </c>
      <c r="B219" s="1237"/>
      <c r="C219" s="1237"/>
      <c r="D219" s="1237"/>
      <c r="E219" s="1237"/>
      <c r="F219" s="1237"/>
      <c r="G219" s="1237"/>
      <c r="H219" s="414">
        <f>SUM(H216:H218)+H214</f>
        <v>0</v>
      </c>
      <c r="I219" s="390">
        <f t="shared" ref="I219:L219" si="19">SUM(I216:I218)+I214</f>
        <v>0</v>
      </c>
      <c r="J219" s="390">
        <f t="shared" si="19"/>
        <v>0</v>
      </c>
      <c r="K219" s="390">
        <f t="shared" si="19"/>
        <v>0</v>
      </c>
      <c r="L219" s="391">
        <f t="shared" si="19"/>
        <v>0</v>
      </c>
    </row>
    <row r="220" spans="1:13" ht="39.75" customHeight="1" thickBot="1">
      <c r="A220" s="388" t="s">
        <v>477</v>
      </c>
      <c r="B220" s="746"/>
      <c r="C220" s="389" t="s">
        <v>122</v>
      </c>
      <c r="D220" s="746"/>
      <c r="E220" s="389" t="s">
        <v>484</v>
      </c>
      <c r="F220" s="1238">
        <f>IFERROR(H214/B220,0)</f>
        <v>0</v>
      </c>
      <c r="G220" s="1239"/>
      <c r="H220" s="1240" t="s">
        <v>485</v>
      </c>
      <c r="I220" s="1241"/>
      <c r="J220" s="1241"/>
      <c r="K220" s="1241"/>
      <c r="L220" s="1242"/>
    </row>
    <row r="221" spans="1:13" ht="39.75" customHeight="1" thickBot="1">
      <c r="A221" s="1222"/>
      <c r="B221" s="1223"/>
      <c r="C221" s="1223"/>
      <c r="D221" s="1223"/>
      <c r="E221" s="1223"/>
      <c r="F221" s="1223"/>
      <c r="G221" s="1223"/>
      <c r="H221" s="1223"/>
      <c r="I221" s="1223"/>
      <c r="J221" s="1223"/>
      <c r="K221" s="1223"/>
      <c r="L221" s="1224"/>
    </row>
    <row r="222" spans="1:13" ht="56.25" customHeight="1" thickBot="1">
      <c r="A222" s="388" t="s">
        <v>477</v>
      </c>
      <c r="B222" s="746"/>
      <c r="C222" s="389" t="s">
        <v>122</v>
      </c>
      <c r="D222" s="746"/>
      <c r="E222" s="389" t="s">
        <v>486</v>
      </c>
      <c r="F222" s="1238">
        <f>IFERROR((H214-H196)/B222,0)</f>
        <v>0</v>
      </c>
      <c r="G222" s="1239"/>
      <c r="H222" s="1240" t="s">
        <v>485</v>
      </c>
      <c r="I222" s="1241"/>
      <c r="J222" s="1241"/>
      <c r="K222" s="1241"/>
      <c r="L222" s="1242"/>
    </row>
    <row r="223" spans="1:13" ht="18" customHeight="1" thickBot="1"/>
    <row r="224" spans="1:13" ht="18" customHeight="1">
      <c r="A224" s="1244" t="s">
        <v>492</v>
      </c>
      <c r="B224" s="1245"/>
      <c r="C224" s="1245"/>
      <c r="D224" s="1245"/>
      <c r="E224" s="1245"/>
      <c r="F224" s="1245"/>
      <c r="G224" s="1245"/>
      <c r="H224" s="1245"/>
      <c r="I224" s="1245"/>
      <c r="J224" s="1245"/>
      <c r="K224" s="1245"/>
      <c r="L224" s="1246"/>
    </row>
    <row r="225" spans="1:12" ht="31.5" customHeight="1">
      <c r="A225" s="375" t="s">
        <v>391</v>
      </c>
      <c r="B225" s="109" t="s">
        <v>392</v>
      </c>
      <c r="C225" s="109" t="s">
        <v>393</v>
      </c>
      <c r="D225" s="109" t="s">
        <v>122</v>
      </c>
      <c r="E225" s="109" t="s">
        <v>394</v>
      </c>
      <c r="F225" s="173" t="s">
        <v>395</v>
      </c>
      <c r="G225" s="109" t="s">
        <v>396</v>
      </c>
      <c r="H225" s="173" t="s">
        <v>397</v>
      </c>
      <c r="I225" s="175" t="s">
        <v>437</v>
      </c>
      <c r="J225" s="175" t="s">
        <v>438</v>
      </c>
      <c r="K225" s="175" t="s">
        <v>437</v>
      </c>
      <c r="L225" s="201" t="s">
        <v>438</v>
      </c>
    </row>
    <row r="226" spans="1:12" ht="18" customHeight="1">
      <c r="A226" s="1247" t="s">
        <v>389</v>
      </c>
      <c r="B226" s="1248"/>
      <c r="C226" s="1248"/>
      <c r="D226" s="1248"/>
      <c r="E226" s="1248"/>
      <c r="F226" s="1248"/>
      <c r="G226" s="1248"/>
      <c r="H226" s="1248"/>
      <c r="I226" s="1248"/>
      <c r="J226" s="1248"/>
      <c r="K226" s="1248"/>
      <c r="L226" s="1249"/>
    </row>
    <row r="227" spans="1:12" ht="18" customHeight="1">
      <c r="A227" s="377"/>
      <c r="B227" s="182"/>
      <c r="C227" s="178"/>
      <c r="D227" s="182"/>
      <c r="E227" s="182"/>
      <c r="F227" s="179"/>
      <c r="G227" s="203"/>
      <c r="H227" s="179">
        <f>B227*C227*E227*F227*G227</f>
        <v>0</v>
      </c>
      <c r="I227" s="179"/>
      <c r="J227" s="179"/>
      <c r="K227" s="179"/>
      <c r="L227" s="204"/>
    </row>
    <row r="228" spans="1:12" ht="18" customHeight="1">
      <c r="A228" s="377"/>
      <c r="B228" s="182"/>
      <c r="C228" s="178"/>
      <c r="D228" s="182"/>
      <c r="E228" s="182"/>
      <c r="F228" s="179"/>
      <c r="G228" s="203"/>
      <c r="H228" s="179">
        <f>B228*C228*E228*F228*G228</f>
        <v>0</v>
      </c>
      <c r="I228" s="179"/>
      <c r="J228" s="179"/>
      <c r="K228" s="179"/>
      <c r="L228" s="204"/>
    </row>
    <row r="229" spans="1:12" ht="18" customHeight="1">
      <c r="A229" s="377"/>
      <c r="B229" s="182"/>
      <c r="C229" s="178"/>
      <c r="D229" s="182"/>
      <c r="E229" s="182"/>
      <c r="F229" s="179"/>
      <c r="G229" s="203"/>
      <c r="H229" s="179">
        <f t="shared" ref="H229:H237" si="20">B229*C229*E229*F229*G229</f>
        <v>0</v>
      </c>
      <c r="I229" s="179"/>
      <c r="J229" s="179"/>
      <c r="K229" s="179"/>
      <c r="L229" s="204"/>
    </row>
    <row r="230" spans="1:12" ht="18" hidden="1" customHeight="1">
      <c r="A230" s="377"/>
      <c r="B230" s="182"/>
      <c r="C230" s="178"/>
      <c r="D230" s="182"/>
      <c r="E230" s="182"/>
      <c r="F230" s="179"/>
      <c r="G230" s="203"/>
      <c r="H230" s="179">
        <f t="shared" si="20"/>
        <v>0</v>
      </c>
      <c r="I230" s="179"/>
      <c r="J230" s="179"/>
      <c r="K230" s="179"/>
      <c r="L230" s="204"/>
    </row>
    <row r="231" spans="1:12" ht="18" hidden="1" customHeight="1">
      <c r="A231" s="377"/>
      <c r="B231" s="182"/>
      <c r="C231" s="178"/>
      <c r="D231" s="182"/>
      <c r="E231" s="182"/>
      <c r="F231" s="179"/>
      <c r="G231" s="203"/>
      <c r="H231" s="179">
        <f t="shared" si="20"/>
        <v>0</v>
      </c>
      <c r="I231" s="179"/>
      <c r="J231" s="179"/>
      <c r="K231" s="179"/>
      <c r="L231" s="204"/>
    </row>
    <row r="232" spans="1:12" ht="18" hidden="1" customHeight="1">
      <c r="A232" s="377"/>
      <c r="B232" s="182"/>
      <c r="C232" s="178"/>
      <c r="D232" s="182"/>
      <c r="E232" s="182"/>
      <c r="F232" s="179"/>
      <c r="G232" s="203"/>
      <c r="H232" s="179">
        <f t="shared" si="20"/>
        <v>0</v>
      </c>
      <c r="I232" s="179"/>
      <c r="J232" s="179"/>
      <c r="K232" s="179"/>
      <c r="L232" s="204"/>
    </row>
    <row r="233" spans="1:12" ht="18" hidden="1" customHeight="1">
      <c r="A233" s="377"/>
      <c r="B233" s="182"/>
      <c r="C233" s="178"/>
      <c r="D233" s="182"/>
      <c r="E233" s="182"/>
      <c r="F233" s="179"/>
      <c r="G233" s="203"/>
      <c r="H233" s="179">
        <f t="shared" si="20"/>
        <v>0</v>
      </c>
      <c r="I233" s="179"/>
      <c r="J233" s="179"/>
      <c r="K233" s="179"/>
      <c r="L233" s="204"/>
    </row>
    <row r="234" spans="1:12" ht="18" hidden="1" customHeight="1">
      <c r="A234" s="377"/>
      <c r="B234" s="182"/>
      <c r="C234" s="178"/>
      <c r="D234" s="182"/>
      <c r="E234" s="182"/>
      <c r="F234" s="179"/>
      <c r="G234" s="203"/>
      <c r="H234" s="179">
        <f t="shared" si="20"/>
        <v>0</v>
      </c>
      <c r="I234" s="179"/>
      <c r="J234" s="179"/>
      <c r="K234" s="179"/>
      <c r="L234" s="204"/>
    </row>
    <row r="235" spans="1:12" ht="18" hidden="1" customHeight="1">
      <c r="A235" s="205"/>
      <c r="B235" s="177"/>
      <c r="C235" s="178"/>
      <c r="D235" s="177"/>
      <c r="E235" s="177"/>
      <c r="F235" s="179"/>
      <c r="G235" s="180"/>
      <c r="H235" s="179">
        <f t="shared" si="20"/>
        <v>0</v>
      </c>
      <c r="I235" s="179"/>
      <c r="J235" s="179"/>
      <c r="K235" s="179"/>
      <c r="L235" s="204"/>
    </row>
    <row r="236" spans="1:12" ht="18" hidden="1" customHeight="1">
      <c r="A236" s="205"/>
      <c r="B236" s="177"/>
      <c r="C236" s="178"/>
      <c r="D236" s="177"/>
      <c r="E236" s="177"/>
      <c r="F236" s="179"/>
      <c r="G236" s="180"/>
      <c r="H236" s="179">
        <f t="shared" si="20"/>
        <v>0</v>
      </c>
      <c r="I236" s="179"/>
      <c r="J236" s="179"/>
      <c r="K236" s="179"/>
      <c r="L236" s="204"/>
    </row>
    <row r="237" spans="1:12" ht="18" hidden="1" customHeight="1">
      <c r="A237" s="205"/>
      <c r="B237" s="177"/>
      <c r="C237" s="178"/>
      <c r="D237" s="177"/>
      <c r="E237" s="177"/>
      <c r="F237" s="179"/>
      <c r="G237" s="177"/>
      <c r="H237" s="179">
        <f t="shared" si="20"/>
        <v>0</v>
      </c>
      <c r="I237" s="179"/>
      <c r="J237" s="179"/>
      <c r="K237" s="179"/>
      <c r="L237" s="204"/>
    </row>
    <row r="238" spans="1:12" ht="18" customHeight="1">
      <c r="A238" s="1243" t="s">
        <v>467</v>
      </c>
      <c r="B238" s="1184"/>
      <c r="C238" s="1184"/>
      <c r="D238" s="1184"/>
      <c r="E238" s="1184"/>
      <c r="F238" s="1184"/>
      <c r="G238" s="1184"/>
      <c r="H238" s="181">
        <f>SUM(H227:H237)</f>
        <v>0</v>
      </c>
      <c r="I238" s="181">
        <f>SUM(I227:I237)</f>
        <v>0</v>
      </c>
      <c r="J238" s="181">
        <f>SUM(J227:J237)</f>
        <v>0</v>
      </c>
      <c r="K238" s="181">
        <f>SUM(K227:K237)</f>
        <v>0</v>
      </c>
      <c r="L238" s="206">
        <f>SUM(L227:L237)</f>
        <v>0</v>
      </c>
    </row>
    <row r="239" spans="1:12" ht="26.25" customHeight="1">
      <c r="A239" s="1067" t="s">
        <v>391</v>
      </c>
      <c r="B239" s="1068"/>
      <c r="C239" s="1068"/>
      <c r="D239" s="117" t="s">
        <v>122</v>
      </c>
      <c r="E239" s="117" t="s">
        <v>394</v>
      </c>
      <c r="F239" s="1068" t="s">
        <v>460</v>
      </c>
      <c r="G239" s="1068"/>
      <c r="H239" s="207" t="s">
        <v>461</v>
      </c>
      <c r="I239" s="175" t="s">
        <v>437</v>
      </c>
      <c r="J239" s="175" t="s">
        <v>438</v>
      </c>
      <c r="K239" s="175" t="s">
        <v>437</v>
      </c>
      <c r="L239" s="201" t="s">
        <v>438</v>
      </c>
    </row>
    <row r="240" spans="1:12" ht="18" customHeight="1">
      <c r="A240" s="1247" t="s">
        <v>481</v>
      </c>
      <c r="B240" s="1248"/>
      <c r="C240" s="1248"/>
      <c r="D240" s="1248"/>
      <c r="E240" s="1248"/>
      <c r="F240" s="1248"/>
      <c r="G240" s="1248"/>
      <c r="H240" s="1248"/>
      <c r="I240" s="1248"/>
      <c r="J240" s="1248"/>
      <c r="K240" s="1248"/>
      <c r="L240" s="1249"/>
    </row>
    <row r="241" spans="1:12" ht="18" customHeight="1">
      <c r="A241" s="1235"/>
      <c r="B241" s="1182"/>
      <c r="C241" s="1182"/>
      <c r="D241" s="40"/>
      <c r="E241" s="40"/>
      <c r="F241" s="1183"/>
      <c r="G241" s="1183"/>
      <c r="H241" s="179">
        <f>E241*F241</f>
        <v>0</v>
      </c>
      <c r="I241" s="376"/>
      <c r="J241" s="376"/>
      <c r="K241" s="208"/>
      <c r="L241" s="209"/>
    </row>
    <row r="242" spans="1:12" ht="18" customHeight="1">
      <c r="A242" s="1235"/>
      <c r="B242" s="1182"/>
      <c r="C242" s="1182"/>
      <c r="D242" s="40"/>
      <c r="E242" s="40"/>
      <c r="F242" s="1183"/>
      <c r="G242" s="1183"/>
      <c r="H242" s="179">
        <f>E242*F242</f>
        <v>0</v>
      </c>
      <c r="I242" s="376"/>
      <c r="J242" s="376"/>
      <c r="K242" s="208"/>
      <c r="L242" s="209"/>
    </row>
    <row r="243" spans="1:12" ht="18" customHeight="1">
      <c r="A243" s="1235"/>
      <c r="B243" s="1182"/>
      <c r="C243" s="1182"/>
      <c r="D243" s="40"/>
      <c r="E243" s="40"/>
      <c r="F243" s="1183"/>
      <c r="G243" s="1183"/>
      <c r="H243" s="179">
        <f t="shared" ref="H243:H254" si="21">E243*F243</f>
        <v>0</v>
      </c>
      <c r="I243" s="376"/>
      <c r="J243" s="376"/>
      <c r="K243" s="208"/>
      <c r="L243" s="209"/>
    </row>
    <row r="244" spans="1:12" ht="18" hidden="1" customHeight="1">
      <c r="A244" s="1235"/>
      <c r="B244" s="1182"/>
      <c r="C244" s="1182"/>
      <c r="D244" s="40"/>
      <c r="E244" s="40"/>
      <c r="F244" s="1183"/>
      <c r="G244" s="1183"/>
      <c r="H244" s="179">
        <f t="shared" si="21"/>
        <v>0</v>
      </c>
      <c r="I244" s="376"/>
      <c r="J244" s="376"/>
      <c r="K244" s="208"/>
      <c r="L244" s="209"/>
    </row>
    <row r="245" spans="1:12" ht="18" hidden="1" customHeight="1">
      <c r="A245" s="1235"/>
      <c r="B245" s="1182"/>
      <c r="C245" s="1182"/>
      <c r="D245" s="40"/>
      <c r="E245" s="40"/>
      <c r="F245" s="1183"/>
      <c r="G245" s="1183"/>
      <c r="H245" s="179">
        <f t="shared" si="21"/>
        <v>0</v>
      </c>
      <c r="I245" s="376"/>
      <c r="J245" s="376"/>
      <c r="K245" s="208"/>
      <c r="L245" s="209"/>
    </row>
    <row r="246" spans="1:12" ht="18" hidden="1" customHeight="1">
      <c r="A246" s="1235"/>
      <c r="B246" s="1182"/>
      <c r="C246" s="1182"/>
      <c r="D246" s="40"/>
      <c r="E246" s="40"/>
      <c r="F246" s="1183"/>
      <c r="G246" s="1183"/>
      <c r="H246" s="179">
        <f t="shared" si="21"/>
        <v>0</v>
      </c>
      <c r="I246" s="376"/>
      <c r="J246" s="376"/>
      <c r="K246" s="208"/>
      <c r="L246" s="209"/>
    </row>
    <row r="247" spans="1:12" ht="18" hidden="1" customHeight="1">
      <c r="A247" s="1235"/>
      <c r="B247" s="1182"/>
      <c r="C247" s="1182"/>
      <c r="D247" s="40"/>
      <c r="E247" s="40"/>
      <c r="F247" s="1183"/>
      <c r="G247" s="1183"/>
      <c r="H247" s="179">
        <f t="shared" si="21"/>
        <v>0</v>
      </c>
      <c r="I247" s="376"/>
      <c r="J247" s="376"/>
      <c r="K247" s="208"/>
      <c r="L247" s="209"/>
    </row>
    <row r="248" spans="1:12" ht="18" hidden="1" customHeight="1">
      <c r="A248" s="1235"/>
      <c r="B248" s="1182"/>
      <c r="C248" s="1182"/>
      <c r="D248" s="40"/>
      <c r="E248" s="40"/>
      <c r="F248" s="1183"/>
      <c r="G248" s="1183"/>
      <c r="H248" s="179">
        <f t="shared" si="21"/>
        <v>0</v>
      </c>
      <c r="I248" s="376"/>
      <c r="J248" s="376"/>
      <c r="K248" s="208"/>
      <c r="L248" s="209"/>
    </row>
    <row r="249" spans="1:12" ht="18" hidden="1" customHeight="1">
      <c r="A249" s="1235"/>
      <c r="B249" s="1182"/>
      <c r="C249" s="1182"/>
      <c r="D249" s="40"/>
      <c r="E249" s="40"/>
      <c r="F249" s="1183"/>
      <c r="G249" s="1183"/>
      <c r="H249" s="179">
        <f t="shared" si="21"/>
        <v>0</v>
      </c>
      <c r="I249" s="376"/>
      <c r="J249" s="376"/>
      <c r="K249" s="208"/>
      <c r="L249" s="209"/>
    </row>
    <row r="250" spans="1:12" ht="18" hidden="1" customHeight="1">
      <c r="A250" s="1235"/>
      <c r="B250" s="1182"/>
      <c r="C250" s="1182"/>
      <c r="D250" s="40"/>
      <c r="E250" s="40"/>
      <c r="F250" s="1183"/>
      <c r="G250" s="1183"/>
      <c r="H250" s="179">
        <f t="shared" si="21"/>
        <v>0</v>
      </c>
      <c r="I250" s="376"/>
      <c r="J250" s="376"/>
      <c r="K250" s="208"/>
      <c r="L250" s="209"/>
    </row>
    <row r="251" spans="1:12" ht="18" hidden="1" customHeight="1">
      <c r="A251" s="1235"/>
      <c r="B251" s="1182"/>
      <c r="C251" s="1182"/>
      <c r="D251" s="40"/>
      <c r="E251" s="40"/>
      <c r="F251" s="1183"/>
      <c r="G251" s="1183"/>
      <c r="H251" s="179">
        <f t="shared" si="21"/>
        <v>0</v>
      </c>
      <c r="I251" s="376"/>
      <c r="J251" s="376"/>
      <c r="K251" s="208"/>
      <c r="L251" s="209"/>
    </row>
    <row r="252" spans="1:12" ht="18" hidden="1" customHeight="1">
      <c r="A252" s="1235"/>
      <c r="B252" s="1182"/>
      <c r="C252" s="1182"/>
      <c r="D252" s="40"/>
      <c r="E252" s="40"/>
      <c r="F252" s="1183"/>
      <c r="G252" s="1183"/>
      <c r="H252" s="179">
        <f t="shared" si="21"/>
        <v>0</v>
      </c>
      <c r="I252" s="376"/>
      <c r="J252" s="376"/>
      <c r="K252" s="208"/>
      <c r="L252" s="209"/>
    </row>
    <row r="253" spans="1:12" ht="18" hidden="1" customHeight="1">
      <c r="A253" s="1235"/>
      <c r="B253" s="1182"/>
      <c r="C253" s="1182"/>
      <c r="D253" s="40"/>
      <c r="E253" s="40"/>
      <c r="F253" s="1183"/>
      <c r="G253" s="1183"/>
      <c r="H253" s="179">
        <f t="shared" si="21"/>
        <v>0</v>
      </c>
      <c r="I253" s="376"/>
      <c r="J253" s="376"/>
      <c r="K253" s="208"/>
      <c r="L253" s="209"/>
    </row>
    <row r="254" spans="1:12" ht="18" hidden="1" customHeight="1">
      <c r="A254" s="1235"/>
      <c r="B254" s="1182"/>
      <c r="C254" s="1182"/>
      <c r="D254" s="40"/>
      <c r="E254" s="40"/>
      <c r="F254" s="1183"/>
      <c r="G254" s="1183"/>
      <c r="H254" s="179">
        <f t="shared" si="21"/>
        <v>0</v>
      </c>
      <c r="I254" s="376"/>
      <c r="J254" s="376"/>
      <c r="K254" s="208"/>
      <c r="L254" s="209"/>
    </row>
    <row r="255" spans="1:12" ht="18" customHeight="1">
      <c r="A255" s="1243" t="s">
        <v>474</v>
      </c>
      <c r="B255" s="1184"/>
      <c r="C255" s="1184"/>
      <c r="D255" s="1184"/>
      <c r="E255" s="1184"/>
      <c r="F255" s="1184"/>
      <c r="G255" s="1184"/>
      <c r="H255" s="181">
        <f>SUM(H241:H254)</f>
        <v>0</v>
      </c>
      <c r="I255" s="181">
        <f>SUM(I241:I254)</f>
        <v>0</v>
      </c>
      <c r="J255" s="181">
        <f>SUM(J241:J254)</f>
        <v>0</v>
      </c>
      <c r="K255" s="181">
        <f>SUM(K241:K254)</f>
        <v>0</v>
      </c>
      <c r="L255" s="206">
        <f>SUM(L241:L254)</f>
        <v>0</v>
      </c>
    </row>
    <row r="256" spans="1:12" ht="18" customHeight="1" thickBot="1">
      <c r="A256" s="1229" t="s">
        <v>482</v>
      </c>
      <c r="B256" s="1230"/>
      <c r="C256" s="1230"/>
      <c r="D256" s="1230"/>
      <c r="E256" s="1230"/>
      <c r="F256" s="1230"/>
      <c r="G256" s="1230"/>
      <c r="H256" s="210">
        <f>H238+H255</f>
        <v>0</v>
      </c>
      <c r="I256" s="210">
        <f>I238+I255</f>
        <v>0</v>
      </c>
      <c r="J256" s="210">
        <f t="shared" ref="J256:L256" si="22">J238+J255</f>
        <v>0</v>
      </c>
      <c r="K256" s="210">
        <f t="shared" si="22"/>
        <v>0</v>
      </c>
      <c r="L256" s="211">
        <f t="shared" si="22"/>
        <v>0</v>
      </c>
    </row>
    <row r="257" spans="1:13" ht="18" customHeight="1" thickBot="1">
      <c r="A257" s="1231" t="s">
        <v>475</v>
      </c>
      <c r="B257" s="1232"/>
      <c r="C257" s="1232"/>
      <c r="D257" s="1232"/>
      <c r="E257" s="1232"/>
      <c r="F257" s="1232"/>
      <c r="G257" s="1232"/>
      <c r="H257" s="476" t="s">
        <v>476</v>
      </c>
      <c r="I257" s="1233"/>
      <c r="J257" s="1233"/>
      <c r="K257" s="1233"/>
      <c r="L257" s="1234"/>
    </row>
    <row r="258" spans="1:13" ht="18" customHeight="1">
      <c r="A258" s="1202" t="str">
        <f>IF(H257="Si","Administración","Gastos de administración")</f>
        <v>Gastos de administración</v>
      </c>
      <c r="B258" s="1203"/>
      <c r="C258" s="1203"/>
      <c r="D258" s="1203"/>
      <c r="E258" s="1203"/>
      <c r="F258" s="1204"/>
      <c r="G258" s="412"/>
      <c r="H258" s="413">
        <v>0</v>
      </c>
      <c r="I258" s="179">
        <f>H258</f>
        <v>0</v>
      </c>
      <c r="J258" s="179"/>
      <c r="K258" s="179"/>
      <c r="L258" s="204"/>
      <c r="M258" s="477" t="s">
        <v>410</v>
      </c>
    </row>
    <row r="259" spans="1:13" ht="18" customHeight="1">
      <c r="A259" s="1202" t="str">
        <f>IF(H257="Si","Utilidad","")</f>
        <v/>
      </c>
      <c r="B259" s="1203"/>
      <c r="C259" s="1203"/>
      <c r="D259" s="1203"/>
      <c r="E259" s="1203"/>
      <c r="F259" s="1204"/>
      <c r="G259" s="412"/>
      <c r="H259" s="413">
        <v>0</v>
      </c>
      <c r="I259" s="179"/>
      <c r="J259" s="179"/>
      <c r="K259" s="179"/>
      <c r="L259" s="204"/>
    </row>
    <row r="260" spans="1:13" ht="18" customHeight="1">
      <c r="A260" s="1202" t="str">
        <f>IF(H257="Si","IVA","")</f>
        <v/>
      </c>
      <c r="B260" s="1203"/>
      <c r="C260" s="1203"/>
      <c r="D260" s="1203"/>
      <c r="E260" s="1203"/>
      <c r="F260" s="1204"/>
      <c r="G260" s="412"/>
      <c r="H260" s="413">
        <v>0</v>
      </c>
      <c r="I260" s="179"/>
      <c r="J260" s="179"/>
      <c r="K260" s="179"/>
      <c r="L260" s="204"/>
      <c r="M260" s="411" t="s">
        <v>413</v>
      </c>
    </row>
    <row r="261" spans="1:13" ht="18" customHeight="1" thickBot="1">
      <c r="A261" s="1236" t="str">
        <f>IF(H257="Si","TOTAL (después de AU e IVA)", "TOTAL (después de administración)")</f>
        <v>TOTAL (después de administración)</v>
      </c>
      <c r="B261" s="1237"/>
      <c r="C261" s="1237"/>
      <c r="D261" s="1237"/>
      <c r="E261" s="1237"/>
      <c r="F261" s="1237"/>
      <c r="G261" s="1237"/>
      <c r="H261" s="414">
        <f>SUM(H258:H260)+H256</f>
        <v>0</v>
      </c>
      <c r="I261" s="390">
        <f t="shared" ref="I261:L261" si="23">SUM(I258:I260)+I256</f>
        <v>0</v>
      </c>
      <c r="J261" s="390">
        <f t="shared" si="23"/>
        <v>0</v>
      </c>
      <c r="K261" s="390">
        <f t="shared" si="23"/>
        <v>0</v>
      </c>
      <c r="L261" s="391">
        <f t="shared" si="23"/>
        <v>0</v>
      </c>
    </row>
    <row r="262" spans="1:13" ht="43.5" customHeight="1" thickBot="1">
      <c r="A262" s="388" t="s">
        <v>477</v>
      </c>
      <c r="B262" s="746"/>
      <c r="C262" s="389" t="s">
        <v>122</v>
      </c>
      <c r="D262" s="746"/>
      <c r="E262" s="389" t="s">
        <v>484</v>
      </c>
      <c r="F262" s="1238">
        <f>IFERROR(H256/B262,0)</f>
        <v>0</v>
      </c>
      <c r="G262" s="1239"/>
      <c r="H262" s="1240" t="s">
        <v>485</v>
      </c>
      <c r="I262" s="1241"/>
      <c r="J262" s="1241"/>
      <c r="K262" s="1241"/>
      <c r="L262" s="1242"/>
    </row>
    <row r="263" spans="1:13" ht="18" customHeight="1" thickBot="1">
      <c r="A263" s="1222"/>
      <c r="B263" s="1223"/>
      <c r="C263" s="1223"/>
      <c r="D263" s="1223"/>
      <c r="E263" s="1223"/>
      <c r="F263" s="1223"/>
      <c r="G263" s="1223"/>
      <c r="H263" s="1223"/>
      <c r="I263" s="1223"/>
      <c r="J263" s="1223"/>
      <c r="K263" s="1223"/>
      <c r="L263" s="1224"/>
    </row>
    <row r="264" spans="1:13" ht="51" customHeight="1" thickBot="1">
      <c r="A264" s="388" t="s">
        <v>477</v>
      </c>
      <c r="B264" s="746"/>
      <c r="C264" s="389" t="s">
        <v>122</v>
      </c>
      <c r="D264" s="746"/>
      <c r="E264" s="389" t="s">
        <v>486</v>
      </c>
      <c r="F264" s="1238">
        <f>IFERROR((H256-H238)/B264,0)</f>
        <v>0</v>
      </c>
      <c r="G264" s="1239"/>
      <c r="H264" s="1240" t="s">
        <v>485</v>
      </c>
      <c r="I264" s="1241"/>
      <c r="J264" s="1241"/>
      <c r="K264" s="1241"/>
      <c r="L264" s="1242"/>
    </row>
  </sheetData>
  <sheetProtection algorithmName="SHA-512" hashValue="OdKTqXevwWer87evdqPholY5f35Joee4k12//dmBBzoWHe7SUxWDf5bmB84Utv+rJaeyYeAToayC4YAV6gs8NA==" saltValue="g3tql9xi39S4auYNFt4+1w==" spinCount="100000" sheet="1" formatCells="0" formatColumns="0" formatRows="0" insertColumns="0" insertRows="0" insertHyperlinks="0" deleteColumns="0" deleteRows="0" sort="0" autoFilter="0" pivotTables="0"/>
  <mergeCells count="304">
    <mergeCell ref="A263:L263"/>
    <mergeCell ref="F264:G264"/>
    <mergeCell ref="H264:L264"/>
    <mergeCell ref="A53:L53"/>
    <mergeCell ref="F54:G54"/>
    <mergeCell ref="H54:L54"/>
    <mergeCell ref="A95:L95"/>
    <mergeCell ref="F96:G96"/>
    <mergeCell ref="H96:L96"/>
    <mergeCell ref="A137:L137"/>
    <mergeCell ref="F138:G138"/>
    <mergeCell ref="H138:L138"/>
    <mergeCell ref="F117:G117"/>
    <mergeCell ref="F118:G118"/>
    <mergeCell ref="F119:G119"/>
    <mergeCell ref="F120:G120"/>
    <mergeCell ref="F121:G121"/>
    <mergeCell ref="F122:G122"/>
    <mergeCell ref="F123:G123"/>
    <mergeCell ref="A116:C116"/>
    <mergeCell ref="A117:C117"/>
    <mergeCell ref="A118:C118"/>
    <mergeCell ref="A119:C119"/>
    <mergeCell ref="A120:C120"/>
    <mergeCell ref="A80:C80"/>
    <mergeCell ref="A81:C81"/>
    <mergeCell ref="A82:C82"/>
    <mergeCell ref="F75:G75"/>
    <mergeCell ref="F76:G76"/>
    <mergeCell ref="F77:G77"/>
    <mergeCell ref="F78:G78"/>
    <mergeCell ref="F79:G79"/>
    <mergeCell ref="F80:G80"/>
    <mergeCell ref="F81:G81"/>
    <mergeCell ref="F82:G82"/>
    <mergeCell ref="A75:C75"/>
    <mergeCell ref="A76:C76"/>
    <mergeCell ref="A77:C77"/>
    <mergeCell ref="A78:C78"/>
    <mergeCell ref="A79:C79"/>
    <mergeCell ref="A93:G93"/>
    <mergeCell ref="F124:G124"/>
    <mergeCell ref="A124:C124"/>
    <mergeCell ref="A132:F132"/>
    <mergeCell ref="A139:L139"/>
    <mergeCell ref="A125:C125"/>
    <mergeCell ref="F136:G136"/>
    <mergeCell ref="H136:L136"/>
    <mergeCell ref="A129:G129"/>
    <mergeCell ref="A130:G130"/>
    <mergeCell ref="A126:C126"/>
    <mergeCell ref="F126:G126"/>
    <mergeCell ref="A127:C127"/>
    <mergeCell ref="F127:G127"/>
    <mergeCell ref="A128:C128"/>
    <mergeCell ref="F128:G128"/>
    <mergeCell ref="F125:G125"/>
    <mergeCell ref="A131:G131"/>
    <mergeCell ref="I131:L131"/>
    <mergeCell ref="A133:F133"/>
    <mergeCell ref="A121:C121"/>
    <mergeCell ref="A122:C122"/>
    <mergeCell ref="A123:C123"/>
    <mergeCell ref="F116:G116"/>
    <mergeCell ref="F42:G42"/>
    <mergeCell ref="A47:G47"/>
    <mergeCell ref="I47:L47"/>
    <mergeCell ref="A87:G87"/>
    <mergeCell ref="A88:G88"/>
    <mergeCell ref="A98:L98"/>
    <mergeCell ref="A100:L100"/>
    <mergeCell ref="A112:G112"/>
    <mergeCell ref="A115:C115"/>
    <mergeCell ref="F115:G115"/>
    <mergeCell ref="A84:C84"/>
    <mergeCell ref="F84:G84"/>
    <mergeCell ref="A85:C85"/>
    <mergeCell ref="F85:G85"/>
    <mergeCell ref="A86:C86"/>
    <mergeCell ref="F86:G86"/>
    <mergeCell ref="A114:L114"/>
    <mergeCell ref="A97:L97"/>
    <mergeCell ref="A113:C113"/>
    <mergeCell ref="F113:G113"/>
    <mergeCell ref="F94:G94"/>
    <mergeCell ref="H94:L94"/>
    <mergeCell ref="A91:F91"/>
    <mergeCell ref="A92:F92"/>
    <mergeCell ref="A30:L30"/>
    <mergeCell ref="A31:C31"/>
    <mergeCell ref="F31:G31"/>
    <mergeCell ref="A32:C32"/>
    <mergeCell ref="F32:G32"/>
    <mergeCell ref="F52:G52"/>
    <mergeCell ref="A34:C34"/>
    <mergeCell ref="A58:L58"/>
    <mergeCell ref="A70:G70"/>
    <mergeCell ref="A35:C35"/>
    <mergeCell ref="A36:C36"/>
    <mergeCell ref="A37:C37"/>
    <mergeCell ref="A38:C38"/>
    <mergeCell ref="A39:C39"/>
    <mergeCell ref="A40:C40"/>
    <mergeCell ref="A41:C41"/>
    <mergeCell ref="A42:C42"/>
    <mergeCell ref="F35:G35"/>
    <mergeCell ref="F36:G36"/>
    <mergeCell ref="F37:G37"/>
    <mergeCell ref="F38:G38"/>
    <mergeCell ref="F39:G39"/>
    <mergeCell ref="F40:G40"/>
    <mergeCell ref="F41:G41"/>
    <mergeCell ref="A55:L55"/>
    <mergeCell ref="A71:C71"/>
    <mergeCell ref="F71:G71"/>
    <mergeCell ref="A1:C3"/>
    <mergeCell ref="D3:G3"/>
    <mergeCell ref="H3:L3"/>
    <mergeCell ref="D1:L1"/>
    <mergeCell ref="D2:L2"/>
    <mergeCell ref="F34:G34"/>
    <mergeCell ref="F29:G29"/>
    <mergeCell ref="A33:C33"/>
    <mergeCell ref="F33:G33"/>
    <mergeCell ref="A12:H13"/>
    <mergeCell ref="A29:C29"/>
    <mergeCell ref="A14:L14"/>
    <mergeCell ref="I12:L12"/>
    <mergeCell ref="I13:J13"/>
    <mergeCell ref="K13:L13"/>
    <mergeCell ref="A16:L16"/>
    <mergeCell ref="A28:G28"/>
    <mergeCell ref="A8:E8"/>
    <mergeCell ref="F8:L8"/>
    <mergeCell ref="A9:E9"/>
    <mergeCell ref="F9:L9"/>
    <mergeCell ref="A48:F48"/>
    <mergeCell ref="A49:F49"/>
    <mergeCell ref="A50:F50"/>
    <mergeCell ref="A51:G51"/>
    <mergeCell ref="A89:G89"/>
    <mergeCell ref="I89:L89"/>
    <mergeCell ref="A90:F90"/>
    <mergeCell ref="A10:E10"/>
    <mergeCell ref="F10:L10"/>
    <mergeCell ref="A43:C43"/>
    <mergeCell ref="F43:G43"/>
    <mergeCell ref="A44:C44"/>
    <mergeCell ref="F44:G44"/>
    <mergeCell ref="A45:G45"/>
    <mergeCell ref="A74:C74"/>
    <mergeCell ref="F74:G74"/>
    <mergeCell ref="A83:C83"/>
    <mergeCell ref="F83:G83"/>
    <mergeCell ref="H52:L52"/>
    <mergeCell ref="A46:G46"/>
    <mergeCell ref="A56:L56"/>
    <mergeCell ref="A72:L72"/>
    <mergeCell ref="A73:C73"/>
    <mergeCell ref="F73:G73"/>
    <mergeCell ref="A134:F134"/>
    <mergeCell ref="A135:G135"/>
    <mergeCell ref="A140:L140"/>
    <mergeCell ref="A142:L142"/>
    <mergeCell ref="A154:G154"/>
    <mergeCell ref="A155:C155"/>
    <mergeCell ref="F155:G155"/>
    <mergeCell ref="A156:L156"/>
    <mergeCell ref="A157:C157"/>
    <mergeCell ref="F157:G157"/>
    <mergeCell ref="A158:C158"/>
    <mergeCell ref="F158:G158"/>
    <mergeCell ref="A159:C159"/>
    <mergeCell ref="F159:G159"/>
    <mergeCell ref="A160:C160"/>
    <mergeCell ref="F160:G160"/>
    <mergeCell ref="A161:C161"/>
    <mergeCell ref="F161:G161"/>
    <mergeCell ref="A162:C162"/>
    <mergeCell ref="F162:G162"/>
    <mergeCell ref="A163:C163"/>
    <mergeCell ref="F163:G163"/>
    <mergeCell ref="A164:C164"/>
    <mergeCell ref="F164:G164"/>
    <mergeCell ref="A165:C165"/>
    <mergeCell ref="F165:G165"/>
    <mergeCell ref="A166:C166"/>
    <mergeCell ref="F166:G166"/>
    <mergeCell ref="A167:C167"/>
    <mergeCell ref="F167:G167"/>
    <mergeCell ref="A168:C168"/>
    <mergeCell ref="F168:G168"/>
    <mergeCell ref="A169:C169"/>
    <mergeCell ref="F169:G169"/>
    <mergeCell ref="A170:C170"/>
    <mergeCell ref="F170:G170"/>
    <mergeCell ref="A171:G171"/>
    <mergeCell ref="A172:G172"/>
    <mergeCell ref="A173:G173"/>
    <mergeCell ref="I173:L173"/>
    <mergeCell ref="A174:F174"/>
    <mergeCell ref="A175:F175"/>
    <mergeCell ref="A176:F176"/>
    <mergeCell ref="A177:G177"/>
    <mergeCell ref="F178:G178"/>
    <mergeCell ref="H178:L178"/>
    <mergeCell ref="A184:L184"/>
    <mergeCell ref="A179:L179"/>
    <mergeCell ref="F180:G180"/>
    <mergeCell ref="H180:L180"/>
    <mergeCell ref="A182:L182"/>
    <mergeCell ref="A196:G196"/>
    <mergeCell ref="A197:C197"/>
    <mergeCell ref="F197:G197"/>
    <mergeCell ref="A198:L198"/>
    <mergeCell ref="A199:C199"/>
    <mergeCell ref="F199:G199"/>
    <mergeCell ref="A200:C200"/>
    <mergeCell ref="F200:G200"/>
    <mergeCell ref="A201:C201"/>
    <mergeCell ref="F201:G201"/>
    <mergeCell ref="A202:C202"/>
    <mergeCell ref="F202:G202"/>
    <mergeCell ref="A203:C203"/>
    <mergeCell ref="F203:G203"/>
    <mergeCell ref="A204:C204"/>
    <mergeCell ref="F204:G204"/>
    <mergeCell ref="A205:C205"/>
    <mergeCell ref="F205:G205"/>
    <mergeCell ref="A206:C206"/>
    <mergeCell ref="F206:G206"/>
    <mergeCell ref="A207:C207"/>
    <mergeCell ref="F207:G207"/>
    <mergeCell ref="A208:C208"/>
    <mergeCell ref="F208:G208"/>
    <mergeCell ref="A209:C209"/>
    <mergeCell ref="F209:G209"/>
    <mergeCell ref="A210:C210"/>
    <mergeCell ref="F210:G210"/>
    <mergeCell ref="A211:C211"/>
    <mergeCell ref="F211:G211"/>
    <mergeCell ref="A212:C212"/>
    <mergeCell ref="F212:G212"/>
    <mergeCell ref="A213:G213"/>
    <mergeCell ref="A214:G214"/>
    <mergeCell ref="A215:G215"/>
    <mergeCell ref="I215:L215"/>
    <mergeCell ref="A216:F216"/>
    <mergeCell ref="A217:F217"/>
    <mergeCell ref="A218:F218"/>
    <mergeCell ref="F243:G243"/>
    <mergeCell ref="A244:C244"/>
    <mergeCell ref="F244:G244"/>
    <mergeCell ref="A245:C245"/>
    <mergeCell ref="F245:G245"/>
    <mergeCell ref="A219:G219"/>
    <mergeCell ref="F220:G220"/>
    <mergeCell ref="H220:L220"/>
    <mergeCell ref="A224:L224"/>
    <mergeCell ref="A226:L226"/>
    <mergeCell ref="A238:G238"/>
    <mergeCell ref="A239:C239"/>
    <mergeCell ref="F239:G239"/>
    <mergeCell ref="A240:L240"/>
    <mergeCell ref="A221:L221"/>
    <mergeCell ref="F222:G222"/>
    <mergeCell ref="H222:L222"/>
    <mergeCell ref="A260:F260"/>
    <mergeCell ref="A261:G261"/>
    <mergeCell ref="F262:G262"/>
    <mergeCell ref="H262:L262"/>
    <mergeCell ref="A251:C251"/>
    <mergeCell ref="F251:G251"/>
    <mergeCell ref="A252:C252"/>
    <mergeCell ref="F252:G252"/>
    <mergeCell ref="A253:C253"/>
    <mergeCell ref="F253:G253"/>
    <mergeCell ref="A254:C254"/>
    <mergeCell ref="F254:G254"/>
    <mergeCell ref="A255:G255"/>
    <mergeCell ref="A5:E5"/>
    <mergeCell ref="F5:L5"/>
    <mergeCell ref="A6:E6"/>
    <mergeCell ref="F6:L6"/>
    <mergeCell ref="A256:G256"/>
    <mergeCell ref="A257:G257"/>
    <mergeCell ref="I257:L257"/>
    <mergeCell ref="A258:F258"/>
    <mergeCell ref="A259:F259"/>
    <mergeCell ref="A246:C246"/>
    <mergeCell ref="F246:G246"/>
    <mergeCell ref="A247:C247"/>
    <mergeCell ref="F247:G247"/>
    <mergeCell ref="A248:C248"/>
    <mergeCell ref="F248:G248"/>
    <mergeCell ref="A249:C249"/>
    <mergeCell ref="F249:G249"/>
    <mergeCell ref="A250:C250"/>
    <mergeCell ref="F250:G250"/>
    <mergeCell ref="A241:C241"/>
    <mergeCell ref="F241:G241"/>
    <mergeCell ref="A242:C242"/>
    <mergeCell ref="F242:G242"/>
    <mergeCell ref="A243:C243"/>
  </mergeCells>
  <dataValidations count="1">
    <dataValidation type="list" allowBlank="1" showInputMessage="1" showErrorMessage="1" sqref="H47 H173 H215 H89 H131 H257" xr:uid="{00000000-0002-0000-0800-000000000000}">
      <formula1>"Si, No"</formula1>
    </dataValidation>
  </dataValidations>
  <hyperlinks>
    <hyperlink ref="M1" location="ins" display="Instructivo" xr:uid="{00000000-0004-0000-0800-000000000000}"/>
    <hyperlink ref="M50" location="IVA" display="Info IVA" xr:uid="{00000000-0004-0000-0800-000001000000}"/>
    <hyperlink ref="M92" location="IVA" display="Info IVA" xr:uid="{00000000-0004-0000-0800-000002000000}"/>
    <hyperlink ref="M134" location="IVA" display="Info IVA" xr:uid="{00000000-0004-0000-0800-000003000000}"/>
    <hyperlink ref="M176" location="IVA" display="Info IVA" xr:uid="{00000000-0004-0000-0800-000004000000}"/>
    <hyperlink ref="M218" location="IVA" display="Info IVA" xr:uid="{00000000-0004-0000-0800-000005000000}"/>
    <hyperlink ref="M260" location="IVA" display="Info IVA" xr:uid="{00000000-0004-0000-0800-000006000000}"/>
    <hyperlink ref="M48" location="gtosadm" display="Gastos de administración" xr:uid="{00000000-0004-0000-0800-000007000000}"/>
    <hyperlink ref="M90" location="gtosadm" display="Gastos de administración" xr:uid="{00000000-0004-0000-0800-000008000000}"/>
    <hyperlink ref="M132" location="gtosadm" display="Gastos de administración" xr:uid="{00000000-0004-0000-0800-000009000000}"/>
    <hyperlink ref="M174" location="gtosadm" display="Gastos de administración" xr:uid="{00000000-0004-0000-0800-00000A000000}"/>
    <hyperlink ref="M216" location="gtosadm" display="Gastos de administración" xr:uid="{00000000-0004-0000-0800-00000B000000}"/>
    <hyperlink ref="M258" location="gtosadm" display="Gastos de administración" xr:uid="{00000000-0004-0000-0800-00000C000000}"/>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tabColor theme="5" tint="0.39997558519241921"/>
    <pageSetUpPr fitToPage="1"/>
  </sheetPr>
  <dimension ref="A1:M356"/>
  <sheetViews>
    <sheetView showGridLines="0" topLeftCell="A9" zoomScaleNormal="100" workbookViewId="0">
      <selection activeCell="K12" sqref="K12:K13"/>
    </sheetView>
  </sheetViews>
  <sheetFormatPr defaultColWidth="11.5" defaultRowHeight="20.100000000000001" customHeight="1"/>
  <cols>
    <col min="1" max="1" width="39.5" style="196" customWidth="1"/>
    <col min="2" max="2" width="12.83203125" style="196" customWidth="1"/>
    <col min="3" max="3" width="11.83203125" style="196" customWidth="1"/>
    <col min="4" max="4" width="27.33203125" style="196" customWidth="1"/>
    <col min="5" max="5" width="19.33203125" style="74" customWidth="1"/>
    <col min="6" max="6" width="19.1640625" style="74" customWidth="1"/>
    <col min="7" max="7" width="20.1640625" style="74" customWidth="1"/>
    <col min="8" max="8" width="20.83203125" style="74" customWidth="1"/>
    <col min="9" max="9" width="21.1640625" style="74" customWidth="1"/>
    <col min="10" max="10" width="17.83203125" style="74" customWidth="1"/>
    <col min="11" max="11" width="20.33203125" style="74" customWidth="1"/>
    <col min="12" max="12" width="20.5" style="74" customWidth="1"/>
    <col min="13" max="13" width="21.5" style="74" hidden="1" customWidth="1"/>
    <col min="14" max="16384" width="11.5" style="74"/>
  </cols>
  <sheetData>
    <row r="1" spans="1:13" ht="20.100000000000001" customHeight="1">
      <c r="A1" s="1263"/>
      <c r="B1" s="1078" t="s">
        <v>0</v>
      </c>
      <c r="C1" s="1078"/>
      <c r="D1" s="1078"/>
      <c r="E1" s="1078"/>
      <c r="F1" s="1078"/>
      <c r="G1" s="1078"/>
      <c r="H1" s="1078"/>
      <c r="I1" s="1078"/>
      <c r="J1" s="1078"/>
      <c r="K1" s="1079"/>
      <c r="L1" s="366" t="s">
        <v>104</v>
      </c>
      <c r="M1" s="65"/>
    </row>
    <row r="2" spans="1:13" ht="20.100000000000001" customHeight="1">
      <c r="A2" s="1264"/>
      <c r="B2" s="1080" t="s">
        <v>493</v>
      </c>
      <c r="C2" s="1080"/>
      <c r="D2" s="1080"/>
      <c r="E2" s="1080"/>
      <c r="F2" s="1080"/>
      <c r="G2" s="1080"/>
      <c r="H2" s="1080"/>
      <c r="I2" s="1080"/>
      <c r="J2" s="1080"/>
      <c r="K2" s="1081"/>
    </row>
    <row r="3" spans="1:13" ht="20.100000000000001" customHeight="1" thickBot="1">
      <c r="A3" s="1265"/>
      <c r="B3" s="1082" t="s">
        <v>2</v>
      </c>
      <c r="C3" s="1082"/>
      <c r="D3" s="1082"/>
      <c r="E3" s="1082"/>
      <c r="F3" s="1082"/>
      <c r="G3" s="1082"/>
      <c r="H3" s="1082"/>
      <c r="I3" s="1083" t="s">
        <v>3</v>
      </c>
      <c r="J3" s="1084"/>
      <c r="K3" s="1085"/>
    </row>
    <row r="4" spans="1:13" ht="20.100000000000001" customHeight="1" thickBot="1">
      <c r="A4" s="257"/>
      <c r="B4" s="70"/>
      <c r="C4" s="70"/>
      <c r="D4" s="70"/>
      <c r="E4" s="70"/>
      <c r="F4" s="70"/>
      <c r="G4" s="70"/>
      <c r="H4" s="70"/>
      <c r="I4" s="70"/>
      <c r="J4" s="70"/>
      <c r="K4" s="70"/>
    </row>
    <row r="5" spans="1:13" ht="20.100000000000001" customHeight="1" thickBot="1">
      <c r="A5" s="989" t="s">
        <v>107</v>
      </c>
      <c r="B5" s="990"/>
      <c r="C5" s="1194"/>
      <c r="D5" s="1266" t="str">
        <f>'Plan Ejecución'!AE5</f>
        <v>CONTRATACIÓN DIRECTA</v>
      </c>
      <c r="E5" s="1267"/>
      <c r="F5" s="1267"/>
      <c r="G5" s="1267"/>
      <c r="H5" s="1267"/>
      <c r="I5" s="1267"/>
      <c r="J5" s="1267"/>
      <c r="K5" s="1268"/>
    </row>
    <row r="6" spans="1:13" ht="36.75" customHeight="1" thickBot="1">
      <c r="A6" s="989" t="s">
        <v>109</v>
      </c>
      <c r="B6" s="990"/>
      <c r="C6" s="1194"/>
      <c r="D6" s="1266" t="str">
        <f>'Plan Ejecución'!AE6</f>
        <v xml:space="preserve"> "“SOPORTE, MANTENIMIENTO Y ACTUALIZACIÓN DEL VISOR GEOGRÁFICO – AÑO 2025"</v>
      </c>
      <c r="E6" s="1267"/>
      <c r="F6" s="1267"/>
      <c r="G6" s="1267"/>
      <c r="H6" s="1267"/>
      <c r="I6" s="1267"/>
      <c r="J6" s="1267"/>
      <c r="K6" s="1268"/>
    </row>
    <row r="7" spans="1:13" ht="20.100000000000001" customHeight="1">
      <c r="A7" s="257"/>
      <c r="B7" s="70"/>
      <c r="C7" s="70"/>
      <c r="D7" s="70"/>
      <c r="E7" s="70"/>
      <c r="F7" s="70"/>
      <c r="G7" s="70"/>
      <c r="H7" s="70"/>
      <c r="I7" s="70"/>
      <c r="J7" s="70"/>
      <c r="K7" s="70"/>
    </row>
    <row r="8" spans="1:13" s="70" customFormat="1" ht="20.100000000000001" customHeight="1">
      <c r="D8" s="479">
        <v>1</v>
      </c>
      <c r="E8" s="479">
        <v>2</v>
      </c>
      <c r="F8" s="479">
        <v>3</v>
      </c>
      <c r="G8" s="479">
        <v>4</v>
      </c>
      <c r="H8" s="479">
        <v>5</v>
      </c>
      <c r="I8" s="479">
        <v>6</v>
      </c>
      <c r="J8" s="479">
        <v>7</v>
      </c>
      <c r="K8" s="214"/>
    </row>
    <row r="9" spans="1:13" s="70" customFormat="1" ht="27" customHeight="1" thickBot="1">
      <c r="A9" s="1262" t="s">
        <v>494</v>
      </c>
      <c r="B9" s="1262"/>
      <c r="C9" s="1262"/>
      <c r="D9" s="865" t="s">
        <v>495</v>
      </c>
      <c r="E9" s="213"/>
      <c r="F9" s="213"/>
      <c r="G9" s="213"/>
      <c r="H9" s="213"/>
      <c r="I9" s="215"/>
      <c r="J9" s="215"/>
      <c r="K9" s="214"/>
    </row>
    <row r="10" spans="1:13" ht="24" customHeight="1" thickBot="1">
      <c r="A10" s="1262" t="s">
        <v>496</v>
      </c>
      <c r="B10" s="1262"/>
      <c r="C10" s="1262"/>
      <c r="D10" s="868" t="s">
        <v>112</v>
      </c>
      <c r="E10" s="866"/>
      <c r="F10" s="866"/>
      <c r="G10" s="867"/>
      <c r="H10" s="216"/>
      <c r="I10" s="217"/>
      <c r="J10" s="217"/>
      <c r="K10" s="214"/>
    </row>
    <row r="11" spans="1:13" ht="42.75" customHeight="1">
      <c r="A11" s="218" t="s">
        <v>391</v>
      </c>
      <c r="B11" s="218" t="s">
        <v>122</v>
      </c>
      <c r="C11" s="218" t="s">
        <v>394</v>
      </c>
      <c r="D11" s="174" t="s">
        <v>497</v>
      </c>
      <c r="E11" s="174" t="s">
        <v>497</v>
      </c>
      <c r="F11" s="174" t="s">
        <v>497</v>
      </c>
      <c r="G11" s="174" t="s">
        <v>497</v>
      </c>
      <c r="H11" s="174" t="s">
        <v>497</v>
      </c>
      <c r="I11" s="174" t="s">
        <v>497</v>
      </c>
      <c r="J11" s="174" t="s">
        <v>497</v>
      </c>
      <c r="K11" s="219" t="s">
        <v>498</v>
      </c>
      <c r="M11" s="829" t="s">
        <v>499</v>
      </c>
    </row>
    <row r="12" spans="1:13" ht="29.25" customHeight="1">
      <c r="A12" s="853" t="s">
        <v>381</v>
      </c>
      <c r="B12" s="177" t="s">
        <v>500</v>
      </c>
      <c r="C12" s="854">
        <v>1</v>
      </c>
      <c r="D12" s="179">
        <v>10204400</v>
      </c>
      <c r="E12" s="179"/>
      <c r="F12" s="179"/>
      <c r="G12" s="179"/>
      <c r="H12" s="179"/>
      <c r="I12" s="179"/>
      <c r="J12" s="179"/>
      <c r="K12" s="478">
        <f>IFERROR(AVERAGEIF(D12:J12,"&gt;0",D12:J12),"")</f>
        <v>10204400</v>
      </c>
      <c r="M12" s="478">
        <f>IFERROR(MEDIAN(D12:J12),"")</f>
        <v>10204400</v>
      </c>
    </row>
    <row r="13" spans="1:13" ht="44.25" customHeight="1">
      <c r="A13" s="855" t="s">
        <v>406</v>
      </c>
      <c r="B13" s="177" t="s">
        <v>187</v>
      </c>
      <c r="C13" s="854">
        <v>12</v>
      </c>
      <c r="D13" s="179">
        <v>68120000</v>
      </c>
      <c r="E13" s="179"/>
      <c r="F13" s="179"/>
      <c r="G13" s="179"/>
      <c r="H13" s="179"/>
      <c r="I13" s="179"/>
      <c r="J13" s="179"/>
      <c r="K13" s="478">
        <f t="shared" ref="K13:K76" si="0">IFERROR(AVERAGEIF(D13:J13,"&gt;0",D13:J13),"")</f>
        <v>68120000</v>
      </c>
      <c r="M13" s="478">
        <f t="shared" ref="M13:M76" si="1">IFERROR(MEDIAN(D13:J13),"")</f>
        <v>68120000</v>
      </c>
    </row>
    <row r="14" spans="1:13" ht="18" customHeight="1">
      <c r="A14" s="177"/>
      <c r="B14" s="177"/>
      <c r="C14" s="177"/>
      <c r="D14" s="179"/>
      <c r="E14" s="179"/>
      <c r="F14" s="179"/>
      <c r="G14" s="179"/>
      <c r="H14" s="179"/>
      <c r="I14" s="179"/>
      <c r="J14" s="179"/>
      <c r="K14" s="478" t="str">
        <f t="shared" si="0"/>
        <v/>
      </c>
      <c r="M14" s="478" t="str">
        <f t="shared" si="1"/>
        <v/>
      </c>
    </row>
    <row r="15" spans="1:13" ht="18" customHeight="1">
      <c r="A15" s="177"/>
      <c r="B15" s="177"/>
      <c r="C15" s="177"/>
      <c r="D15" s="179"/>
      <c r="E15" s="179"/>
      <c r="F15" s="179"/>
      <c r="G15" s="179"/>
      <c r="H15" s="179"/>
      <c r="I15" s="179"/>
      <c r="J15" s="179"/>
      <c r="K15" s="478" t="str">
        <f t="shared" si="0"/>
        <v/>
      </c>
      <c r="M15" s="478" t="str">
        <f t="shared" si="1"/>
        <v/>
      </c>
    </row>
    <row r="16" spans="1:13" ht="18" customHeight="1">
      <c r="A16" s="177"/>
      <c r="B16" s="177"/>
      <c r="C16" s="177"/>
      <c r="D16" s="179"/>
      <c r="E16" s="179"/>
      <c r="F16" s="179"/>
      <c r="G16" s="179"/>
      <c r="H16" s="179"/>
      <c r="I16" s="179"/>
      <c r="J16" s="179"/>
      <c r="K16" s="478" t="str">
        <f t="shared" si="0"/>
        <v/>
      </c>
      <c r="M16" s="478" t="str">
        <f t="shared" si="1"/>
        <v/>
      </c>
    </row>
    <row r="17" spans="1:13" ht="18" customHeight="1">
      <c r="A17" s="177"/>
      <c r="B17" s="177"/>
      <c r="C17" s="177"/>
      <c r="D17" s="179"/>
      <c r="E17" s="179"/>
      <c r="F17" s="179"/>
      <c r="G17" s="179"/>
      <c r="H17" s="179"/>
      <c r="I17" s="179"/>
      <c r="J17" s="179"/>
      <c r="K17" s="478" t="str">
        <f t="shared" si="0"/>
        <v/>
      </c>
      <c r="M17" s="478" t="str">
        <f t="shared" si="1"/>
        <v/>
      </c>
    </row>
    <row r="18" spans="1:13" ht="18" customHeight="1">
      <c r="A18" s="177"/>
      <c r="B18" s="177"/>
      <c r="C18" s="177"/>
      <c r="D18" s="179"/>
      <c r="E18" s="179"/>
      <c r="F18" s="179"/>
      <c r="G18" s="179"/>
      <c r="H18" s="179"/>
      <c r="I18" s="179"/>
      <c r="J18" s="179"/>
      <c r="K18" s="478" t="str">
        <f t="shared" si="0"/>
        <v/>
      </c>
      <c r="M18" s="478" t="str">
        <f t="shared" si="1"/>
        <v/>
      </c>
    </row>
    <row r="19" spans="1:13" ht="18" customHeight="1">
      <c r="A19" s="177"/>
      <c r="B19" s="177"/>
      <c r="C19" s="177"/>
      <c r="D19" s="179"/>
      <c r="E19" s="179"/>
      <c r="F19" s="179"/>
      <c r="G19" s="179"/>
      <c r="H19" s="179"/>
      <c r="I19" s="179"/>
      <c r="J19" s="179"/>
      <c r="K19" s="478" t="str">
        <f t="shared" si="0"/>
        <v/>
      </c>
      <c r="M19" s="478" t="str">
        <f t="shared" si="1"/>
        <v/>
      </c>
    </row>
    <row r="20" spans="1:13" ht="18" customHeight="1">
      <c r="A20" s="177"/>
      <c r="B20" s="177"/>
      <c r="C20" s="177"/>
      <c r="D20" s="179"/>
      <c r="E20" s="179"/>
      <c r="F20" s="179"/>
      <c r="G20" s="179"/>
      <c r="H20" s="179"/>
      <c r="I20" s="179"/>
      <c r="J20" s="179"/>
      <c r="K20" s="478" t="str">
        <f t="shared" si="0"/>
        <v/>
      </c>
      <c r="M20" s="478" t="str">
        <f t="shared" si="1"/>
        <v/>
      </c>
    </row>
    <row r="21" spans="1:13" ht="18" hidden="1" customHeight="1">
      <c r="A21" s="177"/>
      <c r="B21" s="177"/>
      <c r="C21" s="177"/>
      <c r="D21" s="179"/>
      <c r="E21" s="179"/>
      <c r="F21" s="179"/>
      <c r="G21" s="179"/>
      <c r="H21" s="179"/>
      <c r="I21" s="179"/>
      <c r="J21" s="179"/>
      <c r="K21" s="478" t="str">
        <f t="shared" si="0"/>
        <v/>
      </c>
      <c r="M21" s="478" t="str">
        <f t="shared" si="1"/>
        <v/>
      </c>
    </row>
    <row r="22" spans="1:13" ht="18" hidden="1" customHeight="1">
      <c r="A22" s="177"/>
      <c r="B22" s="177"/>
      <c r="C22" s="177"/>
      <c r="D22" s="179"/>
      <c r="E22" s="179"/>
      <c r="F22" s="179"/>
      <c r="G22" s="179"/>
      <c r="H22" s="179"/>
      <c r="I22" s="179"/>
      <c r="J22" s="179"/>
      <c r="K22" s="478" t="str">
        <f t="shared" si="0"/>
        <v/>
      </c>
      <c r="M22" s="478" t="str">
        <f t="shared" si="1"/>
        <v/>
      </c>
    </row>
    <row r="23" spans="1:13" ht="18" hidden="1" customHeight="1">
      <c r="A23" s="177"/>
      <c r="B23" s="177"/>
      <c r="C23" s="177"/>
      <c r="D23" s="179"/>
      <c r="E23" s="179"/>
      <c r="F23" s="179"/>
      <c r="G23" s="179"/>
      <c r="H23" s="179"/>
      <c r="I23" s="179"/>
      <c r="J23" s="179"/>
      <c r="K23" s="478" t="str">
        <f t="shared" si="0"/>
        <v/>
      </c>
      <c r="M23" s="478" t="str">
        <f t="shared" si="1"/>
        <v/>
      </c>
    </row>
    <row r="24" spans="1:13" ht="18" hidden="1" customHeight="1">
      <c r="A24" s="177"/>
      <c r="B24" s="177"/>
      <c r="C24" s="177"/>
      <c r="D24" s="179"/>
      <c r="E24" s="179"/>
      <c r="F24" s="179"/>
      <c r="G24" s="179"/>
      <c r="H24" s="179"/>
      <c r="I24" s="179"/>
      <c r="J24" s="179"/>
      <c r="K24" s="478" t="str">
        <f t="shared" si="0"/>
        <v/>
      </c>
      <c r="M24" s="478" t="str">
        <f t="shared" si="1"/>
        <v/>
      </c>
    </row>
    <row r="25" spans="1:13" ht="18" hidden="1" customHeight="1">
      <c r="A25" s="177"/>
      <c r="B25" s="177"/>
      <c r="C25" s="177"/>
      <c r="D25" s="179"/>
      <c r="E25" s="179"/>
      <c r="F25" s="179"/>
      <c r="G25" s="179"/>
      <c r="H25" s="179"/>
      <c r="I25" s="179"/>
      <c r="J25" s="179"/>
      <c r="K25" s="478" t="str">
        <f t="shared" si="0"/>
        <v/>
      </c>
      <c r="M25" s="478" t="str">
        <f t="shared" si="1"/>
        <v/>
      </c>
    </row>
    <row r="26" spans="1:13" ht="18" hidden="1" customHeight="1">
      <c r="A26" s="177"/>
      <c r="B26" s="177"/>
      <c r="C26" s="177"/>
      <c r="D26" s="179"/>
      <c r="E26" s="179"/>
      <c r="F26" s="179"/>
      <c r="G26" s="179"/>
      <c r="H26" s="179"/>
      <c r="I26" s="179"/>
      <c r="J26" s="179"/>
      <c r="K26" s="478" t="str">
        <f t="shared" si="0"/>
        <v/>
      </c>
      <c r="M26" s="478" t="str">
        <f t="shared" si="1"/>
        <v/>
      </c>
    </row>
    <row r="27" spans="1:13" ht="18" hidden="1" customHeight="1">
      <c r="A27" s="177"/>
      <c r="B27" s="177"/>
      <c r="C27" s="177"/>
      <c r="D27" s="179"/>
      <c r="E27" s="179"/>
      <c r="F27" s="179"/>
      <c r="G27" s="179"/>
      <c r="H27" s="179"/>
      <c r="I27" s="179"/>
      <c r="J27" s="179"/>
      <c r="K27" s="478" t="str">
        <f t="shared" si="0"/>
        <v/>
      </c>
      <c r="M27" s="478" t="str">
        <f t="shared" si="1"/>
        <v/>
      </c>
    </row>
    <row r="28" spans="1:13" ht="18" hidden="1" customHeight="1">
      <c r="A28" s="177"/>
      <c r="B28" s="177"/>
      <c r="C28" s="177"/>
      <c r="D28" s="179"/>
      <c r="E28" s="179"/>
      <c r="F28" s="179"/>
      <c r="G28" s="179"/>
      <c r="H28" s="179"/>
      <c r="I28" s="179"/>
      <c r="J28" s="179"/>
      <c r="K28" s="478" t="str">
        <f t="shared" si="0"/>
        <v/>
      </c>
      <c r="M28" s="478" t="str">
        <f t="shared" si="1"/>
        <v/>
      </c>
    </row>
    <row r="29" spans="1:13" ht="18" hidden="1" customHeight="1">
      <c r="A29" s="177"/>
      <c r="B29" s="177"/>
      <c r="C29" s="177"/>
      <c r="D29" s="179"/>
      <c r="E29" s="179"/>
      <c r="F29" s="179"/>
      <c r="G29" s="179"/>
      <c r="H29" s="179"/>
      <c r="I29" s="179"/>
      <c r="J29" s="179"/>
      <c r="K29" s="478" t="str">
        <f t="shared" si="0"/>
        <v/>
      </c>
      <c r="M29" s="478" t="str">
        <f t="shared" si="1"/>
        <v/>
      </c>
    </row>
    <row r="30" spans="1:13" ht="18" hidden="1" customHeight="1">
      <c r="A30" s="177"/>
      <c r="B30" s="177"/>
      <c r="C30" s="177"/>
      <c r="D30" s="179"/>
      <c r="E30" s="179"/>
      <c r="F30" s="179"/>
      <c r="G30" s="179"/>
      <c r="H30" s="179"/>
      <c r="I30" s="179"/>
      <c r="J30" s="179"/>
      <c r="K30" s="478" t="str">
        <f t="shared" si="0"/>
        <v/>
      </c>
      <c r="M30" s="478" t="str">
        <f t="shared" si="1"/>
        <v/>
      </c>
    </row>
    <row r="31" spans="1:13" ht="18" hidden="1" customHeight="1">
      <c r="A31" s="177"/>
      <c r="B31" s="177"/>
      <c r="C31" s="177"/>
      <c r="D31" s="179"/>
      <c r="E31" s="179"/>
      <c r="F31" s="179"/>
      <c r="G31" s="179"/>
      <c r="H31" s="179"/>
      <c r="I31" s="179"/>
      <c r="J31" s="179"/>
      <c r="K31" s="478" t="str">
        <f t="shared" si="0"/>
        <v/>
      </c>
      <c r="M31" s="478" t="str">
        <f t="shared" si="1"/>
        <v/>
      </c>
    </row>
    <row r="32" spans="1:13" ht="18" hidden="1" customHeight="1">
      <c r="A32" s="177"/>
      <c r="B32" s="177"/>
      <c r="C32" s="177"/>
      <c r="D32" s="179"/>
      <c r="E32" s="179"/>
      <c r="F32" s="179"/>
      <c r="G32" s="179"/>
      <c r="H32" s="179"/>
      <c r="I32" s="179"/>
      <c r="J32" s="179"/>
      <c r="K32" s="478" t="str">
        <f t="shared" si="0"/>
        <v/>
      </c>
      <c r="M32" s="478" t="str">
        <f t="shared" si="1"/>
        <v/>
      </c>
    </row>
    <row r="33" spans="1:13" ht="18" hidden="1" customHeight="1">
      <c r="A33" s="177"/>
      <c r="B33" s="177"/>
      <c r="C33" s="177"/>
      <c r="D33" s="179"/>
      <c r="E33" s="179"/>
      <c r="F33" s="179"/>
      <c r="G33" s="179"/>
      <c r="H33" s="179"/>
      <c r="I33" s="179"/>
      <c r="J33" s="179"/>
      <c r="K33" s="478" t="str">
        <f t="shared" si="0"/>
        <v/>
      </c>
      <c r="M33" s="478" t="str">
        <f t="shared" si="1"/>
        <v/>
      </c>
    </row>
    <row r="34" spans="1:13" ht="18" hidden="1" customHeight="1">
      <c r="A34" s="177"/>
      <c r="B34" s="177"/>
      <c r="C34" s="177"/>
      <c r="D34" s="179"/>
      <c r="E34" s="179"/>
      <c r="F34" s="179"/>
      <c r="G34" s="179"/>
      <c r="H34" s="179"/>
      <c r="I34" s="179"/>
      <c r="J34" s="179"/>
      <c r="K34" s="478" t="str">
        <f t="shared" si="0"/>
        <v/>
      </c>
      <c r="M34" s="478" t="str">
        <f t="shared" si="1"/>
        <v/>
      </c>
    </row>
    <row r="35" spans="1:13" ht="18" hidden="1" customHeight="1">
      <c r="A35" s="177"/>
      <c r="B35" s="177"/>
      <c r="C35" s="177"/>
      <c r="D35" s="179"/>
      <c r="E35" s="179"/>
      <c r="F35" s="179"/>
      <c r="G35" s="179"/>
      <c r="H35" s="179"/>
      <c r="I35" s="179"/>
      <c r="J35" s="179"/>
      <c r="K35" s="478" t="str">
        <f t="shared" si="0"/>
        <v/>
      </c>
      <c r="M35" s="478" t="str">
        <f t="shared" si="1"/>
        <v/>
      </c>
    </row>
    <row r="36" spans="1:13" ht="18" hidden="1" customHeight="1">
      <c r="A36" s="177"/>
      <c r="B36" s="177"/>
      <c r="C36" s="177"/>
      <c r="D36" s="179"/>
      <c r="E36" s="179"/>
      <c r="F36" s="179"/>
      <c r="G36" s="179"/>
      <c r="H36" s="179"/>
      <c r="I36" s="179"/>
      <c r="J36" s="179"/>
      <c r="K36" s="478" t="str">
        <f t="shared" si="0"/>
        <v/>
      </c>
      <c r="M36" s="478" t="str">
        <f t="shared" si="1"/>
        <v/>
      </c>
    </row>
    <row r="37" spans="1:13" ht="18" hidden="1" customHeight="1">
      <c r="A37" s="177"/>
      <c r="B37" s="177"/>
      <c r="C37" s="177"/>
      <c r="D37" s="179"/>
      <c r="E37" s="179"/>
      <c r="F37" s="179"/>
      <c r="G37" s="179"/>
      <c r="H37" s="179"/>
      <c r="I37" s="179"/>
      <c r="J37" s="179"/>
      <c r="K37" s="478" t="str">
        <f t="shared" si="0"/>
        <v/>
      </c>
      <c r="M37" s="478" t="str">
        <f t="shared" si="1"/>
        <v/>
      </c>
    </row>
    <row r="38" spans="1:13" ht="18" hidden="1" customHeight="1">
      <c r="A38" s="177"/>
      <c r="B38" s="177"/>
      <c r="C38" s="177"/>
      <c r="D38" s="179"/>
      <c r="E38" s="179"/>
      <c r="F38" s="179"/>
      <c r="G38" s="179"/>
      <c r="H38" s="179"/>
      <c r="I38" s="179"/>
      <c r="J38" s="179"/>
      <c r="K38" s="478" t="str">
        <f t="shared" si="0"/>
        <v/>
      </c>
      <c r="M38" s="478" t="str">
        <f t="shared" si="1"/>
        <v/>
      </c>
    </row>
    <row r="39" spans="1:13" ht="18" hidden="1" customHeight="1">
      <c r="A39" s="177"/>
      <c r="B39" s="177"/>
      <c r="C39" s="177"/>
      <c r="D39" s="179"/>
      <c r="E39" s="179"/>
      <c r="F39" s="179"/>
      <c r="G39" s="179"/>
      <c r="H39" s="179"/>
      <c r="I39" s="179"/>
      <c r="J39" s="179"/>
      <c r="K39" s="478" t="str">
        <f t="shared" si="0"/>
        <v/>
      </c>
      <c r="M39" s="478" t="str">
        <f t="shared" si="1"/>
        <v/>
      </c>
    </row>
    <row r="40" spans="1:13" ht="18" hidden="1" customHeight="1">
      <c r="A40" s="177"/>
      <c r="B40" s="177"/>
      <c r="C40" s="177"/>
      <c r="D40" s="179"/>
      <c r="E40" s="179"/>
      <c r="F40" s="179"/>
      <c r="G40" s="179"/>
      <c r="H40" s="179"/>
      <c r="I40" s="179"/>
      <c r="J40" s="179"/>
      <c r="K40" s="478" t="str">
        <f t="shared" si="0"/>
        <v/>
      </c>
      <c r="M40" s="478" t="str">
        <f t="shared" si="1"/>
        <v/>
      </c>
    </row>
    <row r="41" spans="1:13" ht="18" hidden="1" customHeight="1">
      <c r="A41" s="177"/>
      <c r="B41" s="177"/>
      <c r="C41" s="177"/>
      <c r="D41" s="179"/>
      <c r="E41" s="179"/>
      <c r="F41" s="179"/>
      <c r="G41" s="179"/>
      <c r="H41" s="179"/>
      <c r="I41" s="179"/>
      <c r="J41" s="179"/>
      <c r="K41" s="478" t="str">
        <f t="shared" si="0"/>
        <v/>
      </c>
      <c r="M41" s="478" t="str">
        <f t="shared" si="1"/>
        <v/>
      </c>
    </row>
    <row r="42" spans="1:13" ht="18" hidden="1" customHeight="1">
      <c r="A42" s="177"/>
      <c r="B42" s="177"/>
      <c r="C42" s="177"/>
      <c r="D42" s="179"/>
      <c r="E42" s="179"/>
      <c r="F42" s="179"/>
      <c r="G42" s="179"/>
      <c r="H42" s="179"/>
      <c r="I42" s="179"/>
      <c r="J42" s="179"/>
      <c r="K42" s="478" t="str">
        <f t="shared" si="0"/>
        <v/>
      </c>
      <c r="M42" s="478" t="str">
        <f t="shared" si="1"/>
        <v/>
      </c>
    </row>
    <row r="43" spans="1:13" ht="18" hidden="1" customHeight="1">
      <c r="A43" s="177"/>
      <c r="B43" s="177"/>
      <c r="C43" s="177"/>
      <c r="D43" s="179"/>
      <c r="E43" s="179"/>
      <c r="F43" s="179"/>
      <c r="G43" s="179"/>
      <c r="H43" s="179"/>
      <c r="I43" s="179"/>
      <c r="J43" s="179"/>
      <c r="K43" s="478" t="str">
        <f t="shared" si="0"/>
        <v/>
      </c>
      <c r="M43" s="478" t="str">
        <f t="shared" si="1"/>
        <v/>
      </c>
    </row>
    <row r="44" spans="1:13" ht="18" hidden="1" customHeight="1">
      <c r="A44" s="177"/>
      <c r="B44" s="177"/>
      <c r="C44" s="177"/>
      <c r="D44" s="179"/>
      <c r="E44" s="179"/>
      <c r="F44" s="179"/>
      <c r="G44" s="179"/>
      <c r="H44" s="179"/>
      <c r="I44" s="179"/>
      <c r="J44" s="179"/>
      <c r="K44" s="478" t="str">
        <f t="shared" si="0"/>
        <v/>
      </c>
      <c r="M44" s="478" t="str">
        <f t="shared" si="1"/>
        <v/>
      </c>
    </row>
    <row r="45" spans="1:13" ht="18" hidden="1" customHeight="1">
      <c r="A45" s="177"/>
      <c r="B45" s="177"/>
      <c r="C45" s="177"/>
      <c r="D45" s="179"/>
      <c r="E45" s="179"/>
      <c r="F45" s="179"/>
      <c r="G45" s="179"/>
      <c r="H45" s="179"/>
      <c r="I45" s="179"/>
      <c r="J45" s="179"/>
      <c r="K45" s="478" t="str">
        <f t="shared" si="0"/>
        <v/>
      </c>
      <c r="M45" s="478" t="str">
        <f t="shared" si="1"/>
        <v/>
      </c>
    </row>
    <row r="46" spans="1:13" ht="18" hidden="1" customHeight="1">
      <c r="A46" s="177"/>
      <c r="B46" s="177"/>
      <c r="C46" s="177"/>
      <c r="D46" s="179"/>
      <c r="E46" s="179"/>
      <c r="F46" s="179"/>
      <c r="G46" s="179"/>
      <c r="H46" s="179"/>
      <c r="I46" s="179"/>
      <c r="J46" s="179"/>
      <c r="K46" s="478" t="str">
        <f t="shared" si="0"/>
        <v/>
      </c>
      <c r="M46" s="478" t="str">
        <f t="shared" si="1"/>
        <v/>
      </c>
    </row>
    <row r="47" spans="1:13" ht="18" hidden="1" customHeight="1">
      <c r="A47" s="177"/>
      <c r="B47" s="177"/>
      <c r="C47" s="177"/>
      <c r="D47" s="179"/>
      <c r="E47" s="179"/>
      <c r="F47" s="179"/>
      <c r="G47" s="179"/>
      <c r="H47" s="179"/>
      <c r="I47" s="179"/>
      <c r="J47" s="179"/>
      <c r="K47" s="478" t="str">
        <f t="shared" si="0"/>
        <v/>
      </c>
      <c r="M47" s="478" t="str">
        <f t="shared" si="1"/>
        <v/>
      </c>
    </row>
    <row r="48" spans="1:13" ht="18" hidden="1" customHeight="1">
      <c r="A48" s="177"/>
      <c r="B48" s="177"/>
      <c r="C48" s="177"/>
      <c r="D48" s="179"/>
      <c r="E48" s="179"/>
      <c r="F48" s="179"/>
      <c r="G48" s="179"/>
      <c r="H48" s="179"/>
      <c r="I48" s="179"/>
      <c r="J48" s="179"/>
      <c r="K48" s="478" t="str">
        <f t="shared" si="0"/>
        <v/>
      </c>
      <c r="M48" s="478" t="str">
        <f t="shared" si="1"/>
        <v/>
      </c>
    </row>
    <row r="49" spans="1:13" ht="18" hidden="1" customHeight="1">
      <c r="A49" s="177"/>
      <c r="B49" s="177"/>
      <c r="C49" s="177"/>
      <c r="D49" s="179"/>
      <c r="E49" s="179"/>
      <c r="F49" s="179"/>
      <c r="G49" s="179"/>
      <c r="H49" s="179"/>
      <c r="I49" s="179"/>
      <c r="J49" s="179"/>
      <c r="K49" s="478" t="str">
        <f t="shared" si="0"/>
        <v/>
      </c>
      <c r="M49" s="478" t="str">
        <f t="shared" si="1"/>
        <v/>
      </c>
    </row>
    <row r="50" spans="1:13" ht="18" hidden="1" customHeight="1">
      <c r="A50" s="177"/>
      <c r="B50" s="177"/>
      <c r="C50" s="177"/>
      <c r="D50" s="179"/>
      <c r="E50" s="179"/>
      <c r="F50" s="179"/>
      <c r="G50" s="179"/>
      <c r="H50" s="179"/>
      <c r="I50" s="179"/>
      <c r="J50" s="179"/>
      <c r="K50" s="478" t="str">
        <f t="shared" si="0"/>
        <v/>
      </c>
      <c r="M50" s="478" t="str">
        <f t="shared" si="1"/>
        <v/>
      </c>
    </row>
    <row r="51" spans="1:13" ht="18" hidden="1" customHeight="1">
      <c r="A51" s="177"/>
      <c r="B51" s="177"/>
      <c r="C51" s="177"/>
      <c r="D51" s="179"/>
      <c r="E51" s="179"/>
      <c r="F51" s="179"/>
      <c r="G51" s="179"/>
      <c r="H51" s="179"/>
      <c r="I51" s="179"/>
      <c r="J51" s="179"/>
      <c r="K51" s="478" t="str">
        <f t="shared" si="0"/>
        <v/>
      </c>
      <c r="M51" s="478" t="str">
        <f t="shared" si="1"/>
        <v/>
      </c>
    </row>
    <row r="52" spans="1:13" ht="18" hidden="1" customHeight="1">
      <c r="A52" s="177"/>
      <c r="B52" s="177"/>
      <c r="C52" s="177"/>
      <c r="D52" s="179"/>
      <c r="E52" s="179"/>
      <c r="F52" s="179"/>
      <c r="G52" s="179"/>
      <c r="H52" s="179"/>
      <c r="I52" s="179"/>
      <c r="J52" s="179"/>
      <c r="K52" s="478" t="str">
        <f t="shared" si="0"/>
        <v/>
      </c>
      <c r="M52" s="478" t="str">
        <f t="shared" si="1"/>
        <v/>
      </c>
    </row>
    <row r="53" spans="1:13" ht="18" hidden="1" customHeight="1">
      <c r="A53" s="177"/>
      <c r="B53" s="177"/>
      <c r="C53" s="177"/>
      <c r="D53" s="179"/>
      <c r="E53" s="179"/>
      <c r="F53" s="179"/>
      <c r="G53" s="179"/>
      <c r="H53" s="179"/>
      <c r="I53" s="179"/>
      <c r="J53" s="179"/>
      <c r="K53" s="478" t="str">
        <f t="shared" si="0"/>
        <v/>
      </c>
      <c r="M53" s="478" t="str">
        <f t="shared" si="1"/>
        <v/>
      </c>
    </row>
    <row r="54" spans="1:13" ht="18" hidden="1" customHeight="1">
      <c r="A54" s="177"/>
      <c r="B54" s="177"/>
      <c r="C54" s="177"/>
      <c r="D54" s="179"/>
      <c r="E54" s="179"/>
      <c r="F54" s="179"/>
      <c r="G54" s="179"/>
      <c r="H54" s="179"/>
      <c r="I54" s="179"/>
      <c r="J54" s="179"/>
      <c r="K54" s="478" t="str">
        <f t="shared" si="0"/>
        <v/>
      </c>
      <c r="M54" s="478" t="str">
        <f t="shared" si="1"/>
        <v/>
      </c>
    </row>
    <row r="55" spans="1:13" ht="18" hidden="1" customHeight="1">
      <c r="A55" s="177"/>
      <c r="B55" s="177"/>
      <c r="C55" s="177"/>
      <c r="D55" s="179"/>
      <c r="E55" s="179"/>
      <c r="F55" s="179"/>
      <c r="G55" s="179"/>
      <c r="H55" s="179"/>
      <c r="I55" s="179"/>
      <c r="J55" s="179"/>
      <c r="K55" s="478" t="str">
        <f t="shared" si="0"/>
        <v/>
      </c>
      <c r="M55" s="478" t="str">
        <f t="shared" si="1"/>
        <v/>
      </c>
    </row>
    <row r="56" spans="1:13" ht="18" hidden="1" customHeight="1">
      <c r="A56" s="177"/>
      <c r="B56" s="177"/>
      <c r="C56" s="177"/>
      <c r="D56" s="179"/>
      <c r="E56" s="179"/>
      <c r="F56" s="179"/>
      <c r="G56" s="179"/>
      <c r="H56" s="179"/>
      <c r="I56" s="179"/>
      <c r="J56" s="179"/>
      <c r="K56" s="478" t="str">
        <f t="shared" si="0"/>
        <v/>
      </c>
      <c r="M56" s="478" t="str">
        <f t="shared" si="1"/>
        <v/>
      </c>
    </row>
    <row r="57" spans="1:13" ht="18" hidden="1" customHeight="1">
      <c r="A57" s="177"/>
      <c r="B57" s="177"/>
      <c r="C57" s="177"/>
      <c r="D57" s="179"/>
      <c r="E57" s="179"/>
      <c r="F57" s="179"/>
      <c r="G57" s="179"/>
      <c r="H57" s="179"/>
      <c r="I57" s="179"/>
      <c r="J57" s="179"/>
      <c r="K57" s="478" t="str">
        <f t="shared" si="0"/>
        <v/>
      </c>
      <c r="M57" s="478" t="str">
        <f t="shared" si="1"/>
        <v/>
      </c>
    </row>
    <row r="58" spans="1:13" ht="18" hidden="1" customHeight="1">
      <c r="A58" s="177"/>
      <c r="B58" s="177"/>
      <c r="C58" s="177"/>
      <c r="D58" s="179"/>
      <c r="E58" s="179"/>
      <c r="F58" s="179"/>
      <c r="G58" s="179"/>
      <c r="H58" s="179"/>
      <c r="I58" s="179"/>
      <c r="J58" s="179"/>
      <c r="K58" s="478" t="str">
        <f t="shared" si="0"/>
        <v/>
      </c>
      <c r="M58" s="478" t="str">
        <f t="shared" si="1"/>
        <v/>
      </c>
    </row>
    <row r="59" spans="1:13" ht="18" hidden="1" customHeight="1">
      <c r="A59" s="177"/>
      <c r="B59" s="177"/>
      <c r="C59" s="177"/>
      <c r="D59" s="179"/>
      <c r="E59" s="179"/>
      <c r="F59" s="179"/>
      <c r="G59" s="179"/>
      <c r="H59" s="179"/>
      <c r="I59" s="179"/>
      <c r="J59" s="179"/>
      <c r="K59" s="478" t="str">
        <f t="shared" si="0"/>
        <v/>
      </c>
      <c r="M59" s="478" t="str">
        <f t="shared" si="1"/>
        <v/>
      </c>
    </row>
    <row r="60" spans="1:13" ht="18" hidden="1" customHeight="1">
      <c r="A60" s="177"/>
      <c r="B60" s="177"/>
      <c r="C60" s="177"/>
      <c r="D60" s="179"/>
      <c r="E60" s="179"/>
      <c r="F60" s="179"/>
      <c r="G60" s="179"/>
      <c r="H60" s="179"/>
      <c r="I60" s="179"/>
      <c r="J60" s="179"/>
      <c r="K60" s="478" t="str">
        <f t="shared" si="0"/>
        <v/>
      </c>
      <c r="M60" s="478" t="str">
        <f t="shared" si="1"/>
        <v/>
      </c>
    </row>
    <row r="61" spans="1:13" ht="18" hidden="1" customHeight="1">
      <c r="A61" s="177"/>
      <c r="B61" s="177"/>
      <c r="C61" s="177"/>
      <c r="D61" s="179"/>
      <c r="E61" s="179"/>
      <c r="F61" s="179"/>
      <c r="G61" s="179"/>
      <c r="H61" s="179"/>
      <c r="I61" s="179"/>
      <c r="J61" s="179"/>
      <c r="K61" s="478" t="str">
        <f t="shared" si="0"/>
        <v/>
      </c>
      <c r="M61" s="478" t="str">
        <f t="shared" si="1"/>
        <v/>
      </c>
    </row>
    <row r="62" spans="1:13" ht="18" hidden="1" customHeight="1">
      <c r="A62" s="177"/>
      <c r="B62" s="177"/>
      <c r="C62" s="177"/>
      <c r="D62" s="179"/>
      <c r="E62" s="179"/>
      <c r="F62" s="179"/>
      <c r="G62" s="179"/>
      <c r="H62" s="179"/>
      <c r="I62" s="179"/>
      <c r="J62" s="179"/>
      <c r="K62" s="478" t="str">
        <f t="shared" si="0"/>
        <v/>
      </c>
      <c r="M62" s="478" t="str">
        <f t="shared" si="1"/>
        <v/>
      </c>
    </row>
    <row r="63" spans="1:13" ht="18" hidden="1" customHeight="1">
      <c r="A63" s="177"/>
      <c r="B63" s="177"/>
      <c r="C63" s="177"/>
      <c r="D63" s="179"/>
      <c r="E63" s="179"/>
      <c r="F63" s="179"/>
      <c r="G63" s="179"/>
      <c r="H63" s="179"/>
      <c r="I63" s="179"/>
      <c r="J63" s="179"/>
      <c r="K63" s="478" t="str">
        <f t="shared" si="0"/>
        <v/>
      </c>
      <c r="M63" s="478" t="str">
        <f t="shared" si="1"/>
        <v/>
      </c>
    </row>
    <row r="64" spans="1:13" ht="18" hidden="1" customHeight="1">
      <c r="A64" s="177"/>
      <c r="B64" s="177"/>
      <c r="C64" s="177"/>
      <c r="D64" s="179"/>
      <c r="E64" s="179"/>
      <c r="F64" s="179"/>
      <c r="G64" s="179"/>
      <c r="H64" s="179"/>
      <c r="I64" s="179"/>
      <c r="J64" s="179"/>
      <c r="K64" s="478" t="str">
        <f t="shared" si="0"/>
        <v/>
      </c>
      <c r="M64" s="478" t="str">
        <f t="shared" si="1"/>
        <v/>
      </c>
    </row>
    <row r="65" spans="1:13" ht="18" hidden="1" customHeight="1">
      <c r="A65" s="177"/>
      <c r="B65" s="177"/>
      <c r="C65" s="177"/>
      <c r="D65" s="179"/>
      <c r="E65" s="179"/>
      <c r="F65" s="179"/>
      <c r="G65" s="179"/>
      <c r="H65" s="179"/>
      <c r="I65" s="179"/>
      <c r="J65" s="179"/>
      <c r="K65" s="478" t="str">
        <f t="shared" si="0"/>
        <v/>
      </c>
      <c r="M65" s="478" t="str">
        <f t="shared" si="1"/>
        <v/>
      </c>
    </row>
    <row r="66" spans="1:13" ht="18" hidden="1" customHeight="1">
      <c r="A66" s="177"/>
      <c r="B66" s="177"/>
      <c r="C66" s="177"/>
      <c r="D66" s="179"/>
      <c r="E66" s="179"/>
      <c r="F66" s="179"/>
      <c r="G66" s="179"/>
      <c r="H66" s="179"/>
      <c r="I66" s="179"/>
      <c r="J66" s="179"/>
      <c r="K66" s="478" t="str">
        <f t="shared" si="0"/>
        <v/>
      </c>
      <c r="M66" s="478" t="str">
        <f t="shared" si="1"/>
        <v/>
      </c>
    </row>
    <row r="67" spans="1:13" ht="18" hidden="1" customHeight="1">
      <c r="A67" s="177"/>
      <c r="B67" s="177"/>
      <c r="C67" s="177"/>
      <c r="D67" s="179"/>
      <c r="E67" s="179"/>
      <c r="F67" s="179"/>
      <c r="G67" s="179"/>
      <c r="H67" s="179"/>
      <c r="I67" s="179"/>
      <c r="J67" s="179"/>
      <c r="K67" s="478" t="str">
        <f t="shared" si="0"/>
        <v/>
      </c>
      <c r="M67" s="478" t="str">
        <f t="shared" si="1"/>
        <v/>
      </c>
    </row>
    <row r="68" spans="1:13" ht="18" hidden="1" customHeight="1">
      <c r="A68" s="177"/>
      <c r="B68" s="177"/>
      <c r="C68" s="177"/>
      <c r="D68" s="179"/>
      <c r="E68" s="179"/>
      <c r="F68" s="179"/>
      <c r="G68" s="179"/>
      <c r="H68" s="179"/>
      <c r="I68" s="179"/>
      <c r="J68" s="179"/>
      <c r="K68" s="478" t="str">
        <f t="shared" si="0"/>
        <v/>
      </c>
      <c r="M68" s="478" t="str">
        <f t="shared" si="1"/>
        <v/>
      </c>
    </row>
    <row r="69" spans="1:13" ht="18" hidden="1" customHeight="1">
      <c r="A69" s="177"/>
      <c r="B69" s="177"/>
      <c r="C69" s="177"/>
      <c r="D69" s="179"/>
      <c r="E69" s="179"/>
      <c r="F69" s="179"/>
      <c r="G69" s="179"/>
      <c r="H69" s="179"/>
      <c r="I69" s="179"/>
      <c r="J69" s="179"/>
      <c r="K69" s="478" t="str">
        <f t="shared" si="0"/>
        <v/>
      </c>
      <c r="M69" s="478" t="str">
        <f t="shared" si="1"/>
        <v/>
      </c>
    </row>
    <row r="70" spans="1:13" ht="18" hidden="1" customHeight="1">
      <c r="A70" s="177"/>
      <c r="B70" s="177"/>
      <c r="C70" s="177"/>
      <c r="D70" s="179"/>
      <c r="E70" s="179"/>
      <c r="F70" s="179"/>
      <c r="G70" s="179"/>
      <c r="H70" s="179"/>
      <c r="I70" s="179"/>
      <c r="J70" s="179"/>
      <c r="K70" s="478" t="str">
        <f t="shared" si="0"/>
        <v/>
      </c>
      <c r="M70" s="478" t="str">
        <f t="shared" si="1"/>
        <v/>
      </c>
    </row>
    <row r="71" spans="1:13" ht="18" hidden="1" customHeight="1">
      <c r="A71" s="177"/>
      <c r="B71" s="177"/>
      <c r="C71" s="177"/>
      <c r="D71" s="179"/>
      <c r="E71" s="179"/>
      <c r="F71" s="179"/>
      <c r="G71" s="179"/>
      <c r="H71" s="179"/>
      <c r="I71" s="179"/>
      <c r="J71" s="179"/>
      <c r="K71" s="478" t="str">
        <f t="shared" si="0"/>
        <v/>
      </c>
      <c r="M71" s="478" t="str">
        <f t="shared" si="1"/>
        <v/>
      </c>
    </row>
    <row r="72" spans="1:13" ht="18" hidden="1" customHeight="1">
      <c r="A72" s="177"/>
      <c r="B72" s="177"/>
      <c r="C72" s="177"/>
      <c r="D72" s="179"/>
      <c r="E72" s="179"/>
      <c r="F72" s="179"/>
      <c r="G72" s="179"/>
      <c r="H72" s="179"/>
      <c r="I72" s="179"/>
      <c r="J72" s="179"/>
      <c r="K72" s="478" t="str">
        <f t="shared" si="0"/>
        <v/>
      </c>
      <c r="M72" s="478" t="str">
        <f t="shared" si="1"/>
        <v/>
      </c>
    </row>
    <row r="73" spans="1:13" ht="18" hidden="1" customHeight="1">
      <c r="A73" s="177"/>
      <c r="B73" s="177"/>
      <c r="C73" s="177"/>
      <c r="D73" s="179"/>
      <c r="E73" s="179"/>
      <c r="F73" s="179"/>
      <c r="G73" s="179"/>
      <c r="H73" s="179"/>
      <c r="I73" s="179"/>
      <c r="J73" s="179"/>
      <c r="K73" s="478" t="str">
        <f t="shared" si="0"/>
        <v/>
      </c>
      <c r="M73" s="478" t="str">
        <f t="shared" si="1"/>
        <v/>
      </c>
    </row>
    <row r="74" spans="1:13" ht="18" hidden="1" customHeight="1">
      <c r="A74" s="177"/>
      <c r="B74" s="177"/>
      <c r="C74" s="177"/>
      <c r="D74" s="179"/>
      <c r="E74" s="179"/>
      <c r="F74" s="179"/>
      <c r="G74" s="179"/>
      <c r="H74" s="179"/>
      <c r="I74" s="179"/>
      <c r="J74" s="179"/>
      <c r="K74" s="478" t="str">
        <f t="shared" si="0"/>
        <v/>
      </c>
      <c r="M74" s="478" t="str">
        <f t="shared" si="1"/>
        <v/>
      </c>
    </row>
    <row r="75" spans="1:13" ht="18" hidden="1" customHeight="1">
      <c r="A75" s="177"/>
      <c r="B75" s="177"/>
      <c r="C75" s="177"/>
      <c r="D75" s="179"/>
      <c r="E75" s="179"/>
      <c r="F75" s="179"/>
      <c r="G75" s="179"/>
      <c r="H75" s="179"/>
      <c r="I75" s="179"/>
      <c r="J75" s="179"/>
      <c r="K75" s="478" t="str">
        <f t="shared" si="0"/>
        <v/>
      </c>
      <c r="M75" s="478" t="str">
        <f t="shared" si="1"/>
        <v/>
      </c>
    </row>
    <row r="76" spans="1:13" ht="18" hidden="1" customHeight="1">
      <c r="A76" s="177"/>
      <c r="B76" s="177"/>
      <c r="C76" s="177"/>
      <c r="D76" s="179"/>
      <c r="E76" s="179"/>
      <c r="F76" s="179"/>
      <c r="G76" s="179"/>
      <c r="H76" s="179"/>
      <c r="I76" s="179"/>
      <c r="J76" s="179"/>
      <c r="K76" s="478" t="str">
        <f t="shared" si="0"/>
        <v/>
      </c>
      <c r="M76" s="478" t="str">
        <f t="shared" si="1"/>
        <v/>
      </c>
    </row>
    <row r="77" spans="1:13" ht="18" hidden="1" customHeight="1">
      <c r="A77" s="177"/>
      <c r="B77" s="177"/>
      <c r="C77" s="177"/>
      <c r="D77" s="179"/>
      <c r="E77" s="179"/>
      <c r="F77" s="179"/>
      <c r="G77" s="179"/>
      <c r="H77" s="179"/>
      <c r="I77" s="179"/>
      <c r="J77" s="179"/>
      <c r="K77" s="478" t="str">
        <f t="shared" ref="K77:K140" si="2">IFERROR(AVERAGEIF(D77:J77,"&gt;0",D77:J77),"")</f>
        <v/>
      </c>
      <c r="M77" s="478" t="str">
        <f t="shared" ref="M77:M140" si="3">IFERROR(MEDIAN(D77:J77),"")</f>
        <v/>
      </c>
    </row>
    <row r="78" spans="1:13" ht="18" hidden="1" customHeight="1">
      <c r="A78" s="177"/>
      <c r="B78" s="177"/>
      <c r="C78" s="177"/>
      <c r="D78" s="179"/>
      <c r="E78" s="179"/>
      <c r="F78" s="179"/>
      <c r="G78" s="179"/>
      <c r="H78" s="179"/>
      <c r="I78" s="179"/>
      <c r="J78" s="179"/>
      <c r="K78" s="478" t="str">
        <f t="shared" si="2"/>
        <v/>
      </c>
      <c r="M78" s="478" t="str">
        <f t="shared" si="3"/>
        <v/>
      </c>
    </row>
    <row r="79" spans="1:13" ht="18" hidden="1" customHeight="1">
      <c r="A79" s="177"/>
      <c r="B79" s="177"/>
      <c r="C79" s="177"/>
      <c r="D79" s="179"/>
      <c r="E79" s="179"/>
      <c r="F79" s="179"/>
      <c r="G79" s="179"/>
      <c r="H79" s="179"/>
      <c r="I79" s="179"/>
      <c r="J79" s="179"/>
      <c r="K79" s="478" t="str">
        <f t="shared" si="2"/>
        <v/>
      </c>
      <c r="M79" s="478" t="str">
        <f t="shared" si="3"/>
        <v/>
      </c>
    </row>
    <row r="80" spans="1:13" ht="18" hidden="1" customHeight="1">
      <c r="A80" s="177"/>
      <c r="B80" s="177"/>
      <c r="C80" s="177"/>
      <c r="D80" s="179"/>
      <c r="E80" s="179"/>
      <c r="F80" s="179"/>
      <c r="G80" s="179"/>
      <c r="H80" s="179"/>
      <c r="I80" s="179"/>
      <c r="J80" s="179"/>
      <c r="K80" s="478" t="str">
        <f t="shared" si="2"/>
        <v/>
      </c>
      <c r="M80" s="478" t="str">
        <f t="shared" si="3"/>
        <v/>
      </c>
    </row>
    <row r="81" spans="1:13" ht="18" hidden="1" customHeight="1">
      <c r="A81" s="177"/>
      <c r="B81" s="177"/>
      <c r="C81" s="177"/>
      <c r="D81" s="179"/>
      <c r="E81" s="179"/>
      <c r="F81" s="179"/>
      <c r="G81" s="179"/>
      <c r="H81" s="179"/>
      <c r="I81" s="179"/>
      <c r="J81" s="179"/>
      <c r="K81" s="478" t="str">
        <f t="shared" si="2"/>
        <v/>
      </c>
      <c r="M81" s="478" t="str">
        <f t="shared" si="3"/>
        <v/>
      </c>
    </row>
    <row r="82" spans="1:13" ht="18" hidden="1" customHeight="1">
      <c r="A82" s="177"/>
      <c r="B82" s="177"/>
      <c r="C82" s="177"/>
      <c r="D82" s="179"/>
      <c r="E82" s="179"/>
      <c r="F82" s="179"/>
      <c r="G82" s="179"/>
      <c r="H82" s="179"/>
      <c r="I82" s="179"/>
      <c r="J82" s="179"/>
      <c r="K82" s="478" t="str">
        <f t="shared" si="2"/>
        <v/>
      </c>
      <c r="M82" s="478" t="str">
        <f t="shared" si="3"/>
        <v/>
      </c>
    </row>
    <row r="83" spans="1:13" ht="18" hidden="1" customHeight="1">
      <c r="A83" s="177"/>
      <c r="B83" s="177"/>
      <c r="C83" s="177"/>
      <c r="D83" s="179"/>
      <c r="E83" s="179"/>
      <c r="F83" s="179"/>
      <c r="G83" s="179"/>
      <c r="H83" s="179"/>
      <c r="I83" s="179"/>
      <c r="J83" s="179"/>
      <c r="K83" s="478" t="str">
        <f t="shared" si="2"/>
        <v/>
      </c>
      <c r="M83" s="478" t="str">
        <f t="shared" si="3"/>
        <v/>
      </c>
    </row>
    <row r="84" spans="1:13" ht="18" hidden="1" customHeight="1">
      <c r="A84" s="177"/>
      <c r="B84" s="177"/>
      <c r="C84" s="177"/>
      <c r="D84" s="179"/>
      <c r="E84" s="179"/>
      <c r="F84" s="179"/>
      <c r="G84" s="179"/>
      <c r="H84" s="179"/>
      <c r="I84" s="179"/>
      <c r="J84" s="179"/>
      <c r="K84" s="478" t="str">
        <f t="shared" si="2"/>
        <v/>
      </c>
      <c r="M84" s="478" t="str">
        <f t="shared" si="3"/>
        <v/>
      </c>
    </row>
    <row r="85" spans="1:13" ht="18" hidden="1" customHeight="1">
      <c r="A85" s="177"/>
      <c r="B85" s="177"/>
      <c r="C85" s="177"/>
      <c r="D85" s="179"/>
      <c r="E85" s="179"/>
      <c r="F85" s="179"/>
      <c r="G85" s="179"/>
      <c r="H85" s="179"/>
      <c r="I85" s="179"/>
      <c r="J85" s="179"/>
      <c r="K85" s="478" t="str">
        <f t="shared" si="2"/>
        <v/>
      </c>
      <c r="M85" s="478" t="str">
        <f t="shared" si="3"/>
        <v/>
      </c>
    </row>
    <row r="86" spans="1:13" ht="18" hidden="1" customHeight="1">
      <c r="A86" s="177"/>
      <c r="B86" s="177"/>
      <c r="C86" s="177"/>
      <c r="D86" s="179"/>
      <c r="E86" s="179"/>
      <c r="F86" s="179"/>
      <c r="G86" s="179"/>
      <c r="H86" s="179"/>
      <c r="I86" s="179"/>
      <c r="J86" s="179"/>
      <c r="K86" s="478" t="str">
        <f t="shared" si="2"/>
        <v/>
      </c>
      <c r="M86" s="478" t="str">
        <f t="shared" si="3"/>
        <v/>
      </c>
    </row>
    <row r="87" spans="1:13" ht="18" hidden="1" customHeight="1">
      <c r="A87" s="177"/>
      <c r="B87" s="177"/>
      <c r="C87" s="177"/>
      <c r="D87" s="179"/>
      <c r="E87" s="179"/>
      <c r="F87" s="179"/>
      <c r="G87" s="179"/>
      <c r="H87" s="179"/>
      <c r="I87" s="179"/>
      <c r="J87" s="179"/>
      <c r="K87" s="478" t="str">
        <f t="shared" si="2"/>
        <v/>
      </c>
      <c r="M87" s="478" t="str">
        <f t="shared" si="3"/>
        <v/>
      </c>
    </row>
    <row r="88" spans="1:13" ht="18" hidden="1" customHeight="1">
      <c r="A88" s="177"/>
      <c r="B88" s="177"/>
      <c r="C88" s="177"/>
      <c r="D88" s="179"/>
      <c r="E88" s="179"/>
      <c r="F88" s="179"/>
      <c r="G88" s="179"/>
      <c r="H88" s="179"/>
      <c r="I88" s="179"/>
      <c r="J88" s="179"/>
      <c r="K88" s="478" t="str">
        <f t="shared" si="2"/>
        <v/>
      </c>
      <c r="M88" s="478" t="str">
        <f t="shared" si="3"/>
        <v/>
      </c>
    </row>
    <row r="89" spans="1:13" ht="18" hidden="1" customHeight="1">
      <c r="A89" s="177"/>
      <c r="B89" s="177"/>
      <c r="C89" s="177"/>
      <c r="D89" s="179"/>
      <c r="E89" s="179"/>
      <c r="F89" s="179"/>
      <c r="G89" s="179"/>
      <c r="H89" s="179"/>
      <c r="I89" s="179"/>
      <c r="J89" s="179"/>
      <c r="K89" s="478" t="str">
        <f t="shared" si="2"/>
        <v/>
      </c>
      <c r="M89" s="478" t="str">
        <f t="shared" si="3"/>
        <v/>
      </c>
    </row>
    <row r="90" spans="1:13" ht="18" hidden="1" customHeight="1">
      <c r="A90" s="177"/>
      <c r="B90" s="177"/>
      <c r="C90" s="177"/>
      <c r="D90" s="179"/>
      <c r="E90" s="179"/>
      <c r="F90" s="179"/>
      <c r="G90" s="179"/>
      <c r="H90" s="179"/>
      <c r="I90" s="179"/>
      <c r="J90" s="179"/>
      <c r="K90" s="478" t="str">
        <f t="shared" si="2"/>
        <v/>
      </c>
      <c r="M90" s="478" t="str">
        <f t="shared" si="3"/>
        <v/>
      </c>
    </row>
    <row r="91" spans="1:13" ht="18" hidden="1" customHeight="1">
      <c r="A91" s="177"/>
      <c r="B91" s="177"/>
      <c r="C91" s="177"/>
      <c r="D91" s="179"/>
      <c r="E91" s="179"/>
      <c r="F91" s="179"/>
      <c r="G91" s="179"/>
      <c r="H91" s="179"/>
      <c r="I91" s="179"/>
      <c r="J91" s="179"/>
      <c r="K91" s="478" t="str">
        <f t="shared" si="2"/>
        <v/>
      </c>
      <c r="M91" s="478" t="str">
        <f t="shared" si="3"/>
        <v/>
      </c>
    </row>
    <row r="92" spans="1:13" ht="18" hidden="1" customHeight="1">
      <c r="A92" s="177"/>
      <c r="B92" s="177"/>
      <c r="C92" s="177"/>
      <c r="D92" s="179"/>
      <c r="E92" s="179"/>
      <c r="F92" s="179"/>
      <c r="G92" s="179"/>
      <c r="H92" s="179"/>
      <c r="I92" s="179"/>
      <c r="J92" s="179"/>
      <c r="K92" s="478" t="str">
        <f t="shared" si="2"/>
        <v/>
      </c>
      <c r="M92" s="478" t="str">
        <f t="shared" si="3"/>
        <v/>
      </c>
    </row>
    <row r="93" spans="1:13" ht="18" hidden="1" customHeight="1">
      <c r="A93" s="177"/>
      <c r="B93" s="177"/>
      <c r="C93" s="177"/>
      <c r="D93" s="179"/>
      <c r="E93" s="179"/>
      <c r="F93" s="179"/>
      <c r="G93" s="179"/>
      <c r="H93" s="179"/>
      <c r="I93" s="179"/>
      <c r="J93" s="179"/>
      <c r="K93" s="478" t="str">
        <f t="shared" si="2"/>
        <v/>
      </c>
      <c r="M93" s="478" t="str">
        <f t="shared" si="3"/>
        <v/>
      </c>
    </row>
    <row r="94" spans="1:13" ht="18" hidden="1" customHeight="1">
      <c r="A94" s="177"/>
      <c r="B94" s="177"/>
      <c r="C94" s="177"/>
      <c r="D94" s="179"/>
      <c r="E94" s="179"/>
      <c r="F94" s="179"/>
      <c r="G94" s="179"/>
      <c r="H94" s="179"/>
      <c r="I94" s="179"/>
      <c r="J94" s="179"/>
      <c r="K94" s="478" t="str">
        <f t="shared" si="2"/>
        <v/>
      </c>
      <c r="M94" s="478" t="str">
        <f t="shared" si="3"/>
        <v/>
      </c>
    </row>
    <row r="95" spans="1:13" ht="18" hidden="1" customHeight="1">
      <c r="A95" s="177"/>
      <c r="B95" s="177"/>
      <c r="C95" s="177"/>
      <c r="D95" s="179"/>
      <c r="E95" s="179"/>
      <c r="F95" s="179"/>
      <c r="G95" s="179"/>
      <c r="H95" s="179"/>
      <c r="I95" s="179"/>
      <c r="J95" s="179"/>
      <c r="K95" s="478" t="str">
        <f t="shared" si="2"/>
        <v/>
      </c>
      <c r="M95" s="478" t="str">
        <f t="shared" si="3"/>
        <v/>
      </c>
    </row>
    <row r="96" spans="1:13" ht="18" hidden="1" customHeight="1">
      <c r="A96" s="177"/>
      <c r="B96" s="177"/>
      <c r="C96" s="177"/>
      <c r="D96" s="179"/>
      <c r="E96" s="179"/>
      <c r="F96" s="179"/>
      <c r="G96" s="179"/>
      <c r="H96" s="179"/>
      <c r="I96" s="179"/>
      <c r="J96" s="179"/>
      <c r="K96" s="478" t="str">
        <f t="shared" si="2"/>
        <v/>
      </c>
      <c r="M96" s="478" t="str">
        <f t="shared" si="3"/>
        <v/>
      </c>
    </row>
    <row r="97" spans="1:13" ht="18" hidden="1" customHeight="1">
      <c r="A97" s="177"/>
      <c r="B97" s="177"/>
      <c r="C97" s="177"/>
      <c r="D97" s="179"/>
      <c r="E97" s="179"/>
      <c r="F97" s="179"/>
      <c r="G97" s="179"/>
      <c r="H97" s="179"/>
      <c r="I97" s="179"/>
      <c r="J97" s="179"/>
      <c r="K97" s="478" t="str">
        <f t="shared" si="2"/>
        <v/>
      </c>
      <c r="M97" s="478" t="str">
        <f t="shared" si="3"/>
        <v/>
      </c>
    </row>
    <row r="98" spans="1:13" ht="18" hidden="1" customHeight="1">
      <c r="A98" s="177"/>
      <c r="B98" s="177"/>
      <c r="C98" s="177"/>
      <c r="D98" s="179"/>
      <c r="E98" s="179"/>
      <c r="F98" s="179"/>
      <c r="G98" s="179"/>
      <c r="H98" s="179"/>
      <c r="I98" s="179"/>
      <c r="J98" s="179"/>
      <c r="K98" s="478" t="str">
        <f t="shared" si="2"/>
        <v/>
      </c>
      <c r="M98" s="478" t="str">
        <f t="shared" si="3"/>
        <v/>
      </c>
    </row>
    <row r="99" spans="1:13" ht="18" hidden="1" customHeight="1">
      <c r="A99" s="177"/>
      <c r="B99" s="177"/>
      <c r="C99" s="177"/>
      <c r="D99" s="179"/>
      <c r="E99" s="179"/>
      <c r="F99" s="179"/>
      <c r="G99" s="179"/>
      <c r="H99" s="179"/>
      <c r="I99" s="179"/>
      <c r="J99" s="179"/>
      <c r="K99" s="478" t="str">
        <f t="shared" si="2"/>
        <v/>
      </c>
      <c r="M99" s="478" t="str">
        <f t="shared" si="3"/>
        <v/>
      </c>
    </row>
    <row r="100" spans="1:13" ht="18" hidden="1" customHeight="1">
      <c r="A100" s="177"/>
      <c r="B100" s="177"/>
      <c r="C100" s="177"/>
      <c r="D100" s="179"/>
      <c r="E100" s="179"/>
      <c r="F100" s="179"/>
      <c r="G100" s="179"/>
      <c r="H100" s="179"/>
      <c r="I100" s="179"/>
      <c r="J100" s="179"/>
      <c r="K100" s="478" t="str">
        <f t="shared" si="2"/>
        <v/>
      </c>
      <c r="M100" s="478" t="str">
        <f t="shared" si="3"/>
        <v/>
      </c>
    </row>
    <row r="101" spans="1:13" ht="18" hidden="1" customHeight="1">
      <c r="A101" s="177"/>
      <c r="B101" s="177"/>
      <c r="C101" s="177"/>
      <c r="D101" s="179"/>
      <c r="E101" s="179"/>
      <c r="F101" s="179"/>
      <c r="G101" s="179"/>
      <c r="H101" s="179"/>
      <c r="I101" s="179"/>
      <c r="J101" s="179"/>
      <c r="K101" s="478" t="str">
        <f t="shared" si="2"/>
        <v/>
      </c>
      <c r="M101" s="478" t="str">
        <f t="shared" si="3"/>
        <v/>
      </c>
    </row>
    <row r="102" spans="1:13" ht="18" hidden="1" customHeight="1">
      <c r="A102" s="177"/>
      <c r="B102" s="177"/>
      <c r="C102" s="177"/>
      <c r="D102" s="179"/>
      <c r="E102" s="179"/>
      <c r="F102" s="179"/>
      <c r="G102" s="179"/>
      <c r="H102" s="179"/>
      <c r="I102" s="179"/>
      <c r="J102" s="179"/>
      <c r="K102" s="478" t="str">
        <f t="shared" si="2"/>
        <v/>
      </c>
      <c r="M102" s="478" t="str">
        <f t="shared" si="3"/>
        <v/>
      </c>
    </row>
    <row r="103" spans="1:13" ht="18" hidden="1" customHeight="1">
      <c r="A103" s="177"/>
      <c r="B103" s="177"/>
      <c r="C103" s="177"/>
      <c r="D103" s="179"/>
      <c r="E103" s="179"/>
      <c r="F103" s="179"/>
      <c r="G103" s="179"/>
      <c r="H103" s="179"/>
      <c r="I103" s="179"/>
      <c r="J103" s="179"/>
      <c r="K103" s="478" t="str">
        <f t="shared" si="2"/>
        <v/>
      </c>
      <c r="M103" s="478" t="str">
        <f t="shared" si="3"/>
        <v/>
      </c>
    </row>
    <row r="104" spans="1:13" ht="18" hidden="1" customHeight="1">
      <c r="A104" s="177"/>
      <c r="B104" s="177"/>
      <c r="C104" s="177"/>
      <c r="D104" s="179"/>
      <c r="E104" s="179"/>
      <c r="F104" s="179"/>
      <c r="G104" s="179"/>
      <c r="H104" s="179"/>
      <c r="I104" s="179"/>
      <c r="J104" s="179"/>
      <c r="K104" s="478" t="str">
        <f t="shared" si="2"/>
        <v/>
      </c>
      <c r="M104" s="478" t="str">
        <f t="shared" si="3"/>
        <v/>
      </c>
    </row>
    <row r="105" spans="1:13" ht="18" hidden="1" customHeight="1">
      <c r="A105" s="177"/>
      <c r="B105" s="177"/>
      <c r="C105" s="177"/>
      <c r="D105" s="179"/>
      <c r="E105" s="179"/>
      <c r="F105" s="179"/>
      <c r="G105" s="179"/>
      <c r="H105" s="179"/>
      <c r="I105" s="179"/>
      <c r="J105" s="179"/>
      <c r="K105" s="478" t="str">
        <f t="shared" si="2"/>
        <v/>
      </c>
      <c r="M105" s="478" t="str">
        <f t="shared" si="3"/>
        <v/>
      </c>
    </row>
    <row r="106" spans="1:13" ht="18" hidden="1" customHeight="1">
      <c r="A106" s="177"/>
      <c r="B106" s="177"/>
      <c r="C106" s="177"/>
      <c r="D106" s="179"/>
      <c r="E106" s="179"/>
      <c r="F106" s="179"/>
      <c r="G106" s="179"/>
      <c r="H106" s="179"/>
      <c r="I106" s="179"/>
      <c r="J106" s="179"/>
      <c r="K106" s="478" t="str">
        <f t="shared" si="2"/>
        <v/>
      </c>
      <c r="M106" s="478" t="str">
        <f t="shared" si="3"/>
        <v/>
      </c>
    </row>
    <row r="107" spans="1:13" ht="18" hidden="1" customHeight="1">
      <c r="A107" s="177"/>
      <c r="B107" s="177"/>
      <c r="C107" s="177"/>
      <c r="D107" s="179"/>
      <c r="E107" s="179"/>
      <c r="F107" s="179"/>
      <c r="G107" s="179"/>
      <c r="H107" s="179"/>
      <c r="I107" s="179"/>
      <c r="J107" s="179"/>
      <c r="K107" s="478" t="str">
        <f t="shared" si="2"/>
        <v/>
      </c>
      <c r="M107" s="478" t="str">
        <f t="shared" si="3"/>
        <v/>
      </c>
    </row>
    <row r="108" spans="1:13" ht="18" hidden="1" customHeight="1">
      <c r="A108" s="177"/>
      <c r="B108" s="177"/>
      <c r="C108" s="177"/>
      <c r="D108" s="179"/>
      <c r="E108" s="179"/>
      <c r="F108" s="179"/>
      <c r="G108" s="179"/>
      <c r="H108" s="179"/>
      <c r="I108" s="179"/>
      <c r="J108" s="179"/>
      <c r="K108" s="478" t="str">
        <f t="shared" si="2"/>
        <v/>
      </c>
      <c r="M108" s="478" t="str">
        <f t="shared" si="3"/>
        <v/>
      </c>
    </row>
    <row r="109" spans="1:13" ht="18" hidden="1" customHeight="1">
      <c r="A109" s="177"/>
      <c r="B109" s="177"/>
      <c r="C109" s="177"/>
      <c r="D109" s="179"/>
      <c r="E109" s="179"/>
      <c r="F109" s="179"/>
      <c r="G109" s="179"/>
      <c r="H109" s="179"/>
      <c r="I109" s="179"/>
      <c r="J109" s="179"/>
      <c r="K109" s="478" t="str">
        <f t="shared" si="2"/>
        <v/>
      </c>
      <c r="M109" s="478" t="str">
        <f t="shared" si="3"/>
        <v/>
      </c>
    </row>
    <row r="110" spans="1:13" ht="18" hidden="1" customHeight="1">
      <c r="A110" s="177"/>
      <c r="B110" s="177"/>
      <c r="C110" s="177"/>
      <c r="D110" s="179"/>
      <c r="E110" s="179"/>
      <c r="F110" s="179"/>
      <c r="G110" s="179"/>
      <c r="H110" s="179"/>
      <c r="I110" s="179"/>
      <c r="J110" s="179"/>
      <c r="K110" s="478" t="str">
        <f t="shared" si="2"/>
        <v/>
      </c>
      <c r="M110" s="478" t="str">
        <f t="shared" si="3"/>
        <v/>
      </c>
    </row>
    <row r="111" spans="1:13" ht="18" hidden="1" customHeight="1">
      <c r="A111" s="177"/>
      <c r="B111" s="177"/>
      <c r="C111" s="177"/>
      <c r="D111" s="179"/>
      <c r="E111" s="179"/>
      <c r="F111" s="179"/>
      <c r="G111" s="179"/>
      <c r="H111" s="179"/>
      <c r="I111" s="179"/>
      <c r="J111" s="179"/>
      <c r="K111" s="478" t="str">
        <f t="shared" si="2"/>
        <v/>
      </c>
      <c r="M111" s="478" t="str">
        <f t="shared" si="3"/>
        <v/>
      </c>
    </row>
    <row r="112" spans="1:13" ht="18" hidden="1" customHeight="1">
      <c r="A112" s="177"/>
      <c r="B112" s="177"/>
      <c r="C112" s="177"/>
      <c r="D112" s="179"/>
      <c r="E112" s="179"/>
      <c r="F112" s="179"/>
      <c r="G112" s="179"/>
      <c r="H112" s="179"/>
      <c r="I112" s="179"/>
      <c r="J112" s="179"/>
      <c r="K112" s="478" t="str">
        <f t="shared" si="2"/>
        <v/>
      </c>
      <c r="M112" s="478" t="str">
        <f t="shared" si="3"/>
        <v/>
      </c>
    </row>
    <row r="113" spans="1:13" ht="18" hidden="1" customHeight="1">
      <c r="A113" s="177"/>
      <c r="B113" s="177"/>
      <c r="C113" s="177"/>
      <c r="D113" s="179"/>
      <c r="E113" s="179"/>
      <c r="F113" s="179"/>
      <c r="G113" s="179"/>
      <c r="H113" s="179"/>
      <c r="I113" s="179"/>
      <c r="J113" s="179"/>
      <c r="K113" s="478" t="str">
        <f t="shared" si="2"/>
        <v/>
      </c>
      <c r="M113" s="478" t="str">
        <f t="shared" si="3"/>
        <v/>
      </c>
    </row>
    <row r="114" spans="1:13" ht="18" hidden="1" customHeight="1">
      <c r="A114" s="177"/>
      <c r="B114" s="177"/>
      <c r="C114" s="177"/>
      <c r="D114" s="179"/>
      <c r="E114" s="179"/>
      <c r="F114" s="179"/>
      <c r="G114" s="179"/>
      <c r="H114" s="179"/>
      <c r="I114" s="179"/>
      <c r="J114" s="179"/>
      <c r="K114" s="478" t="str">
        <f t="shared" si="2"/>
        <v/>
      </c>
      <c r="M114" s="478" t="str">
        <f t="shared" si="3"/>
        <v/>
      </c>
    </row>
    <row r="115" spans="1:13" ht="18" hidden="1" customHeight="1">
      <c r="A115" s="177"/>
      <c r="B115" s="177"/>
      <c r="C115" s="177"/>
      <c r="D115" s="179"/>
      <c r="E115" s="179"/>
      <c r="F115" s="179"/>
      <c r="G115" s="179"/>
      <c r="H115" s="179"/>
      <c r="I115" s="179"/>
      <c r="J115" s="179"/>
      <c r="K115" s="478" t="str">
        <f t="shared" si="2"/>
        <v/>
      </c>
      <c r="M115" s="478" t="str">
        <f t="shared" si="3"/>
        <v/>
      </c>
    </row>
    <row r="116" spans="1:13" ht="18" hidden="1" customHeight="1">
      <c r="A116" s="177"/>
      <c r="B116" s="177"/>
      <c r="C116" s="177"/>
      <c r="D116" s="179"/>
      <c r="E116" s="179"/>
      <c r="F116" s="179"/>
      <c r="G116" s="179"/>
      <c r="H116" s="179"/>
      <c r="I116" s="179"/>
      <c r="J116" s="179"/>
      <c r="K116" s="478" t="str">
        <f t="shared" si="2"/>
        <v/>
      </c>
      <c r="M116" s="478" t="str">
        <f t="shared" si="3"/>
        <v/>
      </c>
    </row>
    <row r="117" spans="1:13" ht="18" hidden="1" customHeight="1">
      <c r="A117" s="177"/>
      <c r="B117" s="177"/>
      <c r="C117" s="177"/>
      <c r="D117" s="179"/>
      <c r="E117" s="179"/>
      <c r="F117" s="179"/>
      <c r="G117" s="179"/>
      <c r="H117" s="179"/>
      <c r="I117" s="179"/>
      <c r="J117" s="179"/>
      <c r="K117" s="478" t="str">
        <f t="shared" si="2"/>
        <v/>
      </c>
      <c r="M117" s="478" t="str">
        <f t="shared" si="3"/>
        <v/>
      </c>
    </row>
    <row r="118" spans="1:13" ht="18" hidden="1" customHeight="1">
      <c r="A118" s="177"/>
      <c r="B118" s="177"/>
      <c r="C118" s="177"/>
      <c r="D118" s="179"/>
      <c r="E118" s="179"/>
      <c r="F118" s="179"/>
      <c r="G118" s="179"/>
      <c r="H118" s="179"/>
      <c r="I118" s="179"/>
      <c r="J118" s="179"/>
      <c r="K118" s="478" t="str">
        <f t="shared" si="2"/>
        <v/>
      </c>
      <c r="M118" s="478" t="str">
        <f t="shared" si="3"/>
        <v/>
      </c>
    </row>
    <row r="119" spans="1:13" ht="18" hidden="1" customHeight="1">
      <c r="A119" s="177"/>
      <c r="B119" s="177"/>
      <c r="C119" s="177"/>
      <c r="D119" s="179"/>
      <c r="E119" s="179"/>
      <c r="F119" s="179"/>
      <c r="G119" s="179"/>
      <c r="H119" s="179"/>
      <c r="I119" s="179"/>
      <c r="J119" s="179"/>
      <c r="K119" s="478" t="str">
        <f t="shared" si="2"/>
        <v/>
      </c>
      <c r="M119" s="478" t="str">
        <f t="shared" si="3"/>
        <v/>
      </c>
    </row>
    <row r="120" spans="1:13" ht="18" hidden="1" customHeight="1">
      <c r="A120" s="177"/>
      <c r="B120" s="177"/>
      <c r="C120" s="177"/>
      <c r="D120" s="179"/>
      <c r="E120" s="179"/>
      <c r="F120" s="179"/>
      <c r="G120" s="179"/>
      <c r="H120" s="179"/>
      <c r="I120" s="179"/>
      <c r="J120" s="179"/>
      <c r="K120" s="478" t="str">
        <f t="shared" si="2"/>
        <v/>
      </c>
      <c r="M120" s="478" t="str">
        <f t="shared" si="3"/>
        <v/>
      </c>
    </row>
    <row r="121" spans="1:13" ht="18" hidden="1" customHeight="1">
      <c r="A121" s="177"/>
      <c r="B121" s="177"/>
      <c r="C121" s="177"/>
      <c r="D121" s="179"/>
      <c r="E121" s="179"/>
      <c r="F121" s="179"/>
      <c r="G121" s="179"/>
      <c r="H121" s="179"/>
      <c r="I121" s="179"/>
      <c r="J121" s="179"/>
      <c r="K121" s="478" t="str">
        <f t="shared" si="2"/>
        <v/>
      </c>
      <c r="M121" s="478" t="str">
        <f t="shared" si="3"/>
        <v/>
      </c>
    </row>
    <row r="122" spans="1:13" ht="18" hidden="1" customHeight="1">
      <c r="A122" s="177"/>
      <c r="B122" s="177"/>
      <c r="C122" s="177"/>
      <c r="D122" s="179"/>
      <c r="E122" s="179"/>
      <c r="F122" s="179"/>
      <c r="G122" s="179"/>
      <c r="H122" s="179"/>
      <c r="I122" s="179"/>
      <c r="J122" s="179"/>
      <c r="K122" s="478" t="str">
        <f t="shared" si="2"/>
        <v/>
      </c>
      <c r="M122" s="478" t="str">
        <f t="shared" si="3"/>
        <v/>
      </c>
    </row>
    <row r="123" spans="1:13" ht="18" hidden="1" customHeight="1">
      <c r="A123" s="177"/>
      <c r="B123" s="177"/>
      <c r="C123" s="177"/>
      <c r="D123" s="179"/>
      <c r="E123" s="179"/>
      <c r="F123" s="179"/>
      <c r="G123" s="179"/>
      <c r="H123" s="179"/>
      <c r="I123" s="179"/>
      <c r="J123" s="179"/>
      <c r="K123" s="478" t="str">
        <f t="shared" si="2"/>
        <v/>
      </c>
      <c r="M123" s="478" t="str">
        <f t="shared" si="3"/>
        <v/>
      </c>
    </row>
    <row r="124" spans="1:13" ht="18" hidden="1" customHeight="1">
      <c r="A124" s="177"/>
      <c r="B124" s="177"/>
      <c r="C124" s="177"/>
      <c r="D124" s="179"/>
      <c r="E124" s="179"/>
      <c r="F124" s="179"/>
      <c r="G124" s="179"/>
      <c r="H124" s="179"/>
      <c r="I124" s="179"/>
      <c r="J124" s="179"/>
      <c r="K124" s="478" t="str">
        <f t="shared" si="2"/>
        <v/>
      </c>
      <c r="M124" s="478" t="str">
        <f t="shared" si="3"/>
        <v/>
      </c>
    </row>
    <row r="125" spans="1:13" ht="18" hidden="1" customHeight="1">
      <c r="A125" s="177"/>
      <c r="B125" s="177"/>
      <c r="C125" s="177"/>
      <c r="D125" s="179"/>
      <c r="E125" s="179"/>
      <c r="F125" s="179"/>
      <c r="G125" s="179"/>
      <c r="H125" s="179"/>
      <c r="I125" s="179"/>
      <c r="J125" s="179"/>
      <c r="K125" s="478" t="str">
        <f t="shared" si="2"/>
        <v/>
      </c>
      <c r="M125" s="478" t="str">
        <f t="shared" si="3"/>
        <v/>
      </c>
    </row>
    <row r="126" spans="1:13" ht="18" hidden="1" customHeight="1">
      <c r="A126" s="177"/>
      <c r="B126" s="177"/>
      <c r="C126" s="177"/>
      <c r="D126" s="179"/>
      <c r="E126" s="179"/>
      <c r="F126" s="179"/>
      <c r="G126" s="179"/>
      <c r="H126" s="179"/>
      <c r="I126" s="179"/>
      <c r="J126" s="179"/>
      <c r="K126" s="478" t="str">
        <f t="shared" si="2"/>
        <v/>
      </c>
      <c r="M126" s="478" t="str">
        <f t="shared" si="3"/>
        <v/>
      </c>
    </row>
    <row r="127" spans="1:13" ht="18" hidden="1" customHeight="1">
      <c r="A127" s="177"/>
      <c r="B127" s="177"/>
      <c r="C127" s="177"/>
      <c r="D127" s="179"/>
      <c r="E127" s="179"/>
      <c r="F127" s="179"/>
      <c r="G127" s="179"/>
      <c r="H127" s="179"/>
      <c r="I127" s="179"/>
      <c r="J127" s="179"/>
      <c r="K127" s="478" t="str">
        <f t="shared" si="2"/>
        <v/>
      </c>
      <c r="M127" s="478" t="str">
        <f t="shared" si="3"/>
        <v/>
      </c>
    </row>
    <row r="128" spans="1:13" ht="18" hidden="1" customHeight="1">
      <c r="A128" s="177"/>
      <c r="B128" s="177"/>
      <c r="C128" s="177"/>
      <c r="D128" s="179"/>
      <c r="E128" s="179"/>
      <c r="F128" s="179"/>
      <c r="G128" s="179"/>
      <c r="H128" s="179"/>
      <c r="I128" s="179"/>
      <c r="J128" s="179"/>
      <c r="K128" s="478" t="str">
        <f t="shared" si="2"/>
        <v/>
      </c>
      <c r="M128" s="478" t="str">
        <f t="shared" si="3"/>
        <v/>
      </c>
    </row>
    <row r="129" spans="1:13" ht="18" hidden="1" customHeight="1">
      <c r="A129" s="177"/>
      <c r="B129" s="177"/>
      <c r="C129" s="177"/>
      <c r="D129" s="179"/>
      <c r="E129" s="179"/>
      <c r="F129" s="179"/>
      <c r="G129" s="179"/>
      <c r="H129" s="179"/>
      <c r="I129" s="179"/>
      <c r="J129" s="179"/>
      <c r="K129" s="478" t="str">
        <f t="shared" si="2"/>
        <v/>
      </c>
      <c r="M129" s="478" t="str">
        <f t="shared" si="3"/>
        <v/>
      </c>
    </row>
    <row r="130" spans="1:13" ht="18" hidden="1" customHeight="1">
      <c r="A130" s="177"/>
      <c r="B130" s="177"/>
      <c r="C130" s="177"/>
      <c r="D130" s="179"/>
      <c r="E130" s="179"/>
      <c r="F130" s="179"/>
      <c r="G130" s="179"/>
      <c r="H130" s="179"/>
      <c r="I130" s="179"/>
      <c r="J130" s="179"/>
      <c r="K130" s="478" t="str">
        <f t="shared" si="2"/>
        <v/>
      </c>
      <c r="M130" s="478" t="str">
        <f t="shared" si="3"/>
        <v/>
      </c>
    </row>
    <row r="131" spans="1:13" ht="18" hidden="1" customHeight="1">
      <c r="A131" s="177"/>
      <c r="B131" s="177"/>
      <c r="C131" s="177"/>
      <c r="D131" s="179"/>
      <c r="E131" s="179"/>
      <c r="F131" s="179"/>
      <c r="G131" s="179"/>
      <c r="H131" s="179"/>
      <c r="I131" s="179"/>
      <c r="J131" s="179"/>
      <c r="K131" s="478" t="str">
        <f t="shared" si="2"/>
        <v/>
      </c>
      <c r="M131" s="478" t="str">
        <f t="shared" si="3"/>
        <v/>
      </c>
    </row>
    <row r="132" spans="1:13" ht="18" hidden="1" customHeight="1">
      <c r="A132" s="177"/>
      <c r="B132" s="177"/>
      <c r="C132" s="177"/>
      <c r="D132" s="179"/>
      <c r="E132" s="179"/>
      <c r="F132" s="179"/>
      <c r="G132" s="179"/>
      <c r="H132" s="179"/>
      <c r="I132" s="179"/>
      <c r="J132" s="179"/>
      <c r="K132" s="478" t="str">
        <f t="shared" si="2"/>
        <v/>
      </c>
      <c r="M132" s="478" t="str">
        <f t="shared" si="3"/>
        <v/>
      </c>
    </row>
    <row r="133" spans="1:13" ht="18" hidden="1" customHeight="1">
      <c r="A133" s="177"/>
      <c r="B133" s="177"/>
      <c r="C133" s="177"/>
      <c r="D133" s="179"/>
      <c r="E133" s="179"/>
      <c r="F133" s="179"/>
      <c r="G133" s="179"/>
      <c r="H133" s="179"/>
      <c r="I133" s="179"/>
      <c r="J133" s="179"/>
      <c r="K133" s="478" t="str">
        <f t="shared" si="2"/>
        <v/>
      </c>
      <c r="M133" s="478" t="str">
        <f t="shared" si="3"/>
        <v/>
      </c>
    </row>
    <row r="134" spans="1:13" ht="18" hidden="1" customHeight="1">
      <c r="A134" s="177"/>
      <c r="B134" s="177"/>
      <c r="C134" s="177"/>
      <c r="D134" s="179"/>
      <c r="E134" s="179"/>
      <c r="F134" s="179"/>
      <c r="G134" s="179"/>
      <c r="H134" s="179"/>
      <c r="I134" s="179"/>
      <c r="J134" s="179"/>
      <c r="K134" s="478" t="str">
        <f t="shared" si="2"/>
        <v/>
      </c>
      <c r="M134" s="478" t="str">
        <f t="shared" si="3"/>
        <v/>
      </c>
    </row>
    <row r="135" spans="1:13" ht="18" hidden="1" customHeight="1">
      <c r="A135" s="177"/>
      <c r="B135" s="177"/>
      <c r="C135" s="177"/>
      <c r="D135" s="179"/>
      <c r="E135" s="179"/>
      <c r="F135" s="179"/>
      <c r="G135" s="179"/>
      <c r="H135" s="179"/>
      <c r="I135" s="179"/>
      <c r="J135" s="179"/>
      <c r="K135" s="478" t="str">
        <f t="shared" si="2"/>
        <v/>
      </c>
      <c r="M135" s="478" t="str">
        <f t="shared" si="3"/>
        <v/>
      </c>
    </row>
    <row r="136" spans="1:13" ht="18" hidden="1" customHeight="1">
      <c r="A136" s="177"/>
      <c r="B136" s="177"/>
      <c r="C136" s="177"/>
      <c r="D136" s="179"/>
      <c r="E136" s="179"/>
      <c r="F136" s="179"/>
      <c r="G136" s="179"/>
      <c r="H136" s="179"/>
      <c r="I136" s="179"/>
      <c r="J136" s="179"/>
      <c r="K136" s="478" t="str">
        <f t="shared" si="2"/>
        <v/>
      </c>
      <c r="M136" s="478" t="str">
        <f t="shared" si="3"/>
        <v/>
      </c>
    </row>
    <row r="137" spans="1:13" ht="18" hidden="1" customHeight="1">
      <c r="A137" s="177"/>
      <c r="B137" s="177"/>
      <c r="C137" s="177"/>
      <c r="D137" s="179"/>
      <c r="E137" s="179"/>
      <c r="F137" s="179"/>
      <c r="G137" s="179"/>
      <c r="H137" s="179"/>
      <c r="I137" s="179"/>
      <c r="J137" s="179"/>
      <c r="K137" s="478" t="str">
        <f t="shared" si="2"/>
        <v/>
      </c>
      <c r="M137" s="478" t="str">
        <f t="shared" si="3"/>
        <v/>
      </c>
    </row>
    <row r="138" spans="1:13" ht="18" hidden="1" customHeight="1">
      <c r="A138" s="177"/>
      <c r="B138" s="177"/>
      <c r="C138" s="177"/>
      <c r="D138" s="179"/>
      <c r="E138" s="179"/>
      <c r="F138" s="179"/>
      <c r="G138" s="179"/>
      <c r="H138" s="179"/>
      <c r="I138" s="179"/>
      <c r="J138" s="179"/>
      <c r="K138" s="478" t="str">
        <f t="shared" si="2"/>
        <v/>
      </c>
      <c r="M138" s="478" t="str">
        <f t="shared" si="3"/>
        <v/>
      </c>
    </row>
    <row r="139" spans="1:13" ht="18" hidden="1" customHeight="1">
      <c r="A139" s="177"/>
      <c r="B139" s="177"/>
      <c r="C139" s="177"/>
      <c r="D139" s="179"/>
      <c r="E139" s="179"/>
      <c r="F139" s="179"/>
      <c r="G139" s="179"/>
      <c r="H139" s="179"/>
      <c r="I139" s="179"/>
      <c r="J139" s="179"/>
      <c r="K139" s="478" t="str">
        <f t="shared" si="2"/>
        <v/>
      </c>
      <c r="M139" s="478" t="str">
        <f t="shared" si="3"/>
        <v/>
      </c>
    </row>
    <row r="140" spans="1:13" ht="18" hidden="1" customHeight="1">
      <c r="A140" s="177"/>
      <c r="B140" s="177"/>
      <c r="C140" s="177"/>
      <c r="D140" s="179"/>
      <c r="E140" s="179"/>
      <c r="F140" s="179"/>
      <c r="G140" s="179"/>
      <c r="H140" s="179"/>
      <c r="I140" s="179"/>
      <c r="J140" s="179"/>
      <c r="K140" s="478" t="str">
        <f t="shared" si="2"/>
        <v/>
      </c>
      <c r="M140" s="478" t="str">
        <f t="shared" si="3"/>
        <v/>
      </c>
    </row>
    <row r="141" spans="1:13" ht="18" hidden="1" customHeight="1">
      <c r="A141" s="177"/>
      <c r="B141" s="177"/>
      <c r="C141" s="177"/>
      <c r="D141" s="179"/>
      <c r="E141" s="179"/>
      <c r="F141" s="179"/>
      <c r="G141" s="179"/>
      <c r="H141" s="179"/>
      <c r="I141" s="179"/>
      <c r="J141" s="179"/>
      <c r="K141" s="478" t="str">
        <f t="shared" ref="K141:K204" si="4">IFERROR(AVERAGEIF(D141:J141,"&gt;0",D141:J141),"")</f>
        <v/>
      </c>
      <c r="M141" s="478" t="str">
        <f t="shared" ref="M141:M204" si="5">IFERROR(MEDIAN(D141:J141),"")</f>
        <v/>
      </c>
    </row>
    <row r="142" spans="1:13" ht="18" hidden="1" customHeight="1">
      <c r="A142" s="177"/>
      <c r="B142" s="177"/>
      <c r="C142" s="177"/>
      <c r="D142" s="179"/>
      <c r="E142" s="179"/>
      <c r="F142" s="179"/>
      <c r="G142" s="179"/>
      <c r="H142" s="179"/>
      <c r="I142" s="179"/>
      <c r="J142" s="179"/>
      <c r="K142" s="478" t="str">
        <f t="shared" si="4"/>
        <v/>
      </c>
      <c r="M142" s="478" t="str">
        <f t="shared" si="5"/>
        <v/>
      </c>
    </row>
    <row r="143" spans="1:13" ht="18" hidden="1" customHeight="1">
      <c r="A143" s="177"/>
      <c r="B143" s="177"/>
      <c r="C143" s="177"/>
      <c r="D143" s="179"/>
      <c r="E143" s="179"/>
      <c r="F143" s="179"/>
      <c r="G143" s="179"/>
      <c r="H143" s="179"/>
      <c r="I143" s="179"/>
      <c r="J143" s="179"/>
      <c r="K143" s="478" t="str">
        <f t="shared" si="4"/>
        <v/>
      </c>
      <c r="M143" s="478" t="str">
        <f t="shared" si="5"/>
        <v/>
      </c>
    </row>
    <row r="144" spans="1:13" ht="18" hidden="1" customHeight="1">
      <c r="A144" s="177"/>
      <c r="B144" s="177"/>
      <c r="C144" s="177"/>
      <c r="D144" s="179"/>
      <c r="E144" s="179"/>
      <c r="F144" s="179"/>
      <c r="G144" s="179"/>
      <c r="H144" s="179"/>
      <c r="I144" s="179"/>
      <c r="J144" s="179"/>
      <c r="K144" s="478" t="str">
        <f t="shared" si="4"/>
        <v/>
      </c>
      <c r="M144" s="478" t="str">
        <f t="shared" si="5"/>
        <v/>
      </c>
    </row>
    <row r="145" spans="1:13" ht="18" hidden="1" customHeight="1">
      <c r="A145" s="177"/>
      <c r="B145" s="177"/>
      <c r="C145" s="177"/>
      <c r="D145" s="179"/>
      <c r="E145" s="179"/>
      <c r="F145" s="179"/>
      <c r="G145" s="179"/>
      <c r="H145" s="179"/>
      <c r="I145" s="179"/>
      <c r="J145" s="179"/>
      <c r="K145" s="478" t="str">
        <f t="shared" si="4"/>
        <v/>
      </c>
      <c r="M145" s="478" t="str">
        <f t="shared" si="5"/>
        <v/>
      </c>
    </row>
    <row r="146" spans="1:13" ht="18" hidden="1" customHeight="1">
      <c r="A146" s="177"/>
      <c r="B146" s="177"/>
      <c r="C146" s="177"/>
      <c r="D146" s="179"/>
      <c r="E146" s="179"/>
      <c r="F146" s="179"/>
      <c r="G146" s="179"/>
      <c r="H146" s="179"/>
      <c r="I146" s="179"/>
      <c r="J146" s="179"/>
      <c r="K146" s="478" t="str">
        <f t="shared" si="4"/>
        <v/>
      </c>
      <c r="M146" s="478" t="str">
        <f t="shared" si="5"/>
        <v/>
      </c>
    </row>
    <row r="147" spans="1:13" ht="18" hidden="1" customHeight="1">
      <c r="A147" s="177"/>
      <c r="B147" s="177"/>
      <c r="C147" s="177"/>
      <c r="D147" s="179"/>
      <c r="E147" s="179"/>
      <c r="F147" s="179"/>
      <c r="G147" s="179"/>
      <c r="H147" s="179"/>
      <c r="I147" s="179"/>
      <c r="J147" s="179"/>
      <c r="K147" s="478" t="str">
        <f t="shared" si="4"/>
        <v/>
      </c>
      <c r="M147" s="478" t="str">
        <f t="shared" si="5"/>
        <v/>
      </c>
    </row>
    <row r="148" spans="1:13" ht="18" hidden="1" customHeight="1">
      <c r="A148" s="177"/>
      <c r="B148" s="177"/>
      <c r="C148" s="177"/>
      <c r="D148" s="179"/>
      <c r="E148" s="179"/>
      <c r="F148" s="179"/>
      <c r="G148" s="179"/>
      <c r="H148" s="179"/>
      <c r="I148" s="179"/>
      <c r="J148" s="179"/>
      <c r="K148" s="478" t="str">
        <f t="shared" si="4"/>
        <v/>
      </c>
      <c r="M148" s="478" t="str">
        <f t="shared" si="5"/>
        <v/>
      </c>
    </row>
    <row r="149" spans="1:13" ht="18" hidden="1" customHeight="1">
      <c r="A149" s="177"/>
      <c r="B149" s="177"/>
      <c r="C149" s="177"/>
      <c r="D149" s="179"/>
      <c r="E149" s="179"/>
      <c r="F149" s="179"/>
      <c r="G149" s="179"/>
      <c r="H149" s="179"/>
      <c r="I149" s="179"/>
      <c r="J149" s="179"/>
      <c r="K149" s="478" t="str">
        <f t="shared" si="4"/>
        <v/>
      </c>
      <c r="M149" s="478" t="str">
        <f t="shared" si="5"/>
        <v/>
      </c>
    </row>
    <row r="150" spans="1:13" ht="18" hidden="1" customHeight="1">
      <c r="A150" s="177"/>
      <c r="B150" s="177"/>
      <c r="C150" s="177"/>
      <c r="D150" s="179"/>
      <c r="E150" s="179"/>
      <c r="F150" s="179"/>
      <c r="G150" s="179"/>
      <c r="H150" s="179"/>
      <c r="I150" s="179"/>
      <c r="J150" s="179"/>
      <c r="K150" s="478" t="str">
        <f t="shared" si="4"/>
        <v/>
      </c>
      <c r="M150" s="478" t="str">
        <f t="shared" si="5"/>
        <v/>
      </c>
    </row>
    <row r="151" spans="1:13" ht="18" hidden="1" customHeight="1">
      <c r="A151" s="177"/>
      <c r="B151" s="177"/>
      <c r="C151" s="177"/>
      <c r="D151" s="179"/>
      <c r="E151" s="179"/>
      <c r="F151" s="179"/>
      <c r="G151" s="179"/>
      <c r="H151" s="179"/>
      <c r="I151" s="179"/>
      <c r="J151" s="179"/>
      <c r="K151" s="478" t="str">
        <f t="shared" si="4"/>
        <v/>
      </c>
      <c r="M151" s="478" t="str">
        <f t="shared" si="5"/>
        <v/>
      </c>
    </row>
    <row r="152" spans="1:13" ht="18" hidden="1" customHeight="1">
      <c r="A152" s="177"/>
      <c r="B152" s="177"/>
      <c r="C152" s="177"/>
      <c r="D152" s="179"/>
      <c r="E152" s="179"/>
      <c r="F152" s="179"/>
      <c r="G152" s="179"/>
      <c r="H152" s="179"/>
      <c r="I152" s="179"/>
      <c r="J152" s="179"/>
      <c r="K152" s="478" t="str">
        <f t="shared" si="4"/>
        <v/>
      </c>
      <c r="M152" s="478" t="str">
        <f t="shared" si="5"/>
        <v/>
      </c>
    </row>
    <row r="153" spans="1:13" ht="18" hidden="1" customHeight="1">
      <c r="A153" s="177"/>
      <c r="B153" s="177"/>
      <c r="C153" s="177"/>
      <c r="D153" s="179"/>
      <c r="E153" s="179"/>
      <c r="F153" s="179"/>
      <c r="G153" s="179"/>
      <c r="H153" s="179"/>
      <c r="I153" s="179"/>
      <c r="J153" s="179"/>
      <c r="K153" s="478" t="str">
        <f t="shared" si="4"/>
        <v/>
      </c>
      <c r="M153" s="478" t="str">
        <f t="shared" si="5"/>
        <v/>
      </c>
    </row>
    <row r="154" spans="1:13" ht="18" hidden="1" customHeight="1">
      <c r="A154" s="177"/>
      <c r="B154" s="177"/>
      <c r="C154" s="177"/>
      <c r="D154" s="179"/>
      <c r="E154" s="179"/>
      <c r="F154" s="179"/>
      <c r="G154" s="179"/>
      <c r="H154" s="179"/>
      <c r="I154" s="179"/>
      <c r="J154" s="179"/>
      <c r="K154" s="478" t="str">
        <f t="shared" si="4"/>
        <v/>
      </c>
      <c r="M154" s="478" t="str">
        <f t="shared" si="5"/>
        <v/>
      </c>
    </row>
    <row r="155" spans="1:13" ht="18" hidden="1" customHeight="1">
      <c r="A155" s="177"/>
      <c r="B155" s="177"/>
      <c r="C155" s="177"/>
      <c r="D155" s="179"/>
      <c r="E155" s="179"/>
      <c r="F155" s="179"/>
      <c r="G155" s="179"/>
      <c r="H155" s="179"/>
      <c r="I155" s="179"/>
      <c r="J155" s="179"/>
      <c r="K155" s="478" t="str">
        <f t="shared" si="4"/>
        <v/>
      </c>
      <c r="M155" s="478" t="str">
        <f t="shared" si="5"/>
        <v/>
      </c>
    </row>
    <row r="156" spans="1:13" ht="18" hidden="1" customHeight="1">
      <c r="A156" s="177"/>
      <c r="B156" s="177"/>
      <c r="C156" s="177"/>
      <c r="D156" s="179"/>
      <c r="E156" s="179"/>
      <c r="F156" s="179"/>
      <c r="G156" s="179"/>
      <c r="H156" s="179"/>
      <c r="I156" s="179"/>
      <c r="J156" s="179"/>
      <c r="K156" s="478" t="str">
        <f t="shared" si="4"/>
        <v/>
      </c>
      <c r="M156" s="478" t="str">
        <f t="shared" si="5"/>
        <v/>
      </c>
    </row>
    <row r="157" spans="1:13" ht="18" hidden="1" customHeight="1">
      <c r="A157" s="177"/>
      <c r="B157" s="177"/>
      <c r="C157" s="177"/>
      <c r="D157" s="179"/>
      <c r="E157" s="179"/>
      <c r="F157" s="179"/>
      <c r="G157" s="179"/>
      <c r="H157" s="179"/>
      <c r="I157" s="179"/>
      <c r="J157" s="179"/>
      <c r="K157" s="478" t="str">
        <f t="shared" si="4"/>
        <v/>
      </c>
      <c r="M157" s="478" t="str">
        <f t="shared" si="5"/>
        <v/>
      </c>
    </row>
    <row r="158" spans="1:13" ht="18" hidden="1" customHeight="1">
      <c r="A158" s="177"/>
      <c r="B158" s="177"/>
      <c r="C158" s="177"/>
      <c r="D158" s="179"/>
      <c r="E158" s="179"/>
      <c r="F158" s="179"/>
      <c r="G158" s="179"/>
      <c r="H158" s="179"/>
      <c r="I158" s="179"/>
      <c r="J158" s="179"/>
      <c r="K158" s="478" t="str">
        <f t="shared" si="4"/>
        <v/>
      </c>
      <c r="M158" s="478" t="str">
        <f t="shared" si="5"/>
        <v/>
      </c>
    </row>
    <row r="159" spans="1:13" ht="18" hidden="1" customHeight="1">
      <c r="A159" s="177"/>
      <c r="B159" s="177"/>
      <c r="C159" s="177"/>
      <c r="D159" s="179"/>
      <c r="E159" s="179"/>
      <c r="F159" s="179"/>
      <c r="G159" s="179"/>
      <c r="H159" s="179"/>
      <c r="I159" s="179"/>
      <c r="J159" s="179"/>
      <c r="K159" s="478" t="str">
        <f t="shared" si="4"/>
        <v/>
      </c>
      <c r="M159" s="478" t="str">
        <f t="shared" si="5"/>
        <v/>
      </c>
    </row>
    <row r="160" spans="1:13" ht="18" hidden="1" customHeight="1">
      <c r="A160" s="177"/>
      <c r="B160" s="177"/>
      <c r="C160" s="177"/>
      <c r="D160" s="179"/>
      <c r="E160" s="179"/>
      <c r="F160" s="179"/>
      <c r="G160" s="179"/>
      <c r="H160" s="179"/>
      <c r="I160" s="179"/>
      <c r="J160" s="179"/>
      <c r="K160" s="478" t="str">
        <f t="shared" si="4"/>
        <v/>
      </c>
      <c r="M160" s="478" t="str">
        <f t="shared" si="5"/>
        <v/>
      </c>
    </row>
    <row r="161" spans="1:13" ht="18" hidden="1" customHeight="1">
      <c r="A161" s="177"/>
      <c r="B161" s="177"/>
      <c r="C161" s="177"/>
      <c r="D161" s="179"/>
      <c r="E161" s="179"/>
      <c r="F161" s="179"/>
      <c r="G161" s="179"/>
      <c r="H161" s="179"/>
      <c r="I161" s="179"/>
      <c r="J161" s="179"/>
      <c r="K161" s="478" t="str">
        <f t="shared" si="4"/>
        <v/>
      </c>
      <c r="M161" s="478" t="str">
        <f t="shared" si="5"/>
        <v/>
      </c>
    </row>
    <row r="162" spans="1:13" ht="18" hidden="1" customHeight="1">
      <c r="A162" s="177"/>
      <c r="B162" s="177"/>
      <c r="C162" s="177"/>
      <c r="D162" s="179"/>
      <c r="E162" s="179"/>
      <c r="F162" s="179"/>
      <c r="G162" s="179"/>
      <c r="H162" s="179"/>
      <c r="I162" s="179"/>
      <c r="J162" s="179"/>
      <c r="K162" s="478" t="str">
        <f t="shared" si="4"/>
        <v/>
      </c>
      <c r="M162" s="478" t="str">
        <f t="shared" si="5"/>
        <v/>
      </c>
    </row>
    <row r="163" spans="1:13" ht="18" hidden="1" customHeight="1">
      <c r="A163" s="177"/>
      <c r="B163" s="177"/>
      <c r="C163" s="177"/>
      <c r="D163" s="179"/>
      <c r="E163" s="179"/>
      <c r="F163" s="179"/>
      <c r="G163" s="179"/>
      <c r="H163" s="179"/>
      <c r="I163" s="179"/>
      <c r="J163" s="179"/>
      <c r="K163" s="478" t="str">
        <f t="shared" si="4"/>
        <v/>
      </c>
      <c r="M163" s="478" t="str">
        <f t="shared" si="5"/>
        <v/>
      </c>
    </row>
    <row r="164" spans="1:13" ht="18" hidden="1" customHeight="1">
      <c r="A164" s="177"/>
      <c r="B164" s="177"/>
      <c r="C164" s="177"/>
      <c r="D164" s="179"/>
      <c r="E164" s="179"/>
      <c r="F164" s="179"/>
      <c r="G164" s="179"/>
      <c r="H164" s="179"/>
      <c r="I164" s="179"/>
      <c r="J164" s="179"/>
      <c r="K164" s="478" t="str">
        <f t="shared" si="4"/>
        <v/>
      </c>
      <c r="M164" s="478" t="str">
        <f t="shared" si="5"/>
        <v/>
      </c>
    </row>
    <row r="165" spans="1:13" ht="18" hidden="1" customHeight="1">
      <c r="A165" s="177"/>
      <c r="B165" s="177"/>
      <c r="C165" s="177"/>
      <c r="D165" s="179"/>
      <c r="E165" s="179"/>
      <c r="F165" s="179"/>
      <c r="G165" s="179"/>
      <c r="H165" s="179"/>
      <c r="I165" s="179"/>
      <c r="J165" s="179"/>
      <c r="K165" s="478" t="str">
        <f t="shared" si="4"/>
        <v/>
      </c>
      <c r="M165" s="478" t="str">
        <f t="shared" si="5"/>
        <v/>
      </c>
    </row>
    <row r="166" spans="1:13" ht="18" hidden="1" customHeight="1">
      <c r="A166" s="177"/>
      <c r="B166" s="177"/>
      <c r="C166" s="177"/>
      <c r="D166" s="179"/>
      <c r="E166" s="179"/>
      <c r="F166" s="179"/>
      <c r="G166" s="179"/>
      <c r="H166" s="179"/>
      <c r="I166" s="179"/>
      <c r="J166" s="179"/>
      <c r="K166" s="478" t="str">
        <f t="shared" si="4"/>
        <v/>
      </c>
      <c r="M166" s="478" t="str">
        <f t="shared" si="5"/>
        <v/>
      </c>
    </row>
    <row r="167" spans="1:13" ht="18" hidden="1" customHeight="1">
      <c r="A167" s="177"/>
      <c r="B167" s="177"/>
      <c r="C167" s="177"/>
      <c r="D167" s="179"/>
      <c r="E167" s="179"/>
      <c r="F167" s="179"/>
      <c r="G167" s="179"/>
      <c r="H167" s="179"/>
      <c r="I167" s="179"/>
      <c r="J167" s="179"/>
      <c r="K167" s="478" t="str">
        <f t="shared" si="4"/>
        <v/>
      </c>
      <c r="M167" s="478" t="str">
        <f t="shared" si="5"/>
        <v/>
      </c>
    </row>
    <row r="168" spans="1:13" ht="18" hidden="1" customHeight="1">
      <c r="A168" s="177"/>
      <c r="B168" s="177"/>
      <c r="C168" s="177"/>
      <c r="D168" s="179"/>
      <c r="E168" s="179"/>
      <c r="F168" s="179"/>
      <c r="G168" s="179"/>
      <c r="H168" s="179"/>
      <c r="I168" s="179"/>
      <c r="J168" s="179"/>
      <c r="K168" s="478" t="str">
        <f t="shared" si="4"/>
        <v/>
      </c>
      <c r="M168" s="478" t="str">
        <f t="shared" si="5"/>
        <v/>
      </c>
    </row>
    <row r="169" spans="1:13" ht="18" hidden="1" customHeight="1">
      <c r="A169" s="177"/>
      <c r="B169" s="177"/>
      <c r="C169" s="177"/>
      <c r="D169" s="179"/>
      <c r="E169" s="179"/>
      <c r="F169" s="179"/>
      <c r="G169" s="179"/>
      <c r="H169" s="179"/>
      <c r="I169" s="179"/>
      <c r="J169" s="179"/>
      <c r="K169" s="478" t="str">
        <f t="shared" si="4"/>
        <v/>
      </c>
      <c r="M169" s="478" t="str">
        <f t="shared" si="5"/>
        <v/>
      </c>
    </row>
    <row r="170" spans="1:13" ht="18" hidden="1" customHeight="1">
      <c r="A170" s="177"/>
      <c r="B170" s="177"/>
      <c r="C170" s="177"/>
      <c r="D170" s="179"/>
      <c r="E170" s="179"/>
      <c r="F170" s="179"/>
      <c r="G170" s="179"/>
      <c r="H170" s="179"/>
      <c r="I170" s="179"/>
      <c r="J170" s="179"/>
      <c r="K170" s="478" t="str">
        <f t="shared" si="4"/>
        <v/>
      </c>
      <c r="M170" s="478" t="str">
        <f t="shared" si="5"/>
        <v/>
      </c>
    </row>
    <row r="171" spans="1:13" ht="18" hidden="1" customHeight="1">
      <c r="A171" s="177"/>
      <c r="B171" s="177"/>
      <c r="C171" s="177"/>
      <c r="D171" s="179"/>
      <c r="E171" s="179"/>
      <c r="F171" s="179"/>
      <c r="G171" s="179"/>
      <c r="H171" s="179"/>
      <c r="I171" s="179"/>
      <c r="J171" s="179"/>
      <c r="K171" s="478" t="str">
        <f t="shared" si="4"/>
        <v/>
      </c>
      <c r="M171" s="478" t="str">
        <f t="shared" si="5"/>
        <v/>
      </c>
    </row>
    <row r="172" spans="1:13" ht="18" hidden="1" customHeight="1">
      <c r="A172" s="177"/>
      <c r="B172" s="177"/>
      <c r="C172" s="177"/>
      <c r="D172" s="179"/>
      <c r="E172" s="179"/>
      <c r="F172" s="179"/>
      <c r="G172" s="179"/>
      <c r="H172" s="179"/>
      <c r="I172" s="179"/>
      <c r="J172" s="179"/>
      <c r="K172" s="478" t="str">
        <f t="shared" si="4"/>
        <v/>
      </c>
      <c r="M172" s="478" t="str">
        <f t="shared" si="5"/>
        <v/>
      </c>
    </row>
    <row r="173" spans="1:13" ht="18" hidden="1" customHeight="1">
      <c r="A173" s="177"/>
      <c r="B173" s="177"/>
      <c r="C173" s="177"/>
      <c r="D173" s="179"/>
      <c r="E173" s="179"/>
      <c r="F173" s="179"/>
      <c r="G173" s="179"/>
      <c r="H173" s="179"/>
      <c r="I173" s="179"/>
      <c r="J173" s="179"/>
      <c r="K173" s="478" t="str">
        <f t="shared" si="4"/>
        <v/>
      </c>
      <c r="M173" s="478" t="str">
        <f t="shared" si="5"/>
        <v/>
      </c>
    </row>
    <row r="174" spans="1:13" ht="18" hidden="1" customHeight="1">
      <c r="A174" s="177"/>
      <c r="B174" s="177"/>
      <c r="C174" s="177"/>
      <c r="D174" s="179"/>
      <c r="E174" s="179"/>
      <c r="F174" s="179"/>
      <c r="G174" s="179"/>
      <c r="H174" s="179"/>
      <c r="I174" s="179"/>
      <c r="J174" s="179"/>
      <c r="K174" s="478" t="str">
        <f t="shared" si="4"/>
        <v/>
      </c>
      <c r="M174" s="478" t="str">
        <f t="shared" si="5"/>
        <v/>
      </c>
    </row>
    <row r="175" spans="1:13" ht="18" hidden="1" customHeight="1">
      <c r="A175" s="177"/>
      <c r="B175" s="177"/>
      <c r="C175" s="177"/>
      <c r="D175" s="179"/>
      <c r="E175" s="179"/>
      <c r="F175" s="179"/>
      <c r="G175" s="179"/>
      <c r="H175" s="179"/>
      <c r="I175" s="179"/>
      <c r="J175" s="179"/>
      <c r="K175" s="478" t="str">
        <f t="shared" si="4"/>
        <v/>
      </c>
      <c r="M175" s="478" t="str">
        <f t="shared" si="5"/>
        <v/>
      </c>
    </row>
    <row r="176" spans="1:13" ht="18" hidden="1" customHeight="1">
      <c r="A176" s="177"/>
      <c r="B176" s="177"/>
      <c r="C176" s="177"/>
      <c r="D176" s="179"/>
      <c r="E176" s="179"/>
      <c r="F176" s="179"/>
      <c r="G176" s="179"/>
      <c r="H176" s="179"/>
      <c r="I176" s="179"/>
      <c r="J176" s="179"/>
      <c r="K176" s="478" t="str">
        <f t="shared" si="4"/>
        <v/>
      </c>
      <c r="M176" s="478" t="str">
        <f t="shared" si="5"/>
        <v/>
      </c>
    </row>
    <row r="177" spans="1:13" ht="18" hidden="1" customHeight="1">
      <c r="A177" s="177"/>
      <c r="B177" s="177"/>
      <c r="C177" s="177"/>
      <c r="D177" s="179"/>
      <c r="E177" s="179"/>
      <c r="F177" s="179"/>
      <c r="G177" s="179"/>
      <c r="H177" s="179"/>
      <c r="I177" s="179"/>
      <c r="J177" s="179"/>
      <c r="K177" s="478" t="str">
        <f t="shared" si="4"/>
        <v/>
      </c>
      <c r="M177" s="478" t="str">
        <f t="shared" si="5"/>
        <v/>
      </c>
    </row>
    <row r="178" spans="1:13" ht="18" hidden="1" customHeight="1">
      <c r="A178" s="177"/>
      <c r="B178" s="177"/>
      <c r="C178" s="177"/>
      <c r="D178" s="179"/>
      <c r="E178" s="179"/>
      <c r="F178" s="179"/>
      <c r="G178" s="179"/>
      <c r="H178" s="179"/>
      <c r="I178" s="179"/>
      <c r="J178" s="179"/>
      <c r="K178" s="478" t="str">
        <f t="shared" si="4"/>
        <v/>
      </c>
      <c r="M178" s="478" t="str">
        <f t="shared" si="5"/>
        <v/>
      </c>
    </row>
    <row r="179" spans="1:13" ht="18" hidden="1" customHeight="1">
      <c r="A179" s="177"/>
      <c r="B179" s="177"/>
      <c r="C179" s="177"/>
      <c r="D179" s="179"/>
      <c r="E179" s="179"/>
      <c r="F179" s="179"/>
      <c r="G179" s="179"/>
      <c r="H179" s="179"/>
      <c r="I179" s="179"/>
      <c r="J179" s="179"/>
      <c r="K179" s="478" t="str">
        <f t="shared" si="4"/>
        <v/>
      </c>
      <c r="M179" s="478" t="str">
        <f t="shared" si="5"/>
        <v/>
      </c>
    </row>
    <row r="180" spans="1:13" ht="18" hidden="1" customHeight="1">
      <c r="A180" s="177"/>
      <c r="B180" s="177"/>
      <c r="C180" s="177"/>
      <c r="D180" s="179"/>
      <c r="E180" s="179"/>
      <c r="F180" s="179"/>
      <c r="G180" s="179"/>
      <c r="H180" s="179"/>
      <c r="I180" s="179"/>
      <c r="J180" s="179"/>
      <c r="K180" s="478" t="str">
        <f t="shared" si="4"/>
        <v/>
      </c>
      <c r="M180" s="478" t="str">
        <f t="shared" si="5"/>
        <v/>
      </c>
    </row>
    <row r="181" spans="1:13" ht="18" hidden="1" customHeight="1">
      <c r="A181" s="177"/>
      <c r="B181" s="177"/>
      <c r="C181" s="177"/>
      <c r="D181" s="179"/>
      <c r="E181" s="179"/>
      <c r="F181" s="179"/>
      <c r="G181" s="179"/>
      <c r="H181" s="179"/>
      <c r="I181" s="179"/>
      <c r="J181" s="179"/>
      <c r="K181" s="478" t="str">
        <f t="shared" si="4"/>
        <v/>
      </c>
      <c r="M181" s="478" t="str">
        <f t="shared" si="5"/>
        <v/>
      </c>
    </row>
    <row r="182" spans="1:13" ht="18" hidden="1" customHeight="1">
      <c r="A182" s="177"/>
      <c r="B182" s="177"/>
      <c r="C182" s="177"/>
      <c r="D182" s="179"/>
      <c r="E182" s="179"/>
      <c r="F182" s="179"/>
      <c r="G182" s="179"/>
      <c r="H182" s="179"/>
      <c r="I182" s="179"/>
      <c r="J182" s="179"/>
      <c r="K182" s="478" t="str">
        <f t="shared" si="4"/>
        <v/>
      </c>
      <c r="M182" s="478" t="str">
        <f t="shared" si="5"/>
        <v/>
      </c>
    </row>
    <row r="183" spans="1:13" ht="18" hidden="1" customHeight="1">
      <c r="A183" s="177"/>
      <c r="B183" s="177"/>
      <c r="C183" s="177"/>
      <c r="D183" s="179"/>
      <c r="E183" s="179"/>
      <c r="F183" s="179"/>
      <c r="G183" s="179"/>
      <c r="H183" s="179"/>
      <c r="I183" s="179"/>
      <c r="J183" s="179"/>
      <c r="K183" s="478" t="str">
        <f t="shared" si="4"/>
        <v/>
      </c>
      <c r="M183" s="478" t="str">
        <f t="shared" si="5"/>
        <v/>
      </c>
    </row>
    <row r="184" spans="1:13" ht="18" hidden="1" customHeight="1">
      <c r="A184" s="177"/>
      <c r="B184" s="177"/>
      <c r="C184" s="177"/>
      <c r="D184" s="179"/>
      <c r="E184" s="179"/>
      <c r="F184" s="179"/>
      <c r="G184" s="179"/>
      <c r="H184" s="179"/>
      <c r="I184" s="179"/>
      <c r="J184" s="179"/>
      <c r="K184" s="478" t="str">
        <f t="shared" si="4"/>
        <v/>
      </c>
      <c r="M184" s="478" t="str">
        <f t="shared" si="5"/>
        <v/>
      </c>
    </row>
    <row r="185" spans="1:13" ht="18" hidden="1" customHeight="1">
      <c r="A185" s="177"/>
      <c r="B185" s="177"/>
      <c r="C185" s="177"/>
      <c r="D185" s="179"/>
      <c r="E185" s="179"/>
      <c r="F185" s="179"/>
      <c r="G185" s="179"/>
      <c r="H185" s="179"/>
      <c r="I185" s="179"/>
      <c r="J185" s="179"/>
      <c r="K185" s="478" t="str">
        <f t="shared" si="4"/>
        <v/>
      </c>
      <c r="M185" s="478" t="str">
        <f t="shared" si="5"/>
        <v/>
      </c>
    </row>
    <row r="186" spans="1:13" ht="18" hidden="1" customHeight="1">
      <c r="A186" s="177"/>
      <c r="B186" s="177"/>
      <c r="C186" s="177"/>
      <c r="D186" s="179"/>
      <c r="E186" s="179"/>
      <c r="F186" s="179"/>
      <c r="G186" s="179"/>
      <c r="H186" s="179"/>
      <c r="I186" s="179"/>
      <c r="J186" s="179"/>
      <c r="K186" s="478" t="str">
        <f t="shared" si="4"/>
        <v/>
      </c>
      <c r="M186" s="478" t="str">
        <f t="shared" si="5"/>
        <v/>
      </c>
    </row>
    <row r="187" spans="1:13" ht="18" hidden="1" customHeight="1">
      <c r="A187" s="177"/>
      <c r="B187" s="177"/>
      <c r="C187" s="177"/>
      <c r="D187" s="179"/>
      <c r="E187" s="179"/>
      <c r="F187" s="179"/>
      <c r="G187" s="179"/>
      <c r="H187" s="179"/>
      <c r="I187" s="179"/>
      <c r="J187" s="179"/>
      <c r="K187" s="478" t="str">
        <f t="shared" si="4"/>
        <v/>
      </c>
      <c r="M187" s="478" t="str">
        <f t="shared" si="5"/>
        <v/>
      </c>
    </row>
    <row r="188" spans="1:13" ht="18" hidden="1" customHeight="1">
      <c r="A188" s="177"/>
      <c r="B188" s="177"/>
      <c r="C188" s="177"/>
      <c r="D188" s="179"/>
      <c r="E188" s="179"/>
      <c r="F188" s="179"/>
      <c r="G188" s="179"/>
      <c r="H188" s="179"/>
      <c r="I188" s="179"/>
      <c r="J188" s="179"/>
      <c r="K188" s="478" t="str">
        <f t="shared" si="4"/>
        <v/>
      </c>
      <c r="M188" s="478" t="str">
        <f t="shared" si="5"/>
        <v/>
      </c>
    </row>
    <row r="189" spans="1:13" ht="18" hidden="1" customHeight="1">
      <c r="A189" s="177"/>
      <c r="B189" s="177"/>
      <c r="C189" s="177"/>
      <c r="D189" s="179"/>
      <c r="E189" s="179"/>
      <c r="F189" s="179"/>
      <c r="G189" s="179"/>
      <c r="H189" s="179"/>
      <c r="I189" s="179"/>
      <c r="J189" s="179"/>
      <c r="K189" s="478" t="str">
        <f t="shared" si="4"/>
        <v/>
      </c>
      <c r="M189" s="478" t="str">
        <f t="shared" si="5"/>
        <v/>
      </c>
    </row>
    <row r="190" spans="1:13" ht="18" hidden="1" customHeight="1">
      <c r="A190" s="177"/>
      <c r="B190" s="177"/>
      <c r="C190" s="177"/>
      <c r="D190" s="179"/>
      <c r="E190" s="179"/>
      <c r="F190" s="179"/>
      <c r="G190" s="179"/>
      <c r="H190" s="179"/>
      <c r="I190" s="179"/>
      <c r="J190" s="179"/>
      <c r="K190" s="478" t="str">
        <f t="shared" si="4"/>
        <v/>
      </c>
      <c r="M190" s="478" t="str">
        <f t="shared" si="5"/>
        <v/>
      </c>
    </row>
    <row r="191" spans="1:13" ht="18" hidden="1" customHeight="1">
      <c r="A191" s="177"/>
      <c r="B191" s="177"/>
      <c r="C191" s="177"/>
      <c r="D191" s="179"/>
      <c r="E191" s="179"/>
      <c r="F191" s="179"/>
      <c r="G191" s="179"/>
      <c r="H191" s="179"/>
      <c r="I191" s="179"/>
      <c r="J191" s="179"/>
      <c r="K191" s="478" t="str">
        <f t="shared" si="4"/>
        <v/>
      </c>
      <c r="M191" s="478" t="str">
        <f t="shared" si="5"/>
        <v/>
      </c>
    </row>
    <row r="192" spans="1:13" ht="18" hidden="1" customHeight="1">
      <c r="A192" s="177"/>
      <c r="B192" s="177"/>
      <c r="C192" s="177"/>
      <c r="D192" s="179"/>
      <c r="E192" s="179"/>
      <c r="F192" s="179"/>
      <c r="G192" s="179"/>
      <c r="H192" s="179"/>
      <c r="I192" s="179"/>
      <c r="J192" s="179"/>
      <c r="K192" s="478" t="str">
        <f t="shared" si="4"/>
        <v/>
      </c>
      <c r="M192" s="478" t="str">
        <f t="shared" si="5"/>
        <v/>
      </c>
    </row>
    <row r="193" spans="1:13" ht="18" hidden="1" customHeight="1">
      <c r="A193" s="177"/>
      <c r="B193" s="177"/>
      <c r="C193" s="177"/>
      <c r="D193" s="179"/>
      <c r="E193" s="179"/>
      <c r="F193" s="179"/>
      <c r="G193" s="179"/>
      <c r="H193" s="179"/>
      <c r="I193" s="179"/>
      <c r="J193" s="179"/>
      <c r="K193" s="478" t="str">
        <f t="shared" si="4"/>
        <v/>
      </c>
      <c r="M193" s="478" t="str">
        <f t="shared" si="5"/>
        <v/>
      </c>
    </row>
    <row r="194" spans="1:13" ht="18" hidden="1" customHeight="1">
      <c r="A194" s="177"/>
      <c r="B194" s="177"/>
      <c r="C194" s="177"/>
      <c r="D194" s="179"/>
      <c r="E194" s="179"/>
      <c r="F194" s="179"/>
      <c r="G194" s="179"/>
      <c r="H194" s="179"/>
      <c r="I194" s="179"/>
      <c r="J194" s="179"/>
      <c r="K194" s="478" t="str">
        <f t="shared" si="4"/>
        <v/>
      </c>
      <c r="M194" s="478" t="str">
        <f t="shared" si="5"/>
        <v/>
      </c>
    </row>
    <row r="195" spans="1:13" ht="18" hidden="1" customHeight="1">
      <c r="A195" s="177"/>
      <c r="B195" s="177"/>
      <c r="C195" s="177"/>
      <c r="D195" s="179"/>
      <c r="E195" s="179"/>
      <c r="F195" s="179"/>
      <c r="G195" s="179"/>
      <c r="H195" s="179"/>
      <c r="I195" s="179"/>
      <c r="J195" s="179"/>
      <c r="K195" s="478" t="str">
        <f t="shared" si="4"/>
        <v/>
      </c>
      <c r="M195" s="478" t="str">
        <f t="shared" si="5"/>
        <v/>
      </c>
    </row>
    <row r="196" spans="1:13" ht="18" hidden="1" customHeight="1">
      <c r="A196" s="177"/>
      <c r="B196" s="177"/>
      <c r="C196" s="177"/>
      <c r="D196" s="179"/>
      <c r="E196" s="179"/>
      <c r="F196" s="179"/>
      <c r="G196" s="179"/>
      <c r="H196" s="179"/>
      <c r="I196" s="179"/>
      <c r="J196" s="179"/>
      <c r="K196" s="478" t="str">
        <f t="shared" si="4"/>
        <v/>
      </c>
      <c r="M196" s="478" t="str">
        <f t="shared" si="5"/>
        <v/>
      </c>
    </row>
    <row r="197" spans="1:13" ht="18" hidden="1" customHeight="1">
      <c r="A197" s="177"/>
      <c r="B197" s="177"/>
      <c r="C197" s="177"/>
      <c r="D197" s="179"/>
      <c r="E197" s="179"/>
      <c r="F197" s="179"/>
      <c r="G197" s="179"/>
      <c r="H197" s="179"/>
      <c r="I197" s="179"/>
      <c r="J197" s="179"/>
      <c r="K197" s="478" t="str">
        <f t="shared" si="4"/>
        <v/>
      </c>
      <c r="M197" s="478" t="str">
        <f t="shared" si="5"/>
        <v/>
      </c>
    </row>
    <row r="198" spans="1:13" ht="18" hidden="1" customHeight="1">
      <c r="A198" s="177"/>
      <c r="B198" s="177"/>
      <c r="C198" s="177"/>
      <c r="D198" s="179"/>
      <c r="E198" s="179"/>
      <c r="F198" s="179"/>
      <c r="G198" s="179"/>
      <c r="H198" s="179"/>
      <c r="I198" s="179"/>
      <c r="J198" s="179"/>
      <c r="K198" s="478" t="str">
        <f t="shared" si="4"/>
        <v/>
      </c>
      <c r="M198" s="478" t="str">
        <f t="shared" si="5"/>
        <v/>
      </c>
    </row>
    <row r="199" spans="1:13" ht="18" hidden="1" customHeight="1">
      <c r="A199" s="177"/>
      <c r="B199" s="177"/>
      <c r="C199" s="177"/>
      <c r="D199" s="179"/>
      <c r="E199" s="179"/>
      <c r="F199" s="179"/>
      <c r="G199" s="179"/>
      <c r="H199" s="179"/>
      <c r="I199" s="179"/>
      <c r="J199" s="179"/>
      <c r="K199" s="478" t="str">
        <f t="shared" si="4"/>
        <v/>
      </c>
      <c r="M199" s="478" t="str">
        <f t="shared" si="5"/>
        <v/>
      </c>
    </row>
    <row r="200" spans="1:13" ht="18" hidden="1" customHeight="1">
      <c r="A200" s="177"/>
      <c r="B200" s="177"/>
      <c r="C200" s="177"/>
      <c r="D200" s="179"/>
      <c r="E200" s="179"/>
      <c r="F200" s="179"/>
      <c r="G200" s="179"/>
      <c r="H200" s="179"/>
      <c r="I200" s="179"/>
      <c r="J200" s="179"/>
      <c r="K200" s="478" t="str">
        <f t="shared" si="4"/>
        <v/>
      </c>
      <c r="M200" s="478" t="str">
        <f t="shared" si="5"/>
        <v/>
      </c>
    </row>
    <row r="201" spans="1:13" ht="18" hidden="1" customHeight="1">
      <c r="A201" s="177"/>
      <c r="B201" s="177"/>
      <c r="C201" s="177"/>
      <c r="D201" s="179"/>
      <c r="E201" s="179"/>
      <c r="F201" s="179"/>
      <c r="G201" s="179"/>
      <c r="H201" s="179"/>
      <c r="I201" s="179"/>
      <c r="J201" s="179"/>
      <c r="K201" s="478" t="str">
        <f t="shared" si="4"/>
        <v/>
      </c>
      <c r="M201" s="478" t="str">
        <f t="shared" si="5"/>
        <v/>
      </c>
    </row>
    <row r="202" spans="1:13" ht="18" hidden="1" customHeight="1">
      <c r="A202" s="177"/>
      <c r="B202" s="177"/>
      <c r="C202" s="177"/>
      <c r="D202" s="179"/>
      <c r="E202" s="179"/>
      <c r="F202" s="179"/>
      <c r="G202" s="179"/>
      <c r="H202" s="179"/>
      <c r="I202" s="179"/>
      <c r="J202" s="179"/>
      <c r="K202" s="478" t="str">
        <f t="shared" si="4"/>
        <v/>
      </c>
      <c r="M202" s="478" t="str">
        <f t="shared" si="5"/>
        <v/>
      </c>
    </row>
    <row r="203" spans="1:13" ht="18" hidden="1" customHeight="1">
      <c r="A203" s="177"/>
      <c r="B203" s="177"/>
      <c r="C203" s="177"/>
      <c r="D203" s="179"/>
      <c r="E203" s="179"/>
      <c r="F203" s="179"/>
      <c r="G203" s="179"/>
      <c r="H203" s="179"/>
      <c r="I203" s="179"/>
      <c r="J203" s="179"/>
      <c r="K203" s="478" t="str">
        <f t="shared" si="4"/>
        <v/>
      </c>
      <c r="M203" s="478" t="str">
        <f t="shared" si="5"/>
        <v/>
      </c>
    </row>
    <row r="204" spans="1:13" ht="18" hidden="1" customHeight="1">
      <c r="A204" s="177"/>
      <c r="B204" s="177"/>
      <c r="C204" s="177"/>
      <c r="D204" s="179"/>
      <c r="E204" s="179"/>
      <c r="F204" s="179"/>
      <c r="G204" s="179"/>
      <c r="H204" s="179"/>
      <c r="I204" s="179"/>
      <c r="J204" s="179"/>
      <c r="K204" s="478" t="str">
        <f t="shared" si="4"/>
        <v/>
      </c>
      <c r="M204" s="478" t="str">
        <f t="shared" si="5"/>
        <v/>
      </c>
    </row>
    <row r="205" spans="1:13" ht="18" hidden="1" customHeight="1">
      <c r="A205" s="177"/>
      <c r="B205" s="177"/>
      <c r="C205" s="177"/>
      <c r="D205" s="179"/>
      <c r="E205" s="179"/>
      <c r="F205" s="179"/>
      <c r="G205" s="179"/>
      <c r="H205" s="179"/>
      <c r="I205" s="179"/>
      <c r="J205" s="179"/>
      <c r="K205" s="478" t="str">
        <f t="shared" ref="K205:K268" si="6">IFERROR(AVERAGEIF(D205:J205,"&gt;0",D205:J205),"")</f>
        <v/>
      </c>
      <c r="M205" s="478" t="str">
        <f t="shared" ref="M205:M268" si="7">IFERROR(MEDIAN(D205:J205),"")</f>
        <v/>
      </c>
    </row>
    <row r="206" spans="1:13" ht="18" hidden="1" customHeight="1">
      <c r="A206" s="177"/>
      <c r="B206" s="177"/>
      <c r="C206" s="177"/>
      <c r="D206" s="179"/>
      <c r="E206" s="179"/>
      <c r="F206" s="179"/>
      <c r="G206" s="179"/>
      <c r="H206" s="179"/>
      <c r="I206" s="179"/>
      <c r="J206" s="179"/>
      <c r="K206" s="478" t="str">
        <f t="shared" si="6"/>
        <v/>
      </c>
      <c r="M206" s="478" t="str">
        <f t="shared" si="7"/>
        <v/>
      </c>
    </row>
    <row r="207" spans="1:13" ht="18" hidden="1" customHeight="1">
      <c r="A207" s="177"/>
      <c r="B207" s="177"/>
      <c r="C207" s="177"/>
      <c r="D207" s="179"/>
      <c r="E207" s="179"/>
      <c r="F207" s="179"/>
      <c r="G207" s="179"/>
      <c r="H207" s="179"/>
      <c r="I207" s="179"/>
      <c r="J207" s="179"/>
      <c r="K207" s="478" t="str">
        <f t="shared" si="6"/>
        <v/>
      </c>
      <c r="M207" s="478" t="str">
        <f t="shared" si="7"/>
        <v/>
      </c>
    </row>
    <row r="208" spans="1:13" ht="18" hidden="1" customHeight="1">
      <c r="A208" s="177"/>
      <c r="B208" s="177"/>
      <c r="C208" s="177"/>
      <c r="D208" s="179"/>
      <c r="E208" s="179"/>
      <c r="F208" s="179"/>
      <c r="G208" s="179"/>
      <c r="H208" s="179"/>
      <c r="I208" s="179"/>
      <c r="J208" s="179"/>
      <c r="K208" s="478" t="str">
        <f t="shared" si="6"/>
        <v/>
      </c>
      <c r="M208" s="478" t="str">
        <f t="shared" si="7"/>
        <v/>
      </c>
    </row>
    <row r="209" spans="1:13" ht="18" hidden="1" customHeight="1">
      <c r="A209" s="177"/>
      <c r="B209" s="177"/>
      <c r="C209" s="177"/>
      <c r="D209" s="179"/>
      <c r="E209" s="179"/>
      <c r="F209" s="179"/>
      <c r="G209" s="179"/>
      <c r="H209" s="179"/>
      <c r="I209" s="179"/>
      <c r="J209" s="179"/>
      <c r="K209" s="478" t="str">
        <f t="shared" si="6"/>
        <v/>
      </c>
      <c r="M209" s="478" t="str">
        <f t="shared" si="7"/>
        <v/>
      </c>
    </row>
    <row r="210" spans="1:13" ht="18" hidden="1" customHeight="1">
      <c r="A210" s="177"/>
      <c r="B210" s="177"/>
      <c r="C210" s="177"/>
      <c r="D210" s="179"/>
      <c r="E210" s="179"/>
      <c r="F210" s="179"/>
      <c r="G210" s="179"/>
      <c r="H210" s="179"/>
      <c r="I210" s="179"/>
      <c r="J210" s="179"/>
      <c r="K210" s="478" t="str">
        <f t="shared" si="6"/>
        <v/>
      </c>
      <c r="M210" s="478" t="str">
        <f t="shared" si="7"/>
        <v/>
      </c>
    </row>
    <row r="211" spans="1:13" ht="18" hidden="1" customHeight="1">
      <c r="A211" s="177"/>
      <c r="B211" s="177"/>
      <c r="C211" s="177"/>
      <c r="D211" s="179"/>
      <c r="E211" s="179"/>
      <c r="F211" s="179"/>
      <c r="G211" s="179"/>
      <c r="H211" s="179"/>
      <c r="I211" s="179"/>
      <c r="J211" s="179"/>
      <c r="K211" s="478" t="str">
        <f t="shared" si="6"/>
        <v/>
      </c>
      <c r="M211" s="478" t="str">
        <f t="shared" si="7"/>
        <v/>
      </c>
    </row>
    <row r="212" spans="1:13" ht="18" hidden="1" customHeight="1">
      <c r="A212" s="177"/>
      <c r="B212" s="177"/>
      <c r="C212" s="177"/>
      <c r="D212" s="179"/>
      <c r="E212" s="179"/>
      <c r="F212" s="179"/>
      <c r="G212" s="179"/>
      <c r="H212" s="179"/>
      <c r="I212" s="179"/>
      <c r="J212" s="179"/>
      <c r="K212" s="478" t="str">
        <f t="shared" si="6"/>
        <v/>
      </c>
      <c r="M212" s="478" t="str">
        <f t="shared" si="7"/>
        <v/>
      </c>
    </row>
    <row r="213" spans="1:13" ht="18" hidden="1" customHeight="1">
      <c r="A213" s="177"/>
      <c r="B213" s="177"/>
      <c r="C213" s="177"/>
      <c r="D213" s="179"/>
      <c r="E213" s="179"/>
      <c r="F213" s="179"/>
      <c r="G213" s="179"/>
      <c r="H213" s="179"/>
      <c r="I213" s="179"/>
      <c r="J213" s="179"/>
      <c r="K213" s="478" t="str">
        <f t="shared" si="6"/>
        <v/>
      </c>
      <c r="M213" s="478" t="str">
        <f t="shared" si="7"/>
        <v/>
      </c>
    </row>
    <row r="214" spans="1:13" ht="18" hidden="1" customHeight="1">
      <c r="A214" s="177"/>
      <c r="B214" s="177"/>
      <c r="C214" s="177"/>
      <c r="D214" s="179"/>
      <c r="E214" s="179"/>
      <c r="F214" s="179"/>
      <c r="G214" s="179"/>
      <c r="H214" s="179"/>
      <c r="I214" s="179"/>
      <c r="J214" s="179"/>
      <c r="K214" s="478" t="str">
        <f t="shared" si="6"/>
        <v/>
      </c>
      <c r="M214" s="478" t="str">
        <f t="shared" si="7"/>
        <v/>
      </c>
    </row>
    <row r="215" spans="1:13" ht="18" hidden="1" customHeight="1">
      <c r="A215" s="177"/>
      <c r="B215" s="177"/>
      <c r="C215" s="177"/>
      <c r="D215" s="179"/>
      <c r="E215" s="179"/>
      <c r="F215" s="179"/>
      <c r="G215" s="179"/>
      <c r="H215" s="179"/>
      <c r="I215" s="179"/>
      <c r="J215" s="179"/>
      <c r="K215" s="478" t="str">
        <f t="shared" si="6"/>
        <v/>
      </c>
      <c r="M215" s="478" t="str">
        <f t="shared" si="7"/>
        <v/>
      </c>
    </row>
    <row r="216" spans="1:13" ht="18" hidden="1" customHeight="1">
      <c r="A216" s="177"/>
      <c r="B216" s="177"/>
      <c r="C216" s="177"/>
      <c r="D216" s="179"/>
      <c r="E216" s="179"/>
      <c r="F216" s="179"/>
      <c r="G216" s="179"/>
      <c r="H216" s="179"/>
      <c r="I216" s="179"/>
      <c r="J216" s="179"/>
      <c r="K216" s="478" t="str">
        <f t="shared" si="6"/>
        <v/>
      </c>
      <c r="M216" s="478" t="str">
        <f t="shared" si="7"/>
        <v/>
      </c>
    </row>
    <row r="217" spans="1:13" ht="18" hidden="1" customHeight="1">
      <c r="A217" s="177"/>
      <c r="B217" s="177"/>
      <c r="C217" s="177"/>
      <c r="D217" s="179"/>
      <c r="E217" s="179"/>
      <c r="F217" s="179"/>
      <c r="G217" s="179"/>
      <c r="H217" s="179"/>
      <c r="I217" s="179"/>
      <c r="J217" s="179"/>
      <c r="K217" s="478" t="str">
        <f t="shared" si="6"/>
        <v/>
      </c>
      <c r="M217" s="478" t="str">
        <f t="shared" si="7"/>
        <v/>
      </c>
    </row>
    <row r="218" spans="1:13" ht="18" hidden="1" customHeight="1">
      <c r="A218" s="177"/>
      <c r="B218" s="177"/>
      <c r="C218" s="177"/>
      <c r="D218" s="179"/>
      <c r="E218" s="179"/>
      <c r="F218" s="179"/>
      <c r="G218" s="179"/>
      <c r="H218" s="179"/>
      <c r="I218" s="179"/>
      <c r="J218" s="179"/>
      <c r="K218" s="478" t="str">
        <f t="shared" si="6"/>
        <v/>
      </c>
      <c r="M218" s="478" t="str">
        <f t="shared" si="7"/>
        <v/>
      </c>
    </row>
    <row r="219" spans="1:13" ht="18" hidden="1" customHeight="1">
      <c r="A219" s="177"/>
      <c r="B219" s="177"/>
      <c r="C219" s="177"/>
      <c r="D219" s="179"/>
      <c r="E219" s="179"/>
      <c r="F219" s="179"/>
      <c r="G219" s="179"/>
      <c r="H219" s="179"/>
      <c r="I219" s="179"/>
      <c r="J219" s="179"/>
      <c r="K219" s="478" t="str">
        <f t="shared" si="6"/>
        <v/>
      </c>
      <c r="M219" s="478" t="str">
        <f t="shared" si="7"/>
        <v/>
      </c>
    </row>
    <row r="220" spans="1:13" ht="18" hidden="1" customHeight="1">
      <c r="A220" s="177"/>
      <c r="B220" s="177"/>
      <c r="C220" s="177"/>
      <c r="D220" s="179"/>
      <c r="E220" s="179"/>
      <c r="F220" s="179"/>
      <c r="G220" s="179"/>
      <c r="H220" s="179"/>
      <c r="I220" s="179"/>
      <c r="J220" s="179"/>
      <c r="K220" s="478" t="str">
        <f t="shared" si="6"/>
        <v/>
      </c>
      <c r="M220" s="478" t="str">
        <f t="shared" si="7"/>
        <v/>
      </c>
    </row>
    <row r="221" spans="1:13" ht="18" hidden="1" customHeight="1">
      <c r="A221" s="177"/>
      <c r="B221" s="177"/>
      <c r="C221" s="177"/>
      <c r="D221" s="179"/>
      <c r="E221" s="179"/>
      <c r="F221" s="179"/>
      <c r="G221" s="179"/>
      <c r="H221" s="179"/>
      <c r="I221" s="179"/>
      <c r="J221" s="179"/>
      <c r="K221" s="478" t="str">
        <f t="shared" si="6"/>
        <v/>
      </c>
      <c r="M221" s="478" t="str">
        <f t="shared" si="7"/>
        <v/>
      </c>
    </row>
    <row r="222" spans="1:13" ht="18" hidden="1" customHeight="1">
      <c r="A222" s="177"/>
      <c r="B222" s="177"/>
      <c r="C222" s="177"/>
      <c r="D222" s="179"/>
      <c r="E222" s="179"/>
      <c r="F222" s="179"/>
      <c r="G222" s="179"/>
      <c r="H222" s="179"/>
      <c r="I222" s="179"/>
      <c r="J222" s="179"/>
      <c r="K222" s="478" t="str">
        <f t="shared" si="6"/>
        <v/>
      </c>
      <c r="M222" s="478" t="str">
        <f t="shared" si="7"/>
        <v/>
      </c>
    </row>
    <row r="223" spans="1:13" ht="18" hidden="1" customHeight="1">
      <c r="A223" s="177"/>
      <c r="B223" s="177"/>
      <c r="C223" s="177"/>
      <c r="D223" s="179"/>
      <c r="E223" s="179"/>
      <c r="F223" s="179"/>
      <c r="G223" s="179"/>
      <c r="H223" s="179"/>
      <c r="I223" s="179"/>
      <c r="J223" s="179"/>
      <c r="K223" s="478" t="str">
        <f t="shared" si="6"/>
        <v/>
      </c>
      <c r="M223" s="478" t="str">
        <f t="shared" si="7"/>
        <v/>
      </c>
    </row>
    <row r="224" spans="1:13" ht="18" hidden="1" customHeight="1">
      <c r="A224" s="177"/>
      <c r="B224" s="177"/>
      <c r="C224" s="177"/>
      <c r="D224" s="179"/>
      <c r="E224" s="179"/>
      <c r="F224" s="179"/>
      <c r="G224" s="179"/>
      <c r="H224" s="179"/>
      <c r="I224" s="179"/>
      <c r="J224" s="179"/>
      <c r="K224" s="478" t="str">
        <f t="shared" si="6"/>
        <v/>
      </c>
      <c r="M224" s="478" t="str">
        <f t="shared" si="7"/>
        <v/>
      </c>
    </row>
    <row r="225" spans="1:13" ht="18" hidden="1" customHeight="1">
      <c r="A225" s="177"/>
      <c r="B225" s="177"/>
      <c r="C225" s="177"/>
      <c r="D225" s="179"/>
      <c r="E225" s="179"/>
      <c r="F225" s="179"/>
      <c r="G225" s="179"/>
      <c r="H225" s="179"/>
      <c r="I225" s="179"/>
      <c r="J225" s="179"/>
      <c r="K225" s="478" t="str">
        <f t="shared" si="6"/>
        <v/>
      </c>
      <c r="M225" s="478" t="str">
        <f t="shared" si="7"/>
        <v/>
      </c>
    </row>
    <row r="226" spans="1:13" ht="18" hidden="1" customHeight="1">
      <c r="A226" s="177"/>
      <c r="B226" s="177"/>
      <c r="C226" s="177"/>
      <c r="D226" s="179"/>
      <c r="E226" s="179"/>
      <c r="F226" s="179"/>
      <c r="G226" s="179"/>
      <c r="H226" s="179"/>
      <c r="I226" s="179"/>
      <c r="J226" s="179"/>
      <c r="K226" s="478" t="str">
        <f t="shared" si="6"/>
        <v/>
      </c>
      <c r="M226" s="478" t="str">
        <f t="shared" si="7"/>
        <v/>
      </c>
    </row>
    <row r="227" spans="1:13" ht="18" hidden="1" customHeight="1">
      <c r="A227" s="177"/>
      <c r="B227" s="177"/>
      <c r="C227" s="177"/>
      <c r="D227" s="179"/>
      <c r="E227" s="179"/>
      <c r="F227" s="179"/>
      <c r="G227" s="179"/>
      <c r="H227" s="179"/>
      <c r="I227" s="179"/>
      <c r="J227" s="179"/>
      <c r="K227" s="478" t="str">
        <f t="shared" si="6"/>
        <v/>
      </c>
      <c r="M227" s="478" t="str">
        <f t="shared" si="7"/>
        <v/>
      </c>
    </row>
    <row r="228" spans="1:13" ht="18" hidden="1" customHeight="1">
      <c r="A228" s="177"/>
      <c r="B228" s="177"/>
      <c r="C228" s="177"/>
      <c r="D228" s="179"/>
      <c r="E228" s="179"/>
      <c r="F228" s="179"/>
      <c r="G228" s="179"/>
      <c r="H228" s="179"/>
      <c r="I228" s="179"/>
      <c r="J228" s="179"/>
      <c r="K228" s="478" t="str">
        <f t="shared" si="6"/>
        <v/>
      </c>
      <c r="M228" s="478" t="str">
        <f t="shared" si="7"/>
        <v/>
      </c>
    </row>
    <row r="229" spans="1:13" ht="18" hidden="1" customHeight="1">
      <c r="A229" s="177"/>
      <c r="B229" s="177"/>
      <c r="C229" s="177"/>
      <c r="D229" s="179"/>
      <c r="E229" s="179"/>
      <c r="F229" s="179"/>
      <c r="G229" s="179"/>
      <c r="H229" s="179"/>
      <c r="I229" s="179"/>
      <c r="J229" s="179"/>
      <c r="K229" s="478" t="str">
        <f t="shared" si="6"/>
        <v/>
      </c>
      <c r="M229" s="478" t="str">
        <f t="shared" si="7"/>
        <v/>
      </c>
    </row>
    <row r="230" spans="1:13" ht="18" hidden="1" customHeight="1">
      <c r="A230" s="177"/>
      <c r="B230" s="177"/>
      <c r="C230" s="177"/>
      <c r="D230" s="179"/>
      <c r="E230" s="179"/>
      <c r="F230" s="179"/>
      <c r="G230" s="179"/>
      <c r="H230" s="179"/>
      <c r="I230" s="179"/>
      <c r="J230" s="179"/>
      <c r="K230" s="478" t="str">
        <f t="shared" si="6"/>
        <v/>
      </c>
      <c r="M230" s="478" t="str">
        <f t="shared" si="7"/>
        <v/>
      </c>
    </row>
    <row r="231" spans="1:13" ht="18" hidden="1" customHeight="1">
      <c r="A231" s="177"/>
      <c r="B231" s="177"/>
      <c r="C231" s="177"/>
      <c r="D231" s="179"/>
      <c r="E231" s="179"/>
      <c r="F231" s="179"/>
      <c r="G231" s="179"/>
      <c r="H231" s="179"/>
      <c r="I231" s="179"/>
      <c r="J231" s="179"/>
      <c r="K231" s="478" t="str">
        <f t="shared" si="6"/>
        <v/>
      </c>
      <c r="M231" s="478" t="str">
        <f t="shared" si="7"/>
        <v/>
      </c>
    </row>
    <row r="232" spans="1:13" ht="18" hidden="1" customHeight="1">
      <c r="A232" s="177"/>
      <c r="B232" s="177"/>
      <c r="C232" s="177"/>
      <c r="D232" s="179"/>
      <c r="E232" s="179"/>
      <c r="F232" s="179"/>
      <c r="G232" s="179"/>
      <c r="H232" s="179"/>
      <c r="I232" s="179"/>
      <c r="J232" s="179"/>
      <c r="K232" s="478" t="str">
        <f t="shared" si="6"/>
        <v/>
      </c>
      <c r="M232" s="478" t="str">
        <f t="shared" si="7"/>
        <v/>
      </c>
    </row>
    <row r="233" spans="1:13" ht="18" hidden="1" customHeight="1">
      <c r="A233" s="177"/>
      <c r="B233" s="177"/>
      <c r="C233" s="177"/>
      <c r="D233" s="179"/>
      <c r="E233" s="179"/>
      <c r="F233" s="179"/>
      <c r="G233" s="179"/>
      <c r="H233" s="179"/>
      <c r="I233" s="179"/>
      <c r="J233" s="179"/>
      <c r="K233" s="478" t="str">
        <f t="shared" si="6"/>
        <v/>
      </c>
      <c r="M233" s="478" t="str">
        <f t="shared" si="7"/>
        <v/>
      </c>
    </row>
    <row r="234" spans="1:13" ht="18" hidden="1" customHeight="1">
      <c r="A234" s="177"/>
      <c r="B234" s="177"/>
      <c r="C234" s="177"/>
      <c r="D234" s="179"/>
      <c r="E234" s="179"/>
      <c r="F234" s="179"/>
      <c r="G234" s="179"/>
      <c r="H234" s="179"/>
      <c r="I234" s="179"/>
      <c r="J234" s="179"/>
      <c r="K234" s="478" t="str">
        <f t="shared" si="6"/>
        <v/>
      </c>
      <c r="M234" s="478" t="str">
        <f t="shared" si="7"/>
        <v/>
      </c>
    </row>
    <row r="235" spans="1:13" ht="18" hidden="1" customHeight="1">
      <c r="A235" s="177"/>
      <c r="B235" s="177"/>
      <c r="C235" s="177"/>
      <c r="D235" s="179"/>
      <c r="E235" s="179"/>
      <c r="F235" s="179"/>
      <c r="G235" s="179"/>
      <c r="H235" s="179"/>
      <c r="I235" s="179"/>
      <c r="J235" s="179"/>
      <c r="K235" s="478" t="str">
        <f t="shared" si="6"/>
        <v/>
      </c>
      <c r="M235" s="478" t="str">
        <f t="shared" si="7"/>
        <v/>
      </c>
    </row>
    <row r="236" spans="1:13" ht="18" hidden="1" customHeight="1">
      <c r="A236" s="177"/>
      <c r="B236" s="177"/>
      <c r="C236" s="177"/>
      <c r="D236" s="179"/>
      <c r="E236" s="179"/>
      <c r="F236" s="179"/>
      <c r="G236" s="179"/>
      <c r="H236" s="179"/>
      <c r="I236" s="179"/>
      <c r="J236" s="179"/>
      <c r="K236" s="478" t="str">
        <f t="shared" si="6"/>
        <v/>
      </c>
      <c r="M236" s="478" t="str">
        <f t="shared" si="7"/>
        <v/>
      </c>
    </row>
    <row r="237" spans="1:13" ht="18" hidden="1" customHeight="1">
      <c r="A237" s="177"/>
      <c r="B237" s="177"/>
      <c r="C237" s="177"/>
      <c r="D237" s="179"/>
      <c r="E237" s="179"/>
      <c r="F237" s="179"/>
      <c r="G237" s="179"/>
      <c r="H237" s="179"/>
      <c r="I237" s="179"/>
      <c r="J237" s="179"/>
      <c r="K237" s="478" t="str">
        <f t="shared" si="6"/>
        <v/>
      </c>
      <c r="M237" s="478" t="str">
        <f t="shared" si="7"/>
        <v/>
      </c>
    </row>
    <row r="238" spans="1:13" ht="18" hidden="1" customHeight="1">
      <c r="A238" s="177"/>
      <c r="B238" s="177"/>
      <c r="C238" s="177"/>
      <c r="D238" s="179"/>
      <c r="E238" s="179"/>
      <c r="F238" s="179"/>
      <c r="G238" s="179"/>
      <c r="H238" s="179"/>
      <c r="I238" s="179"/>
      <c r="J238" s="179"/>
      <c r="K238" s="478" t="str">
        <f t="shared" si="6"/>
        <v/>
      </c>
      <c r="M238" s="478" t="str">
        <f t="shared" si="7"/>
        <v/>
      </c>
    </row>
    <row r="239" spans="1:13" ht="18" hidden="1" customHeight="1">
      <c r="A239" s="177"/>
      <c r="B239" s="177"/>
      <c r="C239" s="177"/>
      <c r="D239" s="179"/>
      <c r="E239" s="179"/>
      <c r="F239" s="179"/>
      <c r="G239" s="179"/>
      <c r="H239" s="179"/>
      <c r="I239" s="179"/>
      <c r="J239" s="179"/>
      <c r="K239" s="478" t="str">
        <f t="shared" si="6"/>
        <v/>
      </c>
      <c r="M239" s="478" t="str">
        <f t="shared" si="7"/>
        <v/>
      </c>
    </row>
    <row r="240" spans="1:13" ht="18" hidden="1" customHeight="1">
      <c r="A240" s="177"/>
      <c r="B240" s="177"/>
      <c r="C240" s="177"/>
      <c r="D240" s="179"/>
      <c r="E240" s="179"/>
      <c r="F240" s="179"/>
      <c r="G240" s="179"/>
      <c r="H240" s="179"/>
      <c r="I240" s="179"/>
      <c r="J240" s="179"/>
      <c r="K240" s="478" t="str">
        <f t="shared" si="6"/>
        <v/>
      </c>
      <c r="M240" s="478" t="str">
        <f t="shared" si="7"/>
        <v/>
      </c>
    </row>
    <row r="241" spans="1:13" ht="18" hidden="1" customHeight="1">
      <c r="A241" s="177"/>
      <c r="B241" s="177"/>
      <c r="C241" s="177"/>
      <c r="D241" s="179"/>
      <c r="E241" s="179"/>
      <c r="F241" s="179"/>
      <c r="G241" s="179"/>
      <c r="H241" s="179"/>
      <c r="I241" s="179"/>
      <c r="J241" s="179"/>
      <c r="K241" s="478" t="str">
        <f t="shared" si="6"/>
        <v/>
      </c>
      <c r="M241" s="478" t="str">
        <f t="shared" si="7"/>
        <v/>
      </c>
    </row>
    <row r="242" spans="1:13" ht="18" hidden="1" customHeight="1">
      <c r="A242" s="177"/>
      <c r="B242" s="177"/>
      <c r="C242" s="177"/>
      <c r="D242" s="179"/>
      <c r="E242" s="179"/>
      <c r="F242" s="179"/>
      <c r="G242" s="179"/>
      <c r="H242" s="179"/>
      <c r="I242" s="179"/>
      <c r="J242" s="179"/>
      <c r="K242" s="478" t="str">
        <f t="shared" si="6"/>
        <v/>
      </c>
      <c r="M242" s="478" t="str">
        <f t="shared" si="7"/>
        <v/>
      </c>
    </row>
    <row r="243" spans="1:13" ht="18" hidden="1" customHeight="1">
      <c r="A243" s="177"/>
      <c r="B243" s="177"/>
      <c r="C243" s="177"/>
      <c r="D243" s="179"/>
      <c r="E243" s="179"/>
      <c r="F243" s="179"/>
      <c r="G243" s="179"/>
      <c r="H243" s="179"/>
      <c r="I243" s="179"/>
      <c r="J243" s="179"/>
      <c r="K243" s="478" t="str">
        <f t="shared" si="6"/>
        <v/>
      </c>
      <c r="M243" s="478" t="str">
        <f t="shared" si="7"/>
        <v/>
      </c>
    </row>
    <row r="244" spans="1:13" ht="18" hidden="1" customHeight="1">
      <c r="A244" s="177"/>
      <c r="B244" s="177"/>
      <c r="C244" s="177"/>
      <c r="D244" s="179"/>
      <c r="E244" s="179"/>
      <c r="F244" s="179"/>
      <c r="G244" s="179"/>
      <c r="H244" s="179"/>
      <c r="I244" s="179"/>
      <c r="J244" s="179"/>
      <c r="K244" s="478" t="str">
        <f t="shared" si="6"/>
        <v/>
      </c>
      <c r="M244" s="478" t="str">
        <f t="shared" si="7"/>
        <v/>
      </c>
    </row>
    <row r="245" spans="1:13" ht="18" hidden="1" customHeight="1">
      <c r="A245" s="177"/>
      <c r="B245" s="177"/>
      <c r="C245" s="177"/>
      <c r="D245" s="179"/>
      <c r="E245" s="179"/>
      <c r="F245" s="179"/>
      <c r="G245" s="179"/>
      <c r="H245" s="179"/>
      <c r="I245" s="179"/>
      <c r="J245" s="179"/>
      <c r="K245" s="478" t="str">
        <f t="shared" si="6"/>
        <v/>
      </c>
      <c r="M245" s="478" t="str">
        <f t="shared" si="7"/>
        <v/>
      </c>
    </row>
    <row r="246" spans="1:13" ht="18" hidden="1" customHeight="1">
      <c r="A246" s="177"/>
      <c r="B246" s="177"/>
      <c r="C246" s="177"/>
      <c r="D246" s="179"/>
      <c r="E246" s="179"/>
      <c r="F246" s="179"/>
      <c r="G246" s="179"/>
      <c r="H246" s="179"/>
      <c r="I246" s="179"/>
      <c r="J246" s="179"/>
      <c r="K246" s="478" t="str">
        <f t="shared" si="6"/>
        <v/>
      </c>
      <c r="M246" s="478" t="str">
        <f t="shared" si="7"/>
        <v/>
      </c>
    </row>
    <row r="247" spans="1:13" ht="18" hidden="1" customHeight="1">
      <c r="A247" s="177"/>
      <c r="B247" s="177"/>
      <c r="C247" s="177"/>
      <c r="D247" s="179"/>
      <c r="E247" s="179"/>
      <c r="F247" s="179"/>
      <c r="G247" s="179"/>
      <c r="H247" s="179"/>
      <c r="I247" s="179"/>
      <c r="J247" s="179"/>
      <c r="K247" s="478" t="str">
        <f t="shared" si="6"/>
        <v/>
      </c>
      <c r="M247" s="478" t="str">
        <f t="shared" si="7"/>
        <v/>
      </c>
    </row>
    <row r="248" spans="1:13" ht="18" hidden="1" customHeight="1">
      <c r="A248" s="177"/>
      <c r="B248" s="177"/>
      <c r="C248" s="177"/>
      <c r="D248" s="179"/>
      <c r="E248" s="179"/>
      <c r="F248" s="179"/>
      <c r="G248" s="179"/>
      <c r="H248" s="179"/>
      <c r="I248" s="179"/>
      <c r="J248" s="179"/>
      <c r="K248" s="478" t="str">
        <f t="shared" si="6"/>
        <v/>
      </c>
      <c r="M248" s="478" t="str">
        <f t="shared" si="7"/>
        <v/>
      </c>
    </row>
    <row r="249" spans="1:13" ht="18" hidden="1" customHeight="1">
      <c r="A249" s="177"/>
      <c r="B249" s="177"/>
      <c r="C249" s="177"/>
      <c r="D249" s="179"/>
      <c r="E249" s="179"/>
      <c r="F249" s="179"/>
      <c r="G249" s="179"/>
      <c r="H249" s="179"/>
      <c r="I249" s="179"/>
      <c r="J249" s="179"/>
      <c r="K249" s="478" t="str">
        <f t="shared" si="6"/>
        <v/>
      </c>
      <c r="M249" s="478" t="str">
        <f t="shared" si="7"/>
        <v/>
      </c>
    </row>
    <row r="250" spans="1:13" ht="18" hidden="1" customHeight="1">
      <c r="A250" s="177"/>
      <c r="B250" s="177"/>
      <c r="C250" s="177"/>
      <c r="D250" s="179"/>
      <c r="E250" s="179"/>
      <c r="F250" s="179"/>
      <c r="G250" s="179"/>
      <c r="H250" s="179"/>
      <c r="I250" s="179"/>
      <c r="J250" s="179"/>
      <c r="K250" s="478" t="str">
        <f t="shared" si="6"/>
        <v/>
      </c>
      <c r="M250" s="478" t="str">
        <f t="shared" si="7"/>
        <v/>
      </c>
    </row>
    <row r="251" spans="1:13" ht="18" hidden="1" customHeight="1">
      <c r="A251" s="177"/>
      <c r="B251" s="177"/>
      <c r="C251" s="177"/>
      <c r="D251" s="179"/>
      <c r="E251" s="179"/>
      <c r="F251" s="179"/>
      <c r="G251" s="179"/>
      <c r="H251" s="179"/>
      <c r="I251" s="179"/>
      <c r="J251" s="179"/>
      <c r="K251" s="478" t="str">
        <f t="shared" si="6"/>
        <v/>
      </c>
      <c r="M251" s="478" t="str">
        <f t="shared" si="7"/>
        <v/>
      </c>
    </row>
    <row r="252" spans="1:13" ht="18" hidden="1" customHeight="1">
      <c r="A252" s="177"/>
      <c r="B252" s="177"/>
      <c r="C252" s="177"/>
      <c r="D252" s="179"/>
      <c r="E252" s="179"/>
      <c r="F252" s="179"/>
      <c r="G252" s="179"/>
      <c r="H252" s="179"/>
      <c r="I252" s="179"/>
      <c r="J252" s="179"/>
      <c r="K252" s="478" t="str">
        <f t="shared" si="6"/>
        <v/>
      </c>
      <c r="M252" s="478" t="str">
        <f t="shared" si="7"/>
        <v/>
      </c>
    </row>
    <row r="253" spans="1:13" ht="18" hidden="1" customHeight="1">
      <c r="A253" s="177"/>
      <c r="B253" s="177"/>
      <c r="C253" s="177"/>
      <c r="D253" s="179"/>
      <c r="E253" s="179"/>
      <c r="F253" s="179"/>
      <c r="G253" s="179"/>
      <c r="H253" s="179"/>
      <c r="I253" s="179"/>
      <c r="J253" s="179"/>
      <c r="K253" s="478" t="str">
        <f t="shared" si="6"/>
        <v/>
      </c>
      <c r="M253" s="478" t="str">
        <f t="shared" si="7"/>
        <v/>
      </c>
    </row>
    <row r="254" spans="1:13" ht="18" hidden="1" customHeight="1">
      <c r="A254" s="177"/>
      <c r="B254" s="177"/>
      <c r="C254" s="177"/>
      <c r="D254" s="179"/>
      <c r="E254" s="179"/>
      <c r="F254" s="179"/>
      <c r="G254" s="179"/>
      <c r="H254" s="179"/>
      <c r="I254" s="179"/>
      <c r="J254" s="179"/>
      <c r="K254" s="478" t="str">
        <f t="shared" si="6"/>
        <v/>
      </c>
      <c r="M254" s="478" t="str">
        <f t="shared" si="7"/>
        <v/>
      </c>
    </row>
    <row r="255" spans="1:13" ht="18" hidden="1" customHeight="1">
      <c r="A255" s="177"/>
      <c r="B255" s="177"/>
      <c r="C255" s="177"/>
      <c r="D255" s="179"/>
      <c r="E255" s="179"/>
      <c r="F255" s="179"/>
      <c r="G255" s="179"/>
      <c r="H255" s="179"/>
      <c r="I255" s="179"/>
      <c r="J255" s="179"/>
      <c r="K255" s="478" t="str">
        <f t="shared" si="6"/>
        <v/>
      </c>
      <c r="M255" s="478" t="str">
        <f t="shared" si="7"/>
        <v/>
      </c>
    </row>
    <row r="256" spans="1:13" ht="18" hidden="1" customHeight="1">
      <c r="A256" s="177"/>
      <c r="B256" s="177"/>
      <c r="C256" s="177"/>
      <c r="D256" s="179"/>
      <c r="E256" s="179"/>
      <c r="F256" s="179"/>
      <c r="G256" s="179"/>
      <c r="H256" s="179"/>
      <c r="I256" s="179"/>
      <c r="J256" s="179"/>
      <c r="K256" s="478" t="str">
        <f t="shared" si="6"/>
        <v/>
      </c>
      <c r="M256" s="478" t="str">
        <f t="shared" si="7"/>
        <v/>
      </c>
    </row>
    <row r="257" spans="1:13" ht="18" hidden="1" customHeight="1">
      <c r="A257" s="177"/>
      <c r="B257" s="177"/>
      <c r="C257" s="177"/>
      <c r="D257" s="179"/>
      <c r="E257" s="179"/>
      <c r="F257" s="179"/>
      <c r="G257" s="179"/>
      <c r="H257" s="179"/>
      <c r="I257" s="179"/>
      <c r="J257" s="179"/>
      <c r="K257" s="478" t="str">
        <f t="shared" si="6"/>
        <v/>
      </c>
      <c r="M257" s="478" t="str">
        <f t="shared" si="7"/>
        <v/>
      </c>
    </row>
    <row r="258" spans="1:13" ht="18" hidden="1" customHeight="1">
      <c r="A258" s="177"/>
      <c r="B258" s="177"/>
      <c r="C258" s="177"/>
      <c r="D258" s="179"/>
      <c r="E258" s="179"/>
      <c r="F258" s="179"/>
      <c r="G258" s="179"/>
      <c r="H258" s="179"/>
      <c r="I258" s="179"/>
      <c r="J258" s="179"/>
      <c r="K258" s="478" t="str">
        <f t="shared" si="6"/>
        <v/>
      </c>
      <c r="M258" s="478" t="str">
        <f t="shared" si="7"/>
        <v/>
      </c>
    </row>
    <row r="259" spans="1:13" ht="18" hidden="1" customHeight="1">
      <c r="A259" s="177"/>
      <c r="B259" s="177"/>
      <c r="C259" s="177"/>
      <c r="D259" s="179"/>
      <c r="E259" s="179"/>
      <c r="F259" s="179"/>
      <c r="G259" s="179"/>
      <c r="H259" s="179"/>
      <c r="I259" s="179"/>
      <c r="J259" s="179"/>
      <c r="K259" s="478" t="str">
        <f t="shared" si="6"/>
        <v/>
      </c>
      <c r="M259" s="478" t="str">
        <f t="shared" si="7"/>
        <v/>
      </c>
    </row>
    <row r="260" spans="1:13" ht="18" hidden="1" customHeight="1">
      <c r="A260" s="177"/>
      <c r="B260" s="177"/>
      <c r="C260" s="177"/>
      <c r="D260" s="179"/>
      <c r="E260" s="179"/>
      <c r="F260" s="179"/>
      <c r="G260" s="179"/>
      <c r="H260" s="179"/>
      <c r="I260" s="179"/>
      <c r="J260" s="179"/>
      <c r="K260" s="478" t="str">
        <f t="shared" si="6"/>
        <v/>
      </c>
      <c r="M260" s="478" t="str">
        <f t="shared" si="7"/>
        <v/>
      </c>
    </row>
    <row r="261" spans="1:13" ht="18" hidden="1" customHeight="1">
      <c r="A261" s="177"/>
      <c r="B261" s="177"/>
      <c r="C261" s="177"/>
      <c r="D261" s="179"/>
      <c r="E261" s="179"/>
      <c r="F261" s="179"/>
      <c r="G261" s="179"/>
      <c r="H261" s="179"/>
      <c r="I261" s="179"/>
      <c r="J261" s="179"/>
      <c r="K261" s="478" t="str">
        <f t="shared" si="6"/>
        <v/>
      </c>
      <c r="M261" s="478" t="str">
        <f t="shared" si="7"/>
        <v/>
      </c>
    </row>
    <row r="262" spans="1:13" ht="18" hidden="1" customHeight="1">
      <c r="A262" s="177"/>
      <c r="B262" s="177"/>
      <c r="C262" s="177"/>
      <c r="D262" s="179"/>
      <c r="E262" s="179"/>
      <c r="F262" s="179"/>
      <c r="G262" s="179"/>
      <c r="H262" s="179"/>
      <c r="I262" s="179"/>
      <c r="J262" s="179"/>
      <c r="K262" s="478" t="str">
        <f t="shared" si="6"/>
        <v/>
      </c>
      <c r="M262" s="478" t="str">
        <f t="shared" si="7"/>
        <v/>
      </c>
    </row>
    <row r="263" spans="1:13" ht="18" hidden="1" customHeight="1">
      <c r="A263" s="177"/>
      <c r="B263" s="177"/>
      <c r="C263" s="177"/>
      <c r="D263" s="179"/>
      <c r="E263" s="179"/>
      <c r="F263" s="179"/>
      <c r="G263" s="179"/>
      <c r="H263" s="179"/>
      <c r="I263" s="179"/>
      <c r="J263" s="179"/>
      <c r="K263" s="478" t="str">
        <f t="shared" si="6"/>
        <v/>
      </c>
      <c r="M263" s="478" t="str">
        <f t="shared" si="7"/>
        <v/>
      </c>
    </row>
    <row r="264" spans="1:13" ht="18" hidden="1" customHeight="1">
      <c r="A264" s="177"/>
      <c r="B264" s="177"/>
      <c r="C264" s="177"/>
      <c r="D264" s="179"/>
      <c r="E264" s="179"/>
      <c r="F264" s="179"/>
      <c r="G264" s="179"/>
      <c r="H264" s="179"/>
      <c r="I264" s="179"/>
      <c r="J264" s="179"/>
      <c r="K264" s="478" t="str">
        <f t="shared" si="6"/>
        <v/>
      </c>
      <c r="M264" s="478" t="str">
        <f t="shared" si="7"/>
        <v/>
      </c>
    </row>
    <row r="265" spans="1:13" ht="18" hidden="1" customHeight="1">
      <c r="A265" s="177"/>
      <c r="B265" s="177"/>
      <c r="C265" s="177"/>
      <c r="D265" s="179"/>
      <c r="E265" s="179"/>
      <c r="F265" s="179"/>
      <c r="G265" s="179"/>
      <c r="H265" s="179"/>
      <c r="I265" s="179"/>
      <c r="J265" s="179"/>
      <c r="K265" s="478" t="str">
        <f t="shared" si="6"/>
        <v/>
      </c>
      <c r="M265" s="478" t="str">
        <f t="shared" si="7"/>
        <v/>
      </c>
    </row>
    <row r="266" spans="1:13" ht="18" hidden="1" customHeight="1">
      <c r="A266" s="177"/>
      <c r="B266" s="177"/>
      <c r="C266" s="177"/>
      <c r="D266" s="179"/>
      <c r="E266" s="179"/>
      <c r="F266" s="179"/>
      <c r="G266" s="179"/>
      <c r="H266" s="179"/>
      <c r="I266" s="179"/>
      <c r="J266" s="179"/>
      <c r="K266" s="478" t="str">
        <f t="shared" si="6"/>
        <v/>
      </c>
      <c r="M266" s="478" t="str">
        <f t="shared" si="7"/>
        <v/>
      </c>
    </row>
    <row r="267" spans="1:13" ht="18" hidden="1" customHeight="1">
      <c r="A267" s="177"/>
      <c r="B267" s="177"/>
      <c r="C267" s="177"/>
      <c r="D267" s="179"/>
      <c r="E267" s="179"/>
      <c r="F267" s="179"/>
      <c r="G267" s="179"/>
      <c r="H267" s="179"/>
      <c r="I267" s="179"/>
      <c r="J267" s="179"/>
      <c r="K267" s="478" t="str">
        <f t="shared" si="6"/>
        <v/>
      </c>
      <c r="M267" s="478" t="str">
        <f t="shared" si="7"/>
        <v/>
      </c>
    </row>
    <row r="268" spans="1:13" ht="18" hidden="1" customHeight="1">
      <c r="A268" s="177"/>
      <c r="B268" s="177"/>
      <c r="C268" s="177"/>
      <c r="D268" s="179"/>
      <c r="E268" s="179"/>
      <c r="F268" s="179"/>
      <c r="G268" s="179"/>
      <c r="H268" s="179"/>
      <c r="I268" s="179"/>
      <c r="J268" s="179"/>
      <c r="K268" s="478" t="str">
        <f t="shared" si="6"/>
        <v/>
      </c>
      <c r="M268" s="478" t="str">
        <f t="shared" si="7"/>
        <v/>
      </c>
    </row>
    <row r="269" spans="1:13" ht="18" hidden="1" customHeight="1">
      <c r="A269" s="177"/>
      <c r="B269" s="177"/>
      <c r="C269" s="177"/>
      <c r="D269" s="179"/>
      <c r="E269" s="179"/>
      <c r="F269" s="179"/>
      <c r="G269" s="179"/>
      <c r="H269" s="179"/>
      <c r="I269" s="179"/>
      <c r="J269" s="179"/>
      <c r="K269" s="478" t="str">
        <f t="shared" ref="K269:K332" si="8">IFERROR(AVERAGEIF(D269:J269,"&gt;0",D269:J269),"")</f>
        <v/>
      </c>
      <c r="M269" s="478" t="str">
        <f t="shared" ref="M269:M332" si="9">IFERROR(MEDIAN(D269:J269),"")</f>
        <v/>
      </c>
    </row>
    <row r="270" spans="1:13" ht="18" hidden="1" customHeight="1">
      <c r="A270" s="177"/>
      <c r="B270" s="177"/>
      <c r="C270" s="177"/>
      <c r="D270" s="179"/>
      <c r="E270" s="179"/>
      <c r="F270" s="179"/>
      <c r="G270" s="179"/>
      <c r="H270" s="179"/>
      <c r="I270" s="179"/>
      <c r="J270" s="179"/>
      <c r="K270" s="478" t="str">
        <f t="shared" si="8"/>
        <v/>
      </c>
      <c r="M270" s="478" t="str">
        <f t="shared" si="9"/>
        <v/>
      </c>
    </row>
    <row r="271" spans="1:13" ht="18" hidden="1" customHeight="1">
      <c r="A271" s="177"/>
      <c r="B271" s="177"/>
      <c r="C271" s="177"/>
      <c r="D271" s="179"/>
      <c r="E271" s="179"/>
      <c r="F271" s="179"/>
      <c r="G271" s="179"/>
      <c r="H271" s="179"/>
      <c r="I271" s="179"/>
      <c r="J271" s="179"/>
      <c r="K271" s="478" t="str">
        <f t="shared" si="8"/>
        <v/>
      </c>
      <c r="M271" s="478" t="str">
        <f t="shared" si="9"/>
        <v/>
      </c>
    </row>
    <row r="272" spans="1:13" ht="18" hidden="1" customHeight="1">
      <c r="A272" s="177"/>
      <c r="B272" s="177"/>
      <c r="C272" s="177"/>
      <c r="D272" s="179"/>
      <c r="E272" s="179"/>
      <c r="F272" s="179"/>
      <c r="G272" s="179"/>
      <c r="H272" s="179"/>
      <c r="I272" s="179"/>
      <c r="J272" s="179"/>
      <c r="K272" s="478" t="str">
        <f t="shared" si="8"/>
        <v/>
      </c>
      <c r="M272" s="478" t="str">
        <f t="shared" si="9"/>
        <v/>
      </c>
    </row>
    <row r="273" spans="1:13" ht="18" hidden="1" customHeight="1">
      <c r="A273" s="177"/>
      <c r="B273" s="177"/>
      <c r="C273" s="177"/>
      <c r="D273" s="179"/>
      <c r="E273" s="179"/>
      <c r="F273" s="179"/>
      <c r="G273" s="179"/>
      <c r="H273" s="179"/>
      <c r="I273" s="179"/>
      <c r="J273" s="179"/>
      <c r="K273" s="478" t="str">
        <f t="shared" si="8"/>
        <v/>
      </c>
      <c r="M273" s="478" t="str">
        <f t="shared" si="9"/>
        <v/>
      </c>
    </row>
    <row r="274" spans="1:13" ht="18" hidden="1" customHeight="1">
      <c r="A274" s="177"/>
      <c r="B274" s="177"/>
      <c r="C274" s="177"/>
      <c r="D274" s="179"/>
      <c r="E274" s="179"/>
      <c r="F274" s="179"/>
      <c r="G274" s="179"/>
      <c r="H274" s="179"/>
      <c r="I274" s="179"/>
      <c r="J274" s="179"/>
      <c r="K274" s="478" t="str">
        <f t="shared" si="8"/>
        <v/>
      </c>
      <c r="M274" s="478" t="str">
        <f t="shared" si="9"/>
        <v/>
      </c>
    </row>
    <row r="275" spans="1:13" ht="18" hidden="1" customHeight="1">
      <c r="A275" s="177"/>
      <c r="B275" s="177"/>
      <c r="C275" s="177"/>
      <c r="D275" s="179"/>
      <c r="E275" s="179"/>
      <c r="F275" s="179"/>
      <c r="G275" s="179"/>
      <c r="H275" s="179"/>
      <c r="I275" s="179"/>
      <c r="J275" s="179"/>
      <c r="K275" s="478" t="str">
        <f t="shared" si="8"/>
        <v/>
      </c>
      <c r="M275" s="478" t="str">
        <f t="shared" si="9"/>
        <v/>
      </c>
    </row>
    <row r="276" spans="1:13" ht="18" hidden="1" customHeight="1">
      <c r="A276" s="177"/>
      <c r="B276" s="177"/>
      <c r="C276" s="177"/>
      <c r="D276" s="179"/>
      <c r="E276" s="179"/>
      <c r="F276" s="179"/>
      <c r="G276" s="179"/>
      <c r="H276" s="179"/>
      <c r="I276" s="179"/>
      <c r="J276" s="179"/>
      <c r="K276" s="478" t="str">
        <f t="shared" si="8"/>
        <v/>
      </c>
      <c r="M276" s="478" t="str">
        <f t="shared" si="9"/>
        <v/>
      </c>
    </row>
    <row r="277" spans="1:13" ht="18" hidden="1" customHeight="1">
      <c r="A277" s="177"/>
      <c r="B277" s="177"/>
      <c r="C277" s="177"/>
      <c r="D277" s="179"/>
      <c r="E277" s="179"/>
      <c r="F277" s="179"/>
      <c r="G277" s="179"/>
      <c r="H277" s="179"/>
      <c r="I277" s="179"/>
      <c r="J277" s="179"/>
      <c r="K277" s="478" t="str">
        <f t="shared" si="8"/>
        <v/>
      </c>
      <c r="M277" s="478" t="str">
        <f t="shared" si="9"/>
        <v/>
      </c>
    </row>
    <row r="278" spans="1:13" ht="18" hidden="1" customHeight="1">
      <c r="A278" s="177"/>
      <c r="B278" s="177"/>
      <c r="C278" s="177"/>
      <c r="D278" s="179"/>
      <c r="E278" s="179"/>
      <c r="F278" s="179"/>
      <c r="G278" s="179"/>
      <c r="H278" s="179"/>
      <c r="I278" s="179"/>
      <c r="J278" s="179"/>
      <c r="K278" s="478" t="str">
        <f t="shared" si="8"/>
        <v/>
      </c>
      <c r="M278" s="478" t="str">
        <f t="shared" si="9"/>
        <v/>
      </c>
    </row>
    <row r="279" spans="1:13" ht="18" hidden="1" customHeight="1">
      <c r="A279" s="177"/>
      <c r="B279" s="177"/>
      <c r="C279" s="177"/>
      <c r="D279" s="179"/>
      <c r="E279" s="179"/>
      <c r="F279" s="179"/>
      <c r="G279" s="179"/>
      <c r="H279" s="179"/>
      <c r="I279" s="179"/>
      <c r="J279" s="179"/>
      <c r="K279" s="478" t="str">
        <f t="shared" si="8"/>
        <v/>
      </c>
      <c r="M279" s="478" t="str">
        <f t="shared" si="9"/>
        <v/>
      </c>
    </row>
    <row r="280" spans="1:13" ht="18" hidden="1" customHeight="1">
      <c r="A280" s="177"/>
      <c r="B280" s="177"/>
      <c r="C280" s="177"/>
      <c r="D280" s="179"/>
      <c r="E280" s="179"/>
      <c r="F280" s="179"/>
      <c r="G280" s="179"/>
      <c r="H280" s="179"/>
      <c r="I280" s="179"/>
      <c r="J280" s="179"/>
      <c r="K280" s="478" t="str">
        <f t="shared" si="8"/>
        <v/>
      </c>
      <c r="M280" s="478" t="str">
        <f t="shared" si="9"/>
        <v/>
      </c>
    </row>
    <row r="281" spans="1:13" ht="18" hidden="1" customHeight="1">
      <c r="A281" s="177"/>
      <c r="B281" s="177"/>
      <c r="C281" s="177"/>
      <c r="D281" s="179"/>
      <c r="E281" s="179"/>
      <c r="F281" s="179"/>
      <c r="G281" s="179"/>
      <c r="H281" s="179"/>
      <c r="I281" s="179"/>
      <c r="J281" s="179"/>
      <c r="K281" s="478" t="str">
        <f t="shared" si="8"/>
        <v/>
      </c>
      <c r="M281" s="478" t="str">
        <f t="shared" si="9"/>
        <v/>
      </c>
    </row>
    <row r="282" spans="1:13" ht="18" hidden="1" customHeight="1">
      <c r="A282" s="177"/>
      <c r="B282" s="177"/>
      <c r="C282" s="177"/>
      <c r="D282" s="179"/>
      <c r="E282" s="179"/>
      <c r="F282" s="179"/>
      <c r="G282" s="179"/>
      <c r="H282" s="179"/>
      <c r="I282" s="179"/>
      <c r="J282" s="179"/>
      <c r="K282" s="478" t="str">
        <f t="shared" si="8"/>
        <v/>
      </c>
      <c r="M282" s="478" t="str">
        <f t="shared" si="9"/>
        <v/>
      </c>
    </row>
    <row r="283" spans="1:13" ht="18" hidden="1" customHeight="1">
      <c r="A283" s="177"/>
      <c r="B283" s="177"/>
      <c r="C283" s="177"/>
      <c r="D283" s="179"/>
      <c r="E283" s="179"/>
      <c r="F283" s="179"/>
      <c r="G283" s="179"/>
      <c r="H283" s="179"/>
      <c r="I283" s="179"/>
      <c r="J283" s="179"/>
      <c r="K283" s="478" t="str">
        <f t="shared" si="8"/>
        <v/>
      </c>
      <c r="M283" s="478" t="str">
        <f t="shared" si="9"/>
        <v/>
      </c>
    </row>
    <row r="284" spans="1:13" ht="18" hidden="1" customHeight="1">
      <c r="A284" s="177"/>
      <c r="B284" s="177"/>
      <c r="C284" s="177"/>
      <c r="D284" s="179"/>
      <c r="E284" s="179"/>
      <c r="F284" s="179"/>
      <c r="G284" s="179"/>
      <c r="H284" s="179"/>
      <c r="I284" s="179"/>
      <c r="J284" s="179"/>
      <c r="K284" s="478" t="str">
        <f t="shared" si="8"/>
        <v/>
      </c>
      <c r="M284" s="478" t="str">
        <f t="shared" si="9"/>
        <v/>
      </c>
    </row>
    <row r="285" spans="1:13" ht="18" hidden="1" customHeight="1">
      <c r="A285" s="177"/>
      <c r="B285" s="177"/>
      <c r="C285" s="177"/>
      <c r="D285" s="179"/>
      <c r="E285" s="179"/>
      <c r="F285" s="179"/>
      <c r="G285" s="179"/>
      <c r="H285" s="179"/>
      <c r="I285" s="179"/>
      <c r="J285" s="179"/>
      <c r="K285" s="478" t="str">
        <f t="shared" si="8"/>
        <v/>
      </c>
      <c r="M285" s="478" t="str">
        <f t="shared" si="9"/>
        <v/>
      </c>
    </row>
    <row r="286" spans="1:13" ht="18" hidden="1" customHeight="1">
      <c r="A286" s="177"/>
      <c r="B286" s="177"/>
      <c r="C286" s="177"/>
      <c r="D286" s="179"/>
      <c r="E286" s="179"/>
      <c r="F286" s="179"/>
      <c r="G286" s="179"/>
      <c r="H286" s="179"/>
      <c r="I286" s="179"/>
      <c r="J286" s="179"/>
      <c r="K286" s="478" t="str">
        <f t="shared" si="8"/>
        <v/>
      </c>
      <c r="M286" s="478" t="str">
        <f t="shared" si="9"/>
        <v/>
      </c>
    </row>
    <row r="287" spans="1:13" ht="18" hidden="1" customHeight="1">
      <c r="A287" s="177"/>
      <c r="B287" s="177"/>
      <c r="C287" s="177"/>
      <c r="D287" s="179"/>
      <c r="E287" s="179"/>
      <c r="F287" s="179"/>
      <c r="G287" s="179"/>
      <c r="H287" s="179"/>
      <c r="I287" s="179"/>
      <c r="J287" s="179"/>
      <c r="K287" s="478" t="str">
        <f t="shared" si="8"/>
        <v/>
      </c>
      <c r="M287" s="478" t="str">
        <f t="shared" si="9"/>
        <v/>
      </c>
    </row>
    <row r="288" spans="1:13" ht="18" hidden="1" customHeight="1">
      <c r="A288" s="177"/>
      <c r="B288" s="177"/>
      <c r="C288" s="177"/>
      <c r="D288" s="179"/>
      <c r="E288" s="179"/>
      <c r="F288" s="179"/>
      <c r="G288" s="179"/>
      <c r="H288" s="179"/>
      <c r="I288" s="179"/>
      <c r="J288" s="179"/>
      <c r="K288" s="478" t="str">
        <f t="shared" si="8"/>
        <v/>
      </c>
      <c r="M288" s="478" t="str">
        <f t="shared" si="9"/>
        <v/>
      </c>
    </row>
    <row r="289" spans="1:13" ht="18" hidden="1" customHeight="1">
      <c r="A289" s="177"/>
      <c r="B289" s="177"/>
      <c r="C289" s="177"/>
      <c r="D289" s="179"/>
      <c r="E289" s="179"/>
      <c r="F289" s="179"/>
      <c r="G289" s="179"/>
      <c r="H289" s="179"/>
      <c r="I289" s="179"/>
      <c r="J289" s="179"/>
      <c r="K289" s="478" t="str">
        <f t="shared" si="8"/>
        <v/>
      </c>
      <c r="M289" s="478" t="str">
        <f t="shared" si="9"/>
        <v/>
      </c>
    </row>
    <row r="290" spans="1:13" ht="18" hidden="1" customHeight="1">
      <c r="A290" s="177"/>
      <c r="B290" s="177"/>
      <c r="C290" s="177"/>
      <c r="D290" s="179"/>
      <c r="E290" s="179"/>
      <c r="F290" s="179"/>
      <c r="G290" s="179"/>
      <c r="H290" s="179"/>
      <c r="I290" s="179"/>
      <c r="J290" s="179"/>
      <c r="K290" s="478" t="str">
        <f t="shared" si="8"/>
        <v/>
      </c>
      <c r="M290" s="478" t="str">
        <f t="shared" si="9"/>
        <v/>
      </c>
    </row>
    <row r="291" spans="1:13" ht="18" hidden="1" customHeight="1">
      <c r="A291" s="177"/>
      <c r="B291" s="177"/>
      <c r="C291" s="177"/>
      <c r="D291" s="179"/>
      <c r="E291" s="179"/>
      <c r="F291" s="179"/>
      <c r="G291" s="179"/>
      <c r="H291" s="179"/>
      <c r="I291" s="179"/>
      <c r="J291" s="179"/>
      <c r="K291" s="478" t="str">
        <f t="shared" si="8"/>
        <v/>
      </c>
      <c r="M291" s="478" t="str">
        <f t="shared" si="9"/>
        <v/>
      </c>
    </row>
    <row r="292" spans="1:13" ht="18" hidden="1" customHeight="1">
      <c r="A292" s="177"/>
      <c r="B292" s="177"/>
      <c r="C292" s="177"/>
      <c r="D292" s="179"/>
      <c r="E292" s="179"/>
      <c r="F292" s="179"/>
      <c r="G292" s="179"/>
      <c r="H292" s="179"/>
      <c r="I292" s="179"/>
      <c r="J292" s="179"/>
      <c r="K292" s="478" t="str">
        <f t="shared" si="8"/>
        <v/>
      </c>
      <c r="M292" s="478" t="str">
        <f t="shared" si="9"/>
        <v/>
      </c>
    </row>
    <row r="293" spans="1:13" ht="18" hidden="1" customHeight="1">
      <c r="A293" s="177"/>
      <c r="B293" s="177"/>
      <c r="C293" s="177"/>
      <c r="D293" s="179"/>
      <c r="E293" s="179"/>
      <c r="F293" s="179"/>
      <c r="G293" s="179"/>
      <c r="H293" s="179"/>
      <c r="I293" s="179"/>
      <c r="J293" s="179"/>
      <c r="K293" s="478" t="str">
        <f t="shared" si="8"/>
        <v/>
      </c>
      <c r="M293" s="478" t="str">
        <f t="shared" si="9"/>
        <v/>
      </c>
    </row>
    <row r="294" spans="1:13" ht="18" hidden="1" customHeight="1">
      <c r="A294" s="177"/>
      <c r="B294" s="177"/>
      <c r="C294" s="177"/>
      <c r="D294" s="179"/>
      <c r="E294" s="179"/>
      <c r="F294" s="179"/>
      <c r="G294" s="179"/>
      <c r="H294" s="179"/>
      <c r="I294" s="179"/>
      <c r="J294" s="179"/>
      <c r="K294" s="478" t="str">
        <f t="shared" si="8"/>
        <v/>
      </c>
      <c r="M294" s="478" t="str">
        <f t="shared" si="9"/>
        <v/>
      </c>
    </row>
    <row r="295" spans="1:13" ht="18" hidden="1" customHeight="1">
      <c r="A295" s="177"/>
      <c r="B295" s="177"/>
      <c r="C295" s="177"/>
      <c r="D295" s="179"/>
      <c r="E295" s="179"/>
      <c r="F295" s="179"/>
      <c r="G295" s="179"/>
      <c r="H295" s="179"/>
      <c r="I295" s="179"/>
      <c r="J295" s="179"/>
      <c r="K295" s="478" t="str">
        <f t="shared" si="8"/>
        <v/>
      </c>
      <c r="M295" s="478" t="str">
        <f t="shared" si="9"/>
        <v/>
      </c>
    </row>
    <row r="296" spans="1:13" ht="18" hidden="1" customHeight="1">
      <c r="A296" s="177"/>
      <c r="B296" s="177"/>
      <c r="C296" s="177"/>
      <c r="D296" s="179"/>
      <c r="E296" s="179"/>
      <c r="F296" s="179"/>
      <c r="G296" s="179"/>
      <c r="H296" s="179"/>
      <c r="I296" s="179"/>
      <c r="J296" s="179"/>
      <c r="K296" s="478" t="str">
        <f t="shared" si="8"/>
        <v/>
      </c>
      <c r="M296" s="478" t="str">
        <f t="shared" si="9"/>
        <v/>
      </c>
    </row>
    <row r="297" spans="1:13" ht="18" hidden="1" customHeight="1">
      <c r="A297" s="177"/>
      <c r="B297" s="177"/>
      <c r="C297" s="177"/>
      <c r="D297" s="179"/>
      <c r="E297" s="179"/>
      <c r="F297" s="179"/>
      <c r="G297" s="179"/>
      <c r="H297" s="179"/>
      <c r="I297" s="179"/>
      <c r="J297" s="179"/>
      <c r="K297" s="478" t="str">
        <f t="shared" si="8"/>
        <v/>
      </c>
      <c r="M297" s="478" t="str">
        <f t="shared" si="9"/>
        <v/>
      </c>
    </row>
    <row r="298" spans="1:13" ht="18" hidden="1" customHeight="1">
      <c r="A298" s="177"/>
      <c r="B298" s="177"/>
      <c r="C298" s="177"/>
      <c r="D298" s="179"/>
      <c r="E298" s="179"/>
      <c r="F298" s="179"/>
      <c r="G298" s="179"/>
      <c r="H298" s="179"/>
      <c r="I298" s="179"/>
      <c r="J298" s="179"/>
      <c r="K298" s="478" t="str">
        <f t="shared" si="8"/>
        <v/>
      </c>
      <c r="M298" s="478" t="str">
        <f t="shared" si="9"/>
        <v/>
      </c>
    </row>
    <row r="299" spans="1:13" ht="18" hidden="1" customHeight="1">
      <c r="A299" s="177"/>
      <c r="B299" s="177"/>
      <c r="C299" s="177"/>
      <c r="D299" s="179"/>
      <c r="E299" s="179"/>
      <c r="F299" s="179"/>
      <c r="G299" s="179"/>
      <c r="H299" s="179"/>
      <c r="I299" s="179"/>
      <c r="J299" s="179"/>
      <c r="K299" s="478" t="str">
        <f t="shared" si="8"/>
        <v/>
      </c>
      <c r="M299" s="478" t="str">
        <f t="shared" si="9"/>
        <v/>
      </c>
    </row>
    <row r="300" spans="1:13" ht="18" hidden="1" customHeight="1">
      <c r="A300" s="177"/>
      <c r="B300" s="177"/>
      <c r="C300" s="177"/>
      <c r="D300" s="179"/>
      <c r="E300" s="179"/>
      <c r="F300" s="179"/>
      <c r="G300" s="179"/>
      <c r="H300" s="179"/>
      <c r="I300" s="179"/>
      <c r="J300" s="179"/>
      <c r="K300" s="478" t="str">
        <f t="shared" si="8"/>
        <v/>
      </c>
      <c r="M300" s="478" t="str">
        <f t="shared" si="9"/>
        <v/>
      </c>
    </row>
    <row r="301" spans="1:13" ht="18" hidden="1" customHeight="1">
      <c r="A301" s="177"/>
      <c r="B301" s="177"/>
      <c r="C301" s="177"/>
      <c r="D301" s="179"/>
      <c r="E301" s="179"/>
      <c r="F301" s="179"/>
      <c r="G301" s="179"/>
      <c r="H301" s="179"/>
      <c r="I301" s="179"/>
      <c r="J301" s="179"/>
      <c r="K301" s="478" t="str">
        <f t="shared" si="8"/>
        <v/>
      </c>
      <c r="M301" s="478" t="str">
        <f t="shared" si="9"/>
        <v/>
      </c>
    </row>
    <row r="302" spans="1:13" ht="18" hidden="1" customHeight="1">
      <c r="A302" s="177"/>
      <c r="B302" s="177"/>
      <c r="C302" s="177"/>
      <c r="D302" s="179"/>
      <c r="E302" s="179"/>
      <c r="F302" s="179"/>
      <c r="G302" s="179"/>
      <c r="H302" s="179"/>
      <c r="I302" s="179"/>
      <c r="J302" s="179"/>
      <c r="K302" s="478" t="str">
        <f t="shared" si="8"/>
        <v/>
      </c>
      <c r="M302" s="478" t="str">
        <f t="shared" si="9"/>
        <v/>
      </c>
    </row>
    <row r="303" spans="1:13" ht="18" hidden="1" customHeight="1">
      <c r="A303" s="177"/>
      <c r="B303" s="177"/>
      <c r="C303" s="177"/>
      <c r="D303" s="179"/>
      <c r="E303" s="179"/>
      <c r="F303" s="179"/>
      <c r="G303" s="179"/>
      <c r="H303" s="179"/>
      <c r="I303" s="179"/>
      <c r="J303" s="179"/>
      <c r="K303" s="478" t="str">
        <f t="shared" si="8"/>
        <v/>
      </c>
      <c r="M303" s="478" t="str">
        <f t="shared" si="9"/>
        <v/>
      </c>
    </row>
    <row r="304" spans="1:13" ht="18" hidden="1" customHeight="1">
      <c r="A304" s="177"/>
      <c r="B304" s="177"/>
      <c r="C304" s="177"/>
      <c r="D304" s="179"/>
      <c r="E304" s="179"/>
      <c r="F304" s="179"/>
      <c r="G304" s="179"/>
      <c r="H304" s="179"/>
      <c r="I304" s="179"/>
      <c r="J304" s="179"/>
      <c r="K304" s="478" t="str">
        <f t="shared" si="8"/>
        <v/>
      </c>
      <c r="M304" s="478" t="str">
        <f t="shared" si="9"/>
        <v/>
      </c>
    </row>
    <row r="305" spans="1:13" ht="18" hidden="1" customHeight="1">
      <c r="A305" s="177"/>
      <c r="B305" s="177"/>
      <c r="C305" s="177"/>
      <c r="D305" s="179"/>
      <c r="E305" s="179"/>
      <c r="F305" s="179"/>
      <c r="G305" s="179"/>
      <c r="H305" s="179"/>
      <c r="I305" s="179"/>
      <c r="J305" s="179"/>
      <c r="K305" s="478" t="str">
        <f t="shared" si="8"/>
        <v/>
      </c>
      <c r="M305" s="478" t="str">
        <f t="shared" si="9"/>
        <v/>
      </c>
    </row>
    <row r="306" spans="1:13" ht="18" hidden="1" customHeight="1">
      <c r="A306" s="177"/>
      <c r="B306" s="177"/>
      <c r="C306" s="177"/>
      <c r="D306" s="179"/>
      <c r="E306" s="179"/>
      <c r="F306" s="179"/>
      <c r="G306" s="179"/>
      <c r="H306" s="179"/>
      <c r="I306" s="179"/>
      <c r="J306" s="179"/>
      <c r="K306" s="478" t="str">
        <f t="shared" si="8"/>
        <v/>
      </c>
      <c r="M306" s="478" t="str">
        <f t="shared" si="9"/>
        <v/>
      </c>
    </row>
    <row r="307" spans="1:13" ht="18" hidden="1" customHeight="1">
      <c r="A307" s="177"/>
      <c r="B307" s="177"/>
      <c r="C307" s="177"/>
      <c r="D307" s="179"/>
      <c r="E307" s="179"/>
      <c r="F307" s="179"/>
      <c r="G307" s="179"/>
      <c r="H307" s="179"/>
      <c r="I307" s="179"/>
      <c r="J307" s="179"/>
      <c r="K307" s="478" t="str">
        <f t="shared" si="8"/>
        <v/>
      </c>
      <c r="M307" s="478" t="str">
        <f t="shared" si="9"/>
        <v/>
      </c>
    </row>
    <row r="308" spans="1:13" ht="18" hidden="1" customHeight="1">
      <c r="A308" s="177"/>
      <c r="B308" s="177"/>
      <c r="C308" s="177"/>
      <c r="D308" s="179"/>
      <c r="E308" s="179"/>
      <c r="F308" s="179"/>
      <c r="G308" s="179"/>
      <c r="H308" s="179"/>
      <c r="I308" s="179"/>
      <c r="J308" s="179"/>
      <c r="K308" s="478" t="str">
        <f t="shared" si="8"/>
        <v/>
      </c>
      <c r="M308" s="478" t="str">
        <f t="shared" si="9"/>
        <v/>
      </c>
    </row>
    <row r="309" spans="1:13" ht="18" hidden="1" customHeight="1">
      <c r="A309" s="177"/>
      <c r="B309" s="177"/>
      <c r="C309" s="177"/>
      <c r="D309" s="179"/>
      <c r="E309" s="179"/>
      <c r="F309" s="179"/>
      <c r="G309" s="179"/>
      <c r="H309" s="179"/>
      <c r="I309" s="179"/>
      <c r="J309" s="179"/>
      <c r="K309" s="478" t="str">
        <f t="shared" si="8"/>
        <v/>
      </c>
      <c r="M309" s="478" t="str">
        <f t="shared" si="9"/>
        <v/>
      </c>
    </row>
    <row r="310" spans="1:13" ht="18" hidden="1" customHeight="1">
      <c r="A310" s="177"/>
      <c r="B310" s="177"/>
      <c r="C310" s="177"/>
      <c r="D310" s="179"/>
      <c r="E310" s="179"/>
      <c r="F310" s="179"/>
      <c r="G310" s="179"/>
      <c r="H310" s="179"/>
      <c r="I310" s="179"/>
      <c r="J310" s="179"/>
      <c r="K310" s="478" t="str">
        <f t="shared" si="8"/>
        <v/>
      </c>
      <c r="M310" s="478" t="str">
        <f t="shared" si="9"/>
        <v/>
      </c>
    </row>
    <row r="311" spans="1:13" ht="18" hidden="1" customHeight="1">
      <c r="A311" s="177"/>
      <c r="B311" s="177"/>
      <c r="C311" s="177"/>
      <c r="D311" s="179"/>
      <c r="E311" s="179"/>
      <c r="F311" s="179"/>
      <c r="G311" s="179"/>
      <c r="H311" s="179"/>
      <c r="I311" s="179"/>
      <c r="J311" s="179"/>
      <c r="K311" s="478" t="str">
        <f t="shared" si="8"/>
        <v/>
      </c>
      <c r="M311" s="478" t="str">
        <f t="shared" si="9"/>
        <v/>
      </c>
    </row>
    <row r="312" spans="1:13" ht="18" hidden="1" customHeight="1">
      <c r="A312" s="177"/>
      <c r="B312" s="177"/>
      <c r="C312" s="177"/>
      <c r="D312" s="179"/>
      <c r="E312" s="179"/>
      <c r="F312" s="179"/>
      <c r="G312" s="179"/>
      <c r="H312" s="179"/>
      <c r="I312" s="179"/>
      <c r="J312" s="179"/>
      <c r="K312" s="478" t="str">
        <f t="shared" si="8"/>
        <v/>
      </c>
      <c r="M312" s="478" t="str">
        <f t="shared" si="9"/>
        <v/>
      </c>
    </row>
    <row r="313" spans="1:13" ht="18" hidden="1" customHeight="1">
      <c r="A313" s="177"/>
      <c r="B313" s="177"/>
      <c r="C313" s="177"/>
      <c r="D313" s="179"/>
      <c r="E313" s="179"/>
      <c r="F313" s="179"/>
      <c r="G313" s="179"/>
      <c r="H313" s="179"/>
      <c r="I313" s="179"/>
      <c r="J313" s="179"/>
      <c r="K313" s="478" t="str">
        <f t="shared" si="8"/>
        <v/>
      </c>
      <c r="M313" s="478" t="str">
        <f t="shared" si="9"/>
        <v/>
      </c>
    </row>
    <row r="314" spans="1:13" ht="18" hidden="1" customHeight="1">
      <c r="A314" s="177"/>
      <c r="B314" s="177"/>
      <c r="C314" s="177"/>
      <c r="D314" s="179"/>
      <c r="E314" s="179"/>
      <c r="F314" s="179"/>
      <c r="G314" s="179"/>
      <c r="H314" s="179"/>
      <c r="I314" s="179"/>
      <c r="J314" s="179"/>
      <c r="K314" s="478" t="str">
        <f t="shared" si="8"/>
        <v/>
      </c>
      <c r="M314" s="478" t="str">
        <f t="shared" si="9"/>
        <v/>
      </c>
    </row>
    <row r="315" spans="1:13" ht="18" hidden="1" customHeight="1">
      <c r="A315" s="177"/>
      <c r="B315" s="177"/>
      <c r="C315" s="177"/>
      <c r="D315" s="179"/>
      <c r="E315" s="179"/>
      <c r="F315" s="179"/>
      <c r="G315" s="179"/>
      <c r="H315" s="179"/>
      <c r="I315" s="179"/>
      <c r="J315" s="179"/>
      <c r="K315" s="478" t="str">
        <f t="shared" si="8"/>
        <v/>
      </c>
      <c r="M315" s="478" t="str">
        <f t="shared" si="9"/>
        <v/>
      </c>
    </row>
    <row r="316" spans="1:13" ht="18" hidden="1" customHeight="1">
      <c r="A316" s="177"/>
      <c r="B316" s="177"/>
      <c r="C316" s="177"/>
      <c r="D316" s="179"/>
      <c r="E316" s="179"/>
      <c r="F316" s="179"/>
      <c r="G316" s="179"/>
      <c r="H316" s="179"/>
      <c r="I316" s="179"/>
      <c r="J316" s="179"/>
      <c r="K316" s="478" t="str">
        <f t="shared" si="8"/>
        <v/>
      </c>
      <c r="M316" s="478" t="str">
        <f t="shared" si="9"/>
        <v/>
      </c>
    </row>
    <row r="317" spans="1:13" ht="18" hidden="1" customHeight="1">
      <c r="A317" s="177"/>
      <c r="B317" s="177"/>
      <c r="C317" s="177"/>
      <c r="D317" s="179"/>
      <c r="E317" s="179"/>
      <c r="F317" s="179"/>
      <c r="G317" s="179"/>
      <c r="H317" s="179"/>
      <c r="I317" s="179"/>
      <c r="J317" s="179"/>
      <c r="K317" s="478" t="str">
        <f t="shared" si="8"/>
        <v/>
      </c>
      <c r="M317" s="478" t="str">
        <f t="shared" si="9"/>
        <v/>
      </c>
    </row>
    <row r="318" spans="1:13" ht="18" hidden="1" customHeight="1">
      <c r="A318" s="177"/>
      <c r="B318" s="177"/>
      <c r="C318" s="177"/>
      <c r="D318" s="179"/>
      <c r="E318" s="179"/>
      <c r="F318" s="179"/>
      <c r="G318" s="179"/>
      <c r="H318" s="179"/>
      <c r="I318" s="179"/>
      <c r="J318" s="179"/>
      <c r="K318" s="478" t="str">
        <f t="shared" si="8"/>
        <v/>
      </c>
      <c r="M318" s="478" t="str">
        <f t="shared" si="9"/>
        <v/>
      </c>
    </row>
    <row r="319" spans="1:13" ht="18" hidden="1" customHeight="1">
      <c r="A319" s="177"/>
      <c r="B319" s="177"/>
      <c r="C319" s="177"/>
      <c r="D319" s="179"/>
      <c r="E319" s="179"/>
      <c r="F319" s="179"/>
      <c r="G319" s="179"/>
      <c r="H319" s="179"/>
      <c r="I319" s="179"/>
      <c r="J319" s="179"/>
      <c r="K319" s="478" t="str">
        <f t="shared" si="8"/>
        <v/>
      </c>
      <c r="M319" s="478" t="str">
        <f t="shared" si="9"/>
        <v/>
      </c>
    </row>
    <row r="320" spans="1:13" ht="18" hidden="1" customHeight="1">
      <c r="A320" s="177"/>
      <c r="B320" s="177"/>
      <c r="C320" s="177"/>
      <c r="D320" s="179"/>
      <c r="E320" s="179"/>
      <c r="F320" s="179"/>
      <c r="G320" s="179"/>
      <c r="H320" s="179"/>
      <c r="I320" s="179"/>
      <c r="J320" s="179"/>
      <c r="K320" s="478" t="str">
        <f t="shared" si="8"/>
        <v/>
      </c>
      <c r="M320" s="478" t="str">
        <f t="shared" si="9"/>
        <v/>
      </c>
    </row>
    <row r="321" spans="1:13" ht="18" hidden="1" customHeight="1">
      <c r="A321" s="177"/>
      <c r="B321" s="177"/>
      <c r="C321" s="177"/>
      <c r="D321" s="179"/>
      <c r="E321" s="179"/>
      <c r="F321" s="179"/>
      <c r="G321" s="179"/>
      <c r="H321" s="179"/>
      <c r="I321" s="179"/>
      <c r="J321" s="179"/>
      <c r="K321" s="478" t="str">
        <f t="shared" si="8"/>
        <v/>
      </c>
      <c r="M321" s="478" t="str">
        <f t="shared" si="9"/>
        <v/>
      </c>
    </row>
    <row r="322" spans="1:13" ht="18" hidden="1" customHeight="1">
      <c r="A322" s="177"/>
      <c r="B322" s="177"/>
      <c r="C322" s="177"/>
      <c r="D322" s="179"/>
      <c r="E322" s="179"/>
      <c r="F322" s="179"/>
      <c r="G322" s="179"/>
      <c r="H322" s="179"/>
      <c r="I322" s="179"/>
      <c r="J322" s="179"/>
      <c r="K322" s="478" t="str">
        <f t="shared" si="8"/>
        <v/>
      </c>
      <c r="M322" s="478" t="str">
        <f t="shared" si="9"/>
        <v/>
      </c>
    </row>
    <row r="323" spans="1:13" ht="18" hidden="1" customHeight="1">
      <c r="A323" s="177"/>
      <c r="B323" s="177"/>
      <c r="C323" s="177"/>
      <c r="D323" s="179"/>
      <c r="E323" s="179"/>
      <c r="F323" s="179"/>
      <c r="G323" s="179"/>
      <c r="H323" s="179"/>
      <c r="I323" s="179"/>
      <c r="J323" s="179"/>
      <c r="K323" s="478" t="str">
        <f t="shared" si="8"/>
        <v/>
      </c>
      <c r="M323" s="478" t="str">
        <f t="shared" si="9"/>
        <v/>
      </c>
    </row>
    <row r="324" spans="1:13" ht="18" hidden="1" customHeight="1">
      <c r="A324" s="177"/>
      <c r="B324" s="177"/>
      <c r="C324" s="177"/>
      <c r="D324" s="179"/>
      <c r="E324" s="179"/>
      <c r="F324" s="179"/>
      <c r="G324" s="179"/>
      <c r="H324" s="179"/>
      <c r="I324" s="179"/>
      <c r="J324" s="179"/>
      <c r="K324" s="478" t="str">
        <f t="shared" si="8"/>
        <v/>
      </c>
      <c r="M324" s="478" t="str">
        <f t="shared" si="9"/>
        <v/>
      </c>
    </row>
    <row r="325" spans="1:13" ht="18" hidden="1" customHeight="1">
      <c r="A325" s="177"/>
      <c r="B325" s="177"/>
      <c r="C325" s="177"/>
      <c r="D325" s="179"/>
      <c r="E325" s="179"/>
      <c r="F325" s="179"/>
      <c r="G325" s="179"/>
      <c r="H325" s="179"/>
      <c r="I325" s="179"/>
      <c r="J325" s="179"/>
      <c r="K325" s="478" t="str">
        <f t="shared" si="8"/>
        <v/>
      </c>
      <c r="M325" s="478" t="str">
        <f t="shared" si="9"/>
        <v/>
      </c>
    </row>
    <row r="326" spans="1:13" ht="18" hidden="1" customHeight="1">
      <c r="A326" s="177"/>
      <c r="B326" s="177"/>
      <c r="C326" s="177"/>
      <c r="D326" s="179"/>
      <c r="E326" s="179"/>
      <c r="F326" s="179"/>
      <c r="G326" s="179"/>
      <c r="H326" s="179"/>
      <c r="I326" s="179"/>
      <c r="J326" s="179"/>
      <c r="K326" s="478" t="str">
        <f t="shared" si="8"/>
        <v/>
      </c>
      <c r="M326" s="478" t="str">
        <f t="shared" si="9"/>
        <v/>
      </c>
    </row>
    <row r="327" spans="1:13" ht="18" hidden="1" customHeight="1">
      <c r="A327" s="177"/>
      <c r="B327" s="177"/>
      <c r="C327" s="177"/>
      <c r="D327" s="179"/>
      <c r="E327" s="179"/>
      <c r="F327" s="179"/>
      <c r="G327" s="179"/>
      <c r="H327" s="179"/>
      <c r="I327" s="179"/>
      <c r="J327" s="179"/>
      <c r="K327" s="478" t="str">
        <f t="shared" si="8"/>
        <v/>
      </c>
      <c r="M327" s="478" t="str">
        <f t="shared" si="9"/>
        <v/>
      </c>
    </row>
    <row r="328" spans="1:13" ht="18" hidden="1" customHeight="1">
      <c r="A328" s="177"/>
      <c r="B328" s="177"/>
      <c r="C328" s="177"/>
      <c r="D328" s="179"/>
      <c r="E328" s="179"/>
      <c r="F328" s="179"/>
      <c r="G328" s="179"/>
      <c r="H328" s="179"/>
      <c r="I328" s="179"/>
      <c r="J328" s="179"/>
      <c r="K328" s="478" t="str">
        <f t="shared" si="8"/>
        <v/>
      </c>
      <c r="M328" s="478" t="str">
        <f t="shared" si="9"/>
        <v/>
      </c>
    </row>
    <row r="329" spans="1:13" ht="18" hidden="1" customHeight="1">
      <c r="A329" s="177"/>
      <c r="B329" s="177"/>
      <c r="C329" s="177"/>
      <c r="D329" s="179"/>
      <c r="E329" s="179"/>
      <c r="F329" s="179"/>
      <c r="G329" s="179"/>
      <c r="H329" s="179"/>
      <c r="I329" s="179"/>
      <c r="J329" s="179"/>
      <c r="K329" s="478" t="str">
        <f t="shared" si="8"/>
        <v/>
      </c>
      <c r="M329" s="478" t="str">
        <f t="shared" si="9"/>
        <v/>
      </c>
    </row>
    <row r="330" spans="1:13" ht="18" hidden="1" customHeight="1">
      <c r="A330" s="177"/>
      <c r="B330" s="177"/>
      <c r="C330" s="177"/>
      <c r="D330" s="179"/>
      <c r="E330" s="179"/>
      <c r="F330" s="179"/>
      <c r="G330" s="179"/>
      <c r="H330" s="179"/>
      <c r="I330" s="179"/>
      <c r="J330" s="179"/>
      <c r="K330" s="478" t="str">
        <f t="shared" si="8"/>
        <v/>
      </c>
      <c r="M330" s="478" t="str">
        <f t="shared" si="9"/>
        <v/>
      </c>
    </row>
    <row r="331" spans="1:13" ht="18" hidden="1" customHeight="1">
      <c r="A331" s="177"/>
      <c r="B331" s="177"/>
      <c r="C331" s="177"/>
      <c r="D331" s="179"/>
      <c r="E331" s="179"/>
      <c r="F331" s="179"/>
      <c r="G331" s="179"/>
      <c r="H331" s="179"/>
      <c r="I331" s="179"/>
      <c r="J331" s="179"/>
      <c r="K331" s="478" t="str">
        <f t="shared" si="8"/>
        <v/>
      </c>
      <c r="M331" s="478" t="str">
        <f t="shared" si="9"/>
        <v/>
      </c>
    </row>
    <row r="332" spans="1:13" ht="18" hidden="1" customHeight="1">
      <c r="A332" s="177"/>
      <c r="B332" s="177"/>
      <c r="C332" s="177"/>
      <c r="D332" s="179"/>
      <c r="E332" s="179"/>
      <c r="F332" s="179"/>
      <c r="G332" s="179"/>
      <c r="H332" s="179"/>
      <c r="I332" s="179"/>
      <c r="J332" s="179"/>
      <c r="K332" s="478" t="str">
        <f t="shared" si="8"/>
        <v/>
      </c>
      <c r="M332" s="478" t="str">
        <f t="shared" si="9"/>
        <v/>
      </c>
    </row>
    <row r="333" spans="1:13" ht="18" hidden="1" customHeight="1">
      <c r="A333" s="177"/>
      <c r="B333" s="177"/>
      <c r="C333" s="177"/>
      <c r="D333" s="179"/>
      <c r="E333" s="179"/>
      <c r="F333" s="179"/>
      <c r="G333" s="179"/>
      <c r="H333" s="179"/>
      <c r="I333" s="179"/>
      <c r="J333" s="179"/>
      <c r="K333" s="478" t="str">
        <f t="shared" ref="K333:K354" si="10">IFERROR(AVERAGEIF(D333:J333,"&gt;0",D333:J333),"")</f>
        <v/>
      </c>
      <c r="M333" s="478" t="str">
        <f t="shared" ref="M333:M353" si="11">IFERROR(MEDIAN(D333:J333),"")</f>
        <v/>
      </c>
    </row>
    <row r="334" spans="1:13" ht="18" hidden="1" customHeight="1">
      <c r="A334" s="177"/>
      <c r="B334" s="177"/>
      <c r="C334" s="177"/>
      <c r="D334" s="179"/>
      <c r="E334" s="179"/>
      <c r="F334" s="179"/>
      <c r="G334" s="179"/>
      <c r="H334" s="179"/>
      <c r="I334" s="179"/>
      <c r="J334" s="179"/>
      <c r="K334" s="478" t="str">
        <f t="shared" si="10"/>
        <v/>
      </c>
      <c r="M334" s="478" t="str">
        <f t="shared" si="11"/>
        <v/>
      </c>
    </row>
    <row r="335" spans="1:13" ht="18" hidden="1" customHeight="1">
      <c r="A335" s="177"/>
      <c r="B335" s="177"/>
      <c r="C335" s="177"/>
      <c r="D335" s="179"/>
      <c r="E335" s="179"/>
      <c r="F335" s="179"/>
      <c r="G335" s="179"/>
      <c r="H335" s="179"/>
      <c r="I335" s="179"/>
      <c r="J335" s="179"/>
      <c r="K335" s="478" t="str">
        <f t="shared" si="10"/>
        <v/>
      </c>
      <c r="M335" s="478" t="str">
        <f t="shared" si="11"/>
        <v/>
      </c>
    </row>
    <row r="336" spans="1:13" ht="18" hidden="1" customHeight="1">
      <c r="A336" s="177"/>
      <c r="B336" s="177"/>
      <c r="C336" s="177"/>
      <c r="D336" s="179"/>
      <c r="E336" s="179"/>
      <c r="F336" s="179"/>
      <c r="G336" s="179"/>
      <c r="H336" s="179"/>
      <c r="I336" s="179"/>
      <c r="J336" s="179"/>
      <c r="K336" s="478" t="str">
        <f t="shared" si="10"/>
        <v/>
      </c>
      <c r="M336" s="478" t="str">
        <f t="shared" si="11"/>
        <v/>
      </c>
    </row>
    <row r="337" spans="1:13" ht="18" hidden="1" customHeight="1">
      <c r="A337" s="177"/>
      <c r="B337" s="177"/>
      <c r="C337" s="177"/>
      <c r="D337" s="179"/>
      <c r="E337" s="179"/>
      <c r="F337" s="179"/>
      <c r="G337" s="179"/>
      <c r="H337" s="179"/>
      <c r="I337" s="179"/>
      <c r="J337" s="179"/>
      <c r="K337" s="478" t="str">
        <f t="shared" si="10"/>
        <v/>
      </c>
      <c r="M337" s="478" t="str">
        <f t="shared" si="11"/>
        <v/>
      </c>
    </row>
    <row r="338" spans="1:13" ht="18" hidden="1" customHeight="1">
      <c r="A338" s="177"/>
      <c r="B338" s="177"/>
      <c r="C338" s="177"/>
      <c r="D338" s="179"/>
      <c r="E338" s="179"/>
      <c r="F338" s="179"/>
      <c r="G338" s="179"/>
      <c r="H338" s="179"/>
      <c r="I338" s="179"/>
      <c r="J338" s="179"/>
      <c r="K338" s="478" t="str">
        <f t="shared" si="10"/>
        <v/>
      </c>
      <c r="M338" s="478" t="str">
        <f t="shared" si="11"/>
        <v/>
      </c>
    </row>
    <row r="339" spans="1:13" ht="18" hidden="1" customHeight="1">
      <c r="A339" s="177"/>
      <c r="B339" s="177"/>
      <c r="C339" s="177"/>
      <c r="D339" s="179"/>
      <c r="E339" s="179"/>
      <c r="F339" s="179"/>
      <c r="G339" s="179"/>
      <c r="H339" s="179"/>
      <c r="I339" s="179"/>
      <c r="J339" s="179"/>
      <c r="K339" s="478" t="str">
        <f t="shared" si="10"/>
        <v/>
      </c>
      <c r="M339" s="478" t="str">
        <f t="shared" si="11"/>
        <v/>
      </c>
    </row>
    <row r="340" spans="1:13" ht="18" hidden="1" customHeight="1">
      <c r="A340" s="177"/>
      <c r="B340" s="177"/>
      <c r="C340" s="177"/>
      <c r="D340" s="179"/>
      <c r="E340" s="179"/>
      <c r="F340" s="179"/>
      <c r="G340" s="179"/>
      <c r="H340" s="179"/>
      <c r="I340" s="179"/>
      <c r="J340" s="179"/>
      <c r="K340" s="478" t="str">
        <f t="shared" si="10"/>
        <v/>
      </c>
      <c r="M340" s="478" t="str">
        <f t="shared" si="11"/>
        <v/>
      </c>
    </row>
    <row r="341" spans="1:13" ht="18" hidden="1" customHeight="1">
      <c r="A341" s="177"/>
      <c r="B341" s="177"/>
      <c r="C341" s="177"/>
      <c r="D341" s="179"/>
      <c r="E341" s="179"/>
      <c r="F341" s="179"/>
      <c r="G341" s="179"/>
      <c r="H341" s="179"/>
      <c r="I341" s="179"/>
      <c r="J341" s="179"/>
      <c r="K341" s="478" t="str">
        <f t="shared" si="10"/>
        <v/>
      </c>
      <c r="M341" s="478" t="str">
        <f t="shared" si="11"/>
        <v/>
      </c>
    </row>
    <row r="342" spans="1:13" ht="18" hidden="1" customHeight="1">
      <c r="A342" s="177"/>
      <c r="B342" s="177"/>
      <c r="C342" s="177"/>
      <c r="D342" s="179"/>
      <c r="E342" s="179"/>
      <c r="F342" s="179"/>
      <c r="G342" s="179"/>
      <c r="H342" s="179"/>
      <c r="I342" s="179"/>
      <c r="J342" s="179"/>
      <c r="K342" s="478" t="str">
        <f t="shared" si="10"/>
        <v/>
      </c>
      <c r="M342" s="478" t="str">
        <f t="shared" si="11"/>
        <v/>
      </c>
    </row>
    <row r="343" spans="1:13" ht="18" hidden="1" customHeight="1">
      <c r="A343" s="177"/>
      <c r="B343" s="177"/>
      <c r="C343" s="177"/>
      <c r="D343" s="179"/>
      <c r="E343" s="179"/>
      <c r="F343" s="179"/>
      <c r="G343" s="179"/>
      <c r="H343" s="179"/>
      <c r="I343" s="179"/>
      <c r="J343" s="179"/>
      <c r="K343" s="478" t="str">
        <f t="shared" si="10"/>
        <v/>
      </c>
      <c r="M343" s="478" t="str">
        <f t="shared" si="11"/>
        <v/>
      </c>
    </row>
    <row r="344" spans="1:13" ht="18" hidden="1" customHeight="1">
      <c r="A344" s="177"/>
      <c r="B344" s="177"/>
      <c r="C344" s="177"/>
      <c r="D344" s="179"/>
      <c r="E344" s="179"/>
      <c r="F344" s="179"/>
      <c r="G344" s="179"/>
      <c r="H344" s="179"/>
      <c r="I344" s="179"/>
      <c r="J344" s="179"/>
      <c r="K344" s="478" t="str">
        <f t="shared" si="10"/>
        <v/>
      </c>
      <c r="M344" s="478" t="str">
        <f t="shared" si="11"/>
        <v/>
      </c>
    </row>
    <row r="345" spans="1:13" ht="18" hidden="1" customHeight="1">
      <c r="A345" s="177"/>
      <c r="B345" s="177"/>
      <c r="C345" s="177"/>
      <c r="D345" s="179"/>
      <c r="E345" s="179"/>
      <c r="F345" s="179"/>
      <c r="G345" s="179"/>
      <c r="H345" s="179"/>
      <c r="I345" s="179"/>
      <c r="J345" s="179"/>
      <c r="K345" s="478" t="str">
        <f t="shared" si="10"/>
        <v/>
      </c>
      <c r="M345" s="478" t="str">
        <f t="shared" si="11"/>
        <v/>
      </c>
    </row>
    <row r="346" spans="1:13" ht="18" hidden="1" customHeight="1">
      <c r="A346" s="177"/>
      <c r="B346" s="177"/>
      <c r="C346" s="177"/>
      <c r="D346" s="179"/>
      <c r="E346" s="179"/>
      <c r="F346" s="179"/>
      <c r="G346" s="179"/>
      <c r="H346" s="179"/>
      <c r="I346" s="179"/>
      <c r="J346" s="179"/>
      <c r="K346" s="478" t="str">
        <f t="shared" si="10"/>
        <v/>
      </c>
      <c r="M346" s="478" t="str">
        <f t="shared" si="11"/>
        <v/>
      </c>
    </row>
    <row r="347" spans="1:13" ht="18" hidden="1" customHeight="1">
      <c r="A347" s="177"/>
      <c r="B347" s="177"/>
      <c r="C347" s="177"/>
      <c r="D347" s="179"/>
      <c r="E347" s="179"/>
      <c r="F347" s="179"/>
      <c r="G347" s="179"/>
      <c r="H347" s="179"/>
      <c r="I347" s="179"/>
      <c r="J347" s="179"/>
      <c r="K347" s="478" t="str">
        <f t="shared" si="10"/>
        <v/>
      </c>
      <c r="M347" s="478" t="str">
        <f t="shared" si="11"/>
        <v/>
      </c>
    </row>
    <row r="348" spans="1:13" ht="18" hidden="1" customHeight="1">
      <c r="A348" s="177"/>
      <c r="B348" s="177"/>
      <c r="C348" s="177"/>
      <c r="D348" s="179"/>
      <c r="E348" s="179"/>
      <c r="F348" s="179"/>
      <c r="G348" s="179"/>
      <c r="H348" s="179"/>
      <c r="I348" s="179"/>
      <c r="J348" s="179"/>
      <c r="K348" s="478" t="str">
        <f t="shared" si="10"/>
        <v/>
      </c>
      <c r="M348" s="478" t="str">
        <f t="shared" si="11"/>
        <v/>
      </c>
    </row>
    <row r="349" spans="1:13" ht="18" hidden="1" customHeight="1">
      <c r="A349" s="177"/>
      <c r="B349" s="177"/>
      <c r="C349" s="177"/>
      <c r="D349" s="179"/>
      <c r="E349" s="179"/>
      <c r="F349" s="179"/>
      <c r="G349" s="179"/>
      <c r="H349" s="179"/>
      <c r="I349" s="179"/>
      <c r="J349" s="179"/>
      <c r="K349" s="478" t="str">
        <f t="shared" si="10"/>
        <v/>
      </c>
      <c r="M349" s="478" t="str">
        <f t="shared" si="11"/>
        <v/>
      </c>
    </row>
    <row r="350" spans="1:13" ht="18" hidden="1" customHeight="1">
      <c r="A350" s="177"/>
      <c r="B350" s="177"/>
      <c r="C350" s="177"/>
      <c r="D350" s="179"/>
      <c r="E350" s="179"/>
      <c r="F350" s="179"/>
      <c r="G350" s="179"/>
      <c r="H350" s="179"/>
      <c r="I350" s="179"/>
      <c r="J350" s="179"/>
      <c r="K350" s="478" t="str">
        <f t="shared" si="10"/>
        <v/>
      </c>
      <c r="M350" s="478" t="str">
        <f t="shared" si="11"/>
        <v/>
      </c>
    </row>
    <row r="351" spans="1:13" ht="18" hidden="1" customHeight="1">
      <c r="A351" s="177"/>
      <c r="B351" s="177"/>
      <c r="C351" s="177"/>
      <c r="D351" s="179"/>
      <c r="E351" s="179"/>
      <c r="F351" s="179"/>
      <c r="G351" s="179"/>
      <c r="H351" s="179"/>
      <c r="I351" s="179"/>
      <c r="J351" s="179"/>
      <c r="K351" s="478" t="str">
        <f t="shared" si="10"/>
        <v/>
      </c>
      <c r="M351" s="478" t="str">
        <f t="shared" si="11"/>
        <v/>
      </c>
    </row>
    <row r="352" spans="1:13" ht="18" hidden="1" customHeight="1">
      <c r="A352" s="177"/>
      <c r="B352" s="177"/>
      <c r="C352" s="177"/>
      <c r="D352" s="179"/>
      <c r="E352" s="179"/>
      <c r="F352" s="179"/>
      <c r="G352" s="179"/>
      <c r="H352" s="179"/>
      <c r="I352" s="179"/>
      <c r="J352" s="179"/>
      <c r="K352" s="478" t="str">
        <f t="shared" si="10"/>
        <v/>
      </c>
      <c r="M352" s="478" t="str">
        <f t="shared" si="11"/>
        <v/>
      </c>
    </row>
    <row r="353" spans="1:13" ht="18" hidden="1" customHeight="1">
      <c r="A353" s="177"/>
      <c r="B353" s="177"/>
      <c r="C353" s="177"/>
      <c r="D353" s="179"/>
      <c r="E353" s="179"/>
      <c r="F353" s="179"/>
      <c r="G353" s="179"/>
      <c r="H353" s="179"/>
      <c r="I353" s="179"/>
      <c r="J353" s="179"/>
      <c r="K353" s="478" t="str">
        <f t="shared" si="10"/>
        <v/>
      </c>
      <c r="M353" s="478" t="str">
        <f t="shared" si="11"/>
        <v/>
      </c>
    </row>
    <row r="354" spans="1:13" ht="18" hidden="1" customHeight="1">
      <c r="A354" s="177"/>
      <c r="B354" s="177"/>
      <c r="C354" s="177"/>
      <c r="D354" s="179"/>
      <c r="E354" s="179"/>
      <c r="F354" s="179"/>
      <c r="G354" s="179"/>
      <c r="H354" s="179"/>
      <c r="I354" s="179"/>
      <c r="J354" s="179"/>
      <c r="K354" s="478" t="str">
        <f t="shared" si="10"/>
        <v/>
      </c>
      <c r="M354" s="478" t="str">
        <f>IFERROR(MEDIAN(D354:J354),"")</f>
        <v/>
      </c>
    </row>
    <row r="355" spans="1:13" ht="20.100000000000001" customHeight="1" thickBot="1"/>
    <row r="356" spans="1:13" ht="34.5" customHeight="1" thickBot="1">
      <c r="A356" s="1259" t="s">
        <v>501</v>
      </c>
      <c r="B356" s="1260"/>
      <c r="C356" s="1260"/>
      <c r="D356" s="1260"/>
      <c r="E356" s="1260"/>
      <c r="F356" s="1260"/>
      <c r="G356" s="1260"/>
      <c r="H356" s="1260"/>
      <c r="I356" s="1260"/>
      <c r="J356" s="1260"/>
      <c r="K356" s="1261"/>
    </row>
  </sheetData>
  <sheetProtection algorithmName="SHA-512" hashValue="HT4YKhAfoKQc10bmMHYHny1lUMcovQHdYf8Lr9OfhrNoAYgnjzqwGus5XWD/6ENXBSLNhwoT04ZK/iLOeiE56g==" saltValue="DTYwrU1bOhsCA1LBnMm8vQ==" spinCount="100000" sheet="1" objects="1" scenarios="1" formatCells="0" formatColumns="0" formatRows="0" insertColumns="0" insertRows="0" insertHyperlinks="0" deleteColumns="0" deleteRows="0" sort="0" autoFilter="0" pivotTables="0"/>
  <mergeCells count="12">
    <mergeCell ref="A356:K356"/>
    <mergeCell ref="A9:C9"/>
    <mergeCell ref="A10:C10"/>
    <mergeCell ref="B1:K1"/>
    <mergeCell ref="B2:K2"/>
    <mergeCell ref="B3:H3"/>
    <mergeCell ref="I3:K3"/>
    <mergeCell ref="A1:A3"/>
    <mergeCell ref="A5:C5"/>
    <mergeCell ref="A6:C6"/>
    <mergeCell ref="D5:K5"/>
    <mergeCell ref="D6:K6"/>
  </mergeCells>
  <hyperlinks>
    <hyperlink ref="L1" location="ins" display="Instructivo" xr:uid="{00000000-0004-0000-0900-000000000000}"/>
  </hyperlinks>
  <printOptions horizontalCentered="1"/>
  <pageMargins left="0" right="0" top="0" bottom="0" header="0" footer="0"/>
  <pageSetup scale="57" fitToHeight="0" orientation="landscape" horizontalDpi="4294967295" verticalDpi="4294967295"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8">
    <tabColor theme="5" tint="0.39997558519241921"/>
    <pageSetUpPr fitToPage="1"/>
  </sheetPr>
  <dimension ref="A1:AZ302"/>
  <sheetViews>
    <sheetView showGridLines="0" zoomScaleNormal="100" workbookViewId="0">
      <selection activeCell="B2" sqref="B2:F2"/>
    </sheetView>
  </sheetViews>
  <sheetFormatPr defaultColWidth="11.5" defaultRowHeight="18" customHeight="1"/>
  <cols>
    <col min="1" max="1" width="38.83203125" style="221" customWidth="1"/>
    <col min="2" max="2" width="21.6640625" style="221" customWidth="1"/>
    <col min="3" max="3" width="18.6640625" style="221" customWidth="1"/>
    <col min="4" max="4" width="19.1640625" style="229" customWidth="1"/>
    <col min="5" max="5" width="25.33203125" style="229" customWidth="1"/>
    <col min="6" max="6" width="11.5" style="221" customWidth="1"/>
    <col min="7" max="7" width="20.83203125" style="220" customWidth="1"/>
    <col min="8" max="8" width="16.33203125" style="220" bestFit="1" customWidth="1"/>
    <col min="9" max="52" width="11.5" style="220"/>
    <col min="53" max="16384" width="11.5" style="221"/>
  </cols>
  <sheetData>
    <row r="1" spans="1:9" ht="18" customHeight="1">
      <c r="A1" s="1271"/>
      <c r="B1" s="1274" t="s">
        <v>0</v>
      </c>
      <c r="C1" s="1275"/>
      <c r="D1" s="1275"/>
      <c r="E1" s="1275"/>
      <c r="F1" s="1276"/>
      <c r="G1" s="480" t="s">
        <v>104</v>
      </c>
      <c r="H1" s="65"/>
    </row>
    <row r="2" spans="1:9" ht="18" customHeight="1">
      <c r="A2" s="1272"/>
      <c r="B2" s="1277" t="s">
        <v>502</v>
      </c>
      <c r="C2" s="1278"/>
      <c r="D2" s="1278"/>
      <c r="E2" s="1278"/>
      <c r="F2" s="1279"/>
      <c r="G2" s="481" t="s">
        <v>23</v>
      </c>
    </row>
    <row r="3" spans="1:9" ht="18" customHeight="1" thickBot="1">
      <c r="A3" s="1273"/>
      <c r="B3" s="1083" t="s">
        <v>2</v>
      </c>
      <c r="C3" s="1108"/>
      <c r="D3" s="1082" t="s">
        <v>3</v>
      </c>
      <c r="E3" s="1082"/>
      <c r="F3" s="1123"/>
      <c r="G3" s="70"/>
    </row>
    <row r="4" spans="1:9" s="220" customFormat="1" ht="18" customHeight="1" thickBot="1">
      <c r="A4" s="257"/>
      <c r="B4" s="70"/>
      <c r="C4" s="70"/>
      <c r="D4" s="70"/>
      <c r="E4" s="70"/>
      <c r="F4" s="70"/>
      <c r="G4" s="70"/>
    </row>
    <row r="5" spans="1:9" s="220" customFormat="1" ht="26.25" customHeight="1" thickBot="1">
      <c r="A5" s="646" t="s">
        <v>107</v>
      </c>
      <c r="B5" s="1090" t="str">
        <f>'Plan Ejecución'!AE5</f>
        <v>CONTRATACIÓN DIRECTA</v>
      </c>
      <c r="C5" s="1091"/>
      <c r="D5" s="1091"/>
      <c r="E5" s="1091"/>
      <c r="F5" s="1092"/>
      <c r="G5" s="647"/>
      <c r="H5" s="647"/>
      <c r="I5" s="647"/>
    </row>
    <row r="6" spans="1:9" s="220" customFormat="1" ht="43.5" customHeight="1" thickBot="1">
      <c r="A6" s="646" t="s">
        <v>109</v>
      </c>
      <c r="B6" s="1168" t="str">
        <f>'Plan Ejecución'!AE6</f>
        <v xml:space="preserve"> "“SOPORTE, MANTENIMIENTO Y ACTUALIZACIÓN DEL VISOR GEOGRÁFICO – AÑO 2025"</v>
      </c>
      <c r="C6" s="1169"/>
      <c r="D6" s="1169"/>
      <c r="E6" s="1169"/>
      <c r="F6" s="1170"/>
      <c r="G6" s="647"/>
      <c r="H6" s="647"/>
      <c r="I6" s="647"/>
    </row>
    <row r="7" spans="1:9" s="220" customFormat="1" ht="18" customHeight="1" thickBot="1">
      <c r="A7" s="257"/>
      <c r="B7" s="70"/>
      <c r="C7" s="70"/>
      <c r="D7" s="70"/>
      <c r="E7" s="70"/>
      <c r="F7" s="70"/>
      <c r="G7" s="70"/>
    </row>
    <row r="8" spans="1:9" ht="30.75" customHeight="1" thickBot="1">
      <c r="A8" s="369" t="s">
        <v>503</v>
      </c>
      <c r="B8" s="751"/>
      <c r="D8" s="223" t="s">
        <v>504</v>
      </c>
      <c r="E8" s="752"/>
      <c r="F8" s="220"/>
    </row>
    <row r="9" spans="1:9" ht="18" customHeight="1" thickBot="1">
      <c r="A9" s="224"/>
      <c r="B9" s="220"/>
      <c r="C9" s="220"/>
      <c r="D9" s="222"/>
      <c r="E9" s="222"/>
      <c r="F9" s="220"/>
    </row>
    <row r="10" spans="1:9" ht="18" customHeight="1">
      <c r="A10" s="1069" t="s">
        <v>505</v>
      </c>
      <c r="B10" s="1070"/>
      <c r="C10" s="1070"/>
      <c r="D10" s="1070"/>
      <c r="E10" s="1070"/>
      <c r="F10" s="1071"/>
      <c r="G10" s="159"/>
    </row>
    <row r="11" spans="1:9" ht="25.5" customHeight="1">
      <c r="A11" s="225" t="s">
        <v>391</v>
      </c>
      <c r="B11" s="117" t="s">
        <v>122</v>
      </c>
      <c r="C11" s="117" t="s">
        <v>394</v>
      </c>
      <c r="D11" s="207" t="s">
        <v>405</v>
      </c>
      <c r="E11" s="207" t="s">
        <v>397</v>
      </c>
      <c r="F11" s="130" t="s">
        <v>398</v>
      </c>
      <c r="G11" s="226"/>
    </row>
    <row r="12" spans="1:9" ht="18" customHeight="1">
      <c r="A12" s="60"/>
      <c r="B12" s="61"/>
      <c r="C12" s="753"/>
      <c r="D12" s="59"/>
      <c r="E12" s="59">
        <f>C12*D12</f>
        <v>0</v>
      </c>
      <c r="F12" s="482">
        <f>IFERROR(E12/$B$8,0)</f>
        <v>0</v>
      </c>
      <c r="G12" s="227"/>
    </row>
    <row r="13" spans="1:9" ht="18" customHeight="1">
      <c r="A13" s="60"/>
      <c r="B13" s="61"/>
      <c r="C13" s="754"/>
      <c r="D13" s="59"/>
      <c r="E13" s="59">
        <f t="shared" ref="E13:E48" si="0">C13*D13</f>
        <v>0</v>
      </c>
      <c r="F13" s="482">
        <f t="shared" ref="F13:F59" si="1">IFERROR(E13/$B$8,0)</f>
        <v>0</v>
      </c>
      <c r="G13" s="227"/>
    </row>
    <row r="14" spans="1:9" ht="18" customHeight="1">
      <c r="A14" s="60"/>
      <c r="B14" s="61"/>
      <c r="C14" s="754"/>
      <c r="D14" s="59"/>
      <c r="E14" s="59">
        <f t="shared" ref="E14:E46" si="2">C14*D14</f>
        <v>0</v>
      </c>
      <c r="F14" s="482">
        <f t="shared" ref="F14:F46" si="3">IFERROR(E14/$B$8,0)</f>
        <v>0</v>
      </c>
      <c r="G14" s="227"/>
    </row>
    <row r="15" spans="1:9" ht="18" customHeight="1">
      <c r="A15" s="60"/>
      <c r="B15" s="61"/>
      <c r="C15" s="754"/>
      <c r="D15" s="59"/>
      <c r="E15" s="59">
        <f t="shared" si="2"/>
        <v>0</v>
      </c>
      <c r="F15" s="482">
        <f t="shared" si="3"/>
        <v>0</v>
      </c>
      <c r="G15" s="227"/>
    </row>
    <row r="16" spans="1:9" ht="18" customHeight="1">
      <c r="A16" s="60"/>
      <c r="B16" s="61"/>
      <c r="C16" s="754"/>
      <c r="D16" s="59"/>
      <c r="E16" s="59">
        <f t="shared" si="2"/>
        <v>0</v>
      </c>
      <c r="F16" s="482">
        <f t="shared" si="3"/>
        <v>0</v>
      </c>
      <c r="G16" s="227"/>
    </row>
    <row r="17" spans="1:7" ht="18" customHeight="1">
      <c r="A17" s="60"/>
      <c r="B17" s="61"/>
      <c r="C17" s="754"/>
      <c r="D17" s="59"/>
      <c r="E17" s="59">
        <f t="shared" si="2"/>
        <v>0</v>
      </c>
      <c r="F17" s="482">
        <f t="shared" si="3"/>
        <v>0</v>
      </c>
      <c r="G17" s="227"/>
    </row>
    <row r="18" spans="1:7" ht="18" customHeight="1">
      <c r="A18" s="60"/>
      <c r="B18" s="61"/>
      <c r="C18" s="754"/>
      <c r="D18" s="59"/>
      <c r="E18" s="59">
        <f t="shared" si="2"/>
        <v>0</v>
      </c>
      <c r="F18" s="482">
        <f t="shared" si="3"/>
        <v>0</v>
      </c>
      <c r="G18" s="227"/>
    </row>
    <row r="19" spans="1:7" ht="18" customHeight="1">
      <c r="A19" s="60"/>
      <c r="B19" s="61"/>
      <c r="C19" s="754"/>
      <c r="D19" s="59"/>
      <c r="E19" s="59">
        <f t="shared" si="2"/>
        <v>0</v>
      </c>
      <c r="F19" s="482">
        <f t="shared" si="3"/>
        <v>0</v>
      </c>
      <c r="G19" s="227"/>
    </row>
    <row r="20" spans="1:7" ht="18" customHeight="1">
      <c r="A20" s="60"/>
      <c r="B20" s="61"/>
      <c r="C20" s="754"/>
      <c r="D20" s="59"/>
      <c r="E20" s="59">
        <f t="shared" si="2"/>
        <v>0</v>
      </c>
      <c r="F20" s="482">
        <f t="shared" si="3"/>
        <v>0</v>
      </c>
      <c r="G20" s="227"/>
    </row>
    <row r="21" spans="1:7" ht="18" hidden="1" customHeight="1">
      <c r="A21" s="60"/>
      <c r="B21" s="61"/>
      <c r="C21" s="754"/>
      <c r="D21" s="59"/>
      <c r="E21" s="59">
        <f t="shared" si="2"/>
        <v>0</v>
      </c>
      <c r="F21" s="482">
        <f t="shared" si="3"/>
        <v>0</v>
      </c>
      <c r="G21" s="227"/>
    </row>
    <row r="22" spans="1:7" ht="18" hidden="1" customHeight="1">
      <c r="A22" s="60"/>
      <c r="B22" s="61"/>
      <c r="C22" s="754"/>
      <c r="D22" s="59"/>
      <c r="E22" s="59">
        <f t="shared" si="2"/>
        <v>0</v>
      </c>
      <c r="F22" s="482">
        <f t="shared" si="3"/>
        <v>0</v>
      </c>
      <c r="G22" s="227"/>
    </row>
    <row r="23" spans="1:7" ht="18" hidden="1" customHeight="1">
      <c r="A23" s="60"/>
      <c r="B23" s="61"/>
      <c r="C23" s="754"/>
      <c r="D23" s="59"/>
      <c r="E23" s="59">
        <f t="shared" si="2"/>
        <v>0</v>
      </c>
      <c r="F23" s="482">
        <f t="shared" si="3"/>
        <v>0</v>
      </c>
      <c r="G23" s="227"/>
    </row>
    <row r="24" spans="1:7" ht="18" hidden="1" customHeight="1">
      <c r="A24" s="60"/>
      <c r="B24" s="61"/>
      <c r="C24" s="754"/>
      <c r="D24" s="59"/>
      <c r="E24" s="59">
        <f t="shared" si="2"/>
        <v>0</v>
      </c>
      <c r="F24" s="482">
        <f t="shared" si="3"/>
        <v>0</v>
      </c>
      <c r="G24" s="227"/>
    </row>
    <row r="25" spans="1:7" ht="18" hidden="1" customHeight="1">
      <c r="A25" s="60"/>
      <c r="B25" s="61"/>
      <c r="C25" s="754"/>
      <c r="D25" s="59"/>
      <c r="E25" s="59">
        <f t="shared" si="2"/>
        <v>0</v>
      </c>
      <c r="F25" s="482">
        <f t="shared" si="3"/>
        <v>0</v>
      </c>
      <c r="G25" s="227"/>
    </row>
    <row r="26" spans="1:7" ht="18" hidden="1" customHeight="1">
      <c r="A26" s="60"/>
      <c r="B26" s="61"/>
      <c r="C26" s="754"/>
      <c r="D26" s="59"/>
      <c r="E26" s="59">
        <f t="shared" si="2"/>
        <v>0</v>
      </c>
      <c r="F26" s="482">
        <f t="shared" si="3"/>
        <v>0</v>
      </c>
      <c r="G26" s="227"/>
    </row>
    <row r="27" spans="1:7" ht="18" hidden="1" customHeight="1">
      <c r="A27" s="60"/>
      <c r="B27" s="61"/>
      <c r="C27" s="754"/>
      <c r="D27" s="59"/>
      <c r="E27" s="59">
        <f t="shared" si="2"/>
        <v>0</v>
      </c>
      <c r="F27" s="482">
        <f t="shared" si="3"/>
        <v>0</v>
      </c>
      <c r="G27" s="227"/>
    </row>
    <row r="28" spans="1:7" ht="18" hidden="1" customHeight="1">
      <c r="A28" s="60"/>
      <c r="B28" s="61"/>
      <c r="C28" s="754"/>
      <c r="D28" s="59"/>
      <c r="E28" s="59">
        <f t="shared" si="2"/>
        <v>0</v>
      </c>
      <c r="F28" s="482">
        <f t="shared" si="3"/>
        <v>0</v>
      </c>
      <c r="G28" s="227"/>
    </row>
    <row r="29" spans="1:7" ht="18" hidden="1" customHeight="1">
      <c r="A29" s="60"/>
      <c r="B29" s="61"/>
      <c r="C29" s="754"/>
      <c r="D29" s="59"/>
      <c r="E29" s="59">
        <f t="shared" si="2"/>
        <v>0</v>
      </c>
      <c r="F29" s="482">
        <f t="shared" si="3"/>
        <v>0</v>
      </c>
      <c r="G29" s="227"/>
    </row>
    <row r="30" spans="1:7" ht="18" hidden="1" customHeight="1">
      <c r="A30" s="60"/>
      <c r="B30" s="61"/>
      <c r="C30" s="754"/>
      <c r="D30" s="59"/>
      <c r="E30" s="59">
        <f t="shared" si="2"/>
        <v>0</v>
      </c>
      <c r="F30" s="482">
        <f t="shared" si="3"/>
        <v>0</v>
      </c>
      <c r="G30" s="227"/>
    </row>
    <row r="31" spans="1:7" ht="18" hidden="1" customHeight="1">
      <c r="A31" s="60"/>
      <c r="B31" s="61"/>
      <c r="C31" s="754"/>
      <c r="D31" s="59"/>
      <c r="E31" s="59">
        <f t="shared" si="2"/>
        <v>0</v>
      </c>
      <c r="F31" s="482">
        <f t="shared" si="3"/>
        <v>0</v>
      </c>
      <c r="G31" s="227"/>
    </row>
    <row r="32" spans="1:7" ht="18" hidden="1" customHeight="1">
      <c r="A32" s="60"/>
      <c r="B32" s="61"/>
      <c r="C32" s="754"/>
      <c r="D32" s="59"/>
      <c r="E32" s="59">
        <f t="shared" si="2"/>
        <v>0</v>
      </c>
      <c r="F32" s="482">
        <f t="shared" si="3"/>
        <v>0</v>
      </c>
      <c r="G32" s="227"/>
    </row>
    <row r="33" spans="1:7" ht="18" hidden="1" customHeight="1">
      <c r="A33" s="60"/>
      <c r="B33" s="61"/>
      <c r="C33" s="754"/>
      <c r="D33" s="59"/>
      <c r="E33" s="59">
        <f t="shared" si="2"/>
        <v>0</v>
      </c>
      <c r="F33" s="482">
        <f t="shared" si="3"/>
        <v>0</v>
      </c>
      <c r="G33" s="227"/>
    </row>
    <row r="34" spans="1:7" ht="18" hidden="1" customHeight="1">
      <c r="A34" s="60"/>
      <c r="B34" s="61"/>
      <c r="C34" s="754"/>
      <c r="D34" s="59"/>
      <c r="E34" s="59">
        <f t="shared" si="2"/>
        <v>0</v>
      </c>
      <c r="F34" s="482">
        <f t="shared" si="3"/>
        <v>0</v>
      </c>
      <c r="G34" s="227"/>
    </row>
    <row r="35" spans="1:7" ht="18" hidden="1" customHeight="1">
      <c r="A35" s="60"/>
      <c r="B35" s="61"/>
      <c r="C35" s="754"/>
      <c r="D35" s="59"/>
      <c r="E35" s="59">
        <f t="shared" si="2"/>
        <v>0</v>
      </c>
      <c r="F35" s="482">
        <f t="shared" si="3"/>
        <v>0</v>
      </c>
      <c r="G35" s="227"/>
    </row>
    <row r="36" spans="1:7" ht="18" hidden="1" customHeight="1">
      <c r="A36" s="60"/>
      <c r="B36" s="61"/>
      <c r="C36" s="754"/>
      <c r="D36" s="59"/>
      <c r="E36" s="59">
        <f t="shared" si="2"/>
        <v>0</v>
      </c>
      <c r="F36" s="482">
        <f t="shared" si="3"/>
        <v>0</v>
      </c>
      <c r="G36" s="227"/>
    </row>
    <row r="37" spans="1:7" ht="18" hidden="1" customHeight="1">
      <c r="A37" s="60"/>
      <c r="B37" s="61"/>
      <c r="C37" s="754"/>
      <c r="D37" s="59"/>
      <c r="E37" s="59">
        <f t="shared" si="2"/>
        <v>0</v>
      </c>
      <c r="F37" s="482">
        <f t="shared" si="3"/>
        <v>0</v>
      </c>
      <c r="G37" s="227"/>
    </row>
    <row r="38" spans="1:7" ht="18" hidden="1" customHeight="1">
      <c r="A38" s="60"/>
      <c r="B38" s="61"/>
      <c r="C38" s="754"/>
      <c r="D38" s="59"/>
      <c r="E38" s="59">
        <f t="shared" si="2"/>
        <v>0</v>
      </c>
      <c r="F38" s="482">
        <f t="shared" si="3"/>
        <v>0</v>
      </c>
      <c r="G38" s="227"/>
    </row>
    <row r="39" spans="1:7" ht="18" hidden="1" customHeight="1">
      <c r="A39" s="60"/>
      <c r="B39" s="61"/>
      <c r="C39" s="754"/>
      <c r="D39" s="59"/>
      <c r="E39" s="59">
        <f t="shared" si="2"/>
        <v>0</v>
      </c>
      <c r="F39" s="482">
        <f t="shared" si="3"/>
        <v>0</v>
      </c>
      <c r="G39" s="227"/>
    </row>
    <row r="40" spans="1:7" ht="18" hidden="1" customHeight="1">
      <c r="A40" s="60"/>
      <c r="B40" s="61"/>
      <c r="C40" s="754"/>
      <c r="D40" s="59"/>
      <c r="E40" s="59">
        <f t="shared" si="2"/>
        <v>0</v>
      </c>
      <c r="F40" s="482">
        <f t="shared" si="3"/>
        <v>0</v>
      </c>
      <c r="G40" s="227"/>
    </row>
    <row r="41" spans="1:7" ht="18" hidden="1" customHeight="1">
      <c r="A41" s="60"/>
      <c r="B41" s="61"/>
      <c r="C41" s="754"/>
      <c r="D41" s="59"/>
      <c r="E41" s="59">
        <f t="shared" si="2"/>
        <v>0</v>
      </c>
      <c r="F41" s="482">
        <f t="shared" si="3"/>
        <v>0</v>
      </c>
      <c r="G41" s="227"/>
    </row>
    <row r="42" spans="1:7" ht="18" hidden="1" customHeight="1">
      <c r="A42" s="60"/>
      <c r="B42" s="61"/>
      <c r="C42" s="754"/>
      <c r="D42" s="59"/>
      <c r="E42" s="59">
        <f t="shared" si="2"/>
        <v>0</v>
      </c>
      <c r="F42" s="482">
        <f t="shared" si="3"/>
        <v>0</v>
      </c>
      <c r="G42" s="227"/>
    </row>
    <row r="43" spans="1:7" ht="18" hidden="1" customHeight="1">
      <c r="A43" s="60"/>
      <c r="B43" s="61"/>
      <c r="C43" s="754"/>
      <c r="D43" s="59"/>
      <c r="E43" s="59">
        <f t="shared" si="2"/>
        <v>0</v>
      </c>
      <c r="F43" s="482">
        <f t="shared" si="3"/>
        <v>0</v>
      </c>
      <c r="G43" s="227"/>
    </row>
    <row r="44" spans="1:7" ht="18" hidden="1" customHeight="1">
      <c r="A44" s="60"/>
      <c r="B44" s="61"/>
      <c r="C44" s="754"/>
      <c r="D44" s="59"/>
      <c r="E44" s="59">
        <f t="shared" si="2"/>
        <v>0</v>
      </c>
      <c r="F44" s="482">
        <f t="shared" si="3"/>
        <v>0</v>
      </c>
      <c r="G44" s="227"/>
    </row>
    <row r="45" spans="1:7" ht="18" hidden="1" customHeight="1">
      <c r="A45" s="60"/>
      <c r="B45" s="61"/>
      <c r="C45" s="754"/>
      <c r="D45" s="59"/>
      <c r="E45" s="59">
        <f t="shared" si="2"/>
        <v>0</v>
      </c>
      <c r="F45" s="482">
        <f t="shared" si="3"/>
        <v>0</v>
      </c>
      <c r="G45" s="227"/>
    </row>
    <row r="46" spans="1:7" ht="18" hidden="1" customHeight="1">
      <c r="A46" s="60"/>
      <c r="B46" s="61"/>
      <c r="C46" s="754"/>
      <c r="D46" s="59"/>
      <c r="E46" s="59">
        <f t="shared" si="2"/>
        <v>0</v>
      </c>
      <c r="F46" s="482">
        <f t="shared" si="3"/>
        <v>0</v>
      </c>
      <c r="G46" s="227"/>
    </row>
    <row r="47" spans="1:7" ht="18" hidden="1" customHeight="1">
      <c r="A47" s="60"/>
      <c r="B47" s="61"/>
      <c r="C47" s="62"/>
      <c r="D47" s="59"/>
      <c r="E47" s="59">
        <f t="shared" si="0"/>
        <v>0</v>
      </c>
      <c r="F47" s="482">
        <f t="shared" si="1"/>
        <v>0</v>
      </c>
      <c r="G47" s="227"/>
    </row>
    <row r="48" spans="1:7" ht="18" hidden="1" customHeight="1">
      <c r="A48" s="60"/>
      <c r="B48" s="61"/>
      <c r="C48" s="62"/>
      <c r="D48" s="59"/>
      <c r="E48" s="59">
        <f t="shared" si="0"/>
        <v>0</v>
      </c>
      <c r="F48" s="482">
        <f t="shared" si="1"/>
        <v>0</v>
      </c>
      <c r="G48" s="227"/>
    </row>
    <row r="49" spans="1:8" ht="18" hidden="1" customHeight="1">
      <c r="A49" s="60"/>
      <c r="B49" s="61"/>
      <c r="C49" s="62"/>
      <c r="D49" s="59"/>
      <c r="E49" s="59">
        <f>C49*D49</f>
        <v>0</v>
      </c>
      <c r="F49" s="482">
        <f t="shared" si="1"/>
        <v>0</v>
      </c>
      <c r="G49" s="227"/>
    </row>
    <row r="50" spans="1:8" ht="18" hidden="1" customHeight="1">
      <c r="A50" s="60"/>
      <c r="B50" s="61"/>
      <c r="C50" s="62"/>
      <c r="D50" s="59"/>
      <c r="E50" s="59">
        <f t="shared" ref="E50:E59" si="4">C50*D50</f>
        <v>0</v>
      </c>
      <c r="F50" s="482">
        <f t="shared" si="1"/>
        <v>0</v>
      </c>
      <c r="G50" s="227"/>
    </row>
    <row r="51" spans="1:8" ht="18" hidden="1" customHeight="1">
      <c r="A51" s="60"/>
      <c r="B51" s="61"/>
      <c r="C51" s="62"/>
      <c r="D51" s="59"/>
      <c r="E51" s="59">
        <f t="shared" si="4"/>
        <v>0</v>
      </c>
      <c r="F51" s="482">
        <f t="shared" si="1"/>
        <v>0</v>
      </c>
      <c r="G51" s="227"/>
    </row>
    <row r="52" spans="1:8" ht="18" hidden="1" customHeight="1">
      <c r="A52" s="60"/>
      <c r="B52" s="61"/>
      <c r="C52" s="62"/>
      <c r="D52" s="59"/>
      <c r="E52" s="59">
        <f t="shared" si="4"/>
        <v>0</v>
      </c>
      <c r="F52" s="482">
        <f t="shared" si="1"/>
        <v>0</v>
      </c>
      <c r="G52" s="227"/>
    </row>
    <row r="53" spans="1:8" ht="18" hidden="1" customHeight="1">
      <c r="A53" s="60"/>
      <c r="B53" s="61"/>
      <c r="C53" s="62"/>
      <c r="D53" s="59"/>
      <c r="E53" s="59">
        <f t="shared" si="4"/>
        <v>0</v>
      </c>
      <c r="F53" s="482">
        <f t="shared" si="1"/>
        <v>0</v>
      </c>
      <c r="G53" s="227"/>
    </row>
    <row r="54" spans="1:8" ht="18" hidden="1" customHeight="1">
      <c r="A54" s="53"/>
      <c r="B54" s="52"/>
      <c r="C54" s="62"/>
      <c r="D54" s="42"/>
      <c r="E54" s="59">
        <f t="shared" si="4"/>
        <v>0</v>
      </c>
      <c r="F54" s="482">
        <f t="shared" si="1"/>
        <v>0</v>
      </c>
      <c r="G54" s="227"/>
    </row>
    <row r="55" spans="1:8" ht="18" hidden="1" customHeight="1">
      <c r="A55" s="53"/>
      <c r="B55" s="52"/>
      <c r="C55" s="62"/>
      <c r="D55" s="42"/>
      <c r="E55" s="59">
        <f t="shared" si="4"/>
        <v>0</v>
      </c>
      <c r="F55" s="482">
        <f t="shared" si="1"/>
        <v>0</v>
      </c>
      <c r="G55" s="227"/>
    </row>
    <row r="56" spans="1:8" ht="18" hidden="1" customHeight="1">
      <c r="A56" s="53"/>
      <c r="B56" s="52"/>
      <c r="C56" s="62"/>
      <c r="D56" s="42"/>
      <c r="E56" s="59">
        <f t="shared" si="4"/>
        <v>0</v>
      </c>
      <c r="F56" s="482">
        <f t="shared" si="1"/>
        <v>0</v>
      </c>
      <c r="G56" s="227"/>
    </row>
    <row r="57" spans="1:8" ht="18" hidden="1" customHeight="1">
      <c r="A57" s="53"/>
      <c r="B57" s="52"/>
      <c r="C57" s="62"/>
      <c r="D57" s="42"/>
      <c r="E57" s="59">
        <f t="shared" si="4"/>
        <v>0</v>
      </c>
      <c r="F57" s="482">
        <f t="shared" si="1"/>
        <v>0</v>
      </c>
      <c r="G57" s="227"/>
    </row>
    <row r="58" spans="1:8" ht="18" hidden="1" customHeight="1">
      <c r="A58" s="53"/>
      <c r="B58" s="52"/>
      <c r="C58" s="62"/>
      <c r="D58" s="42"/>
      <c r="E58" s="59">
        <f t="shared" si="4"/>
        <v>0</v>
      </c>
      <c r="F58" s="482">
        <f t="shared" si="1"/>
        <v>0</v>
      </c>
      <c r="G58" s="227"/>
    </row>
    <row r="59" spans="1:8" ht="18" hidden="1" customHeight="1">
      <c r="A59" s="53"/>
      <c r="B59" s="52"/>
      <c r="C59" s="62"/>
      <c r="D59" s="42"/>
      <c r="E59" s="59">
        <f t="shared" si="4"/>
        <v>0</v>
      </c>
      <c r="F59" s="482">
        <f t="shared" si="1"/>
        <v>0</v>
      </c>
      <c r="G59" s="227"/>
    </row>
    <row r="60" spans="1:8" ht="18" customHeight="1" thickBot="1">
      <c r="A60" s="1269" t="s">
        <v>506</v>
      </c>
      <c r="B60" s="1270"/>
      <c r="C60" s="1270"/>
      <c r="D60" s="1270"/>
      <c r="E60" s="121">
        <f>SUM(E12:E59)</f>
        <v>0</v>
      </c>
      <c r="F60" s="483">
        <f>SUM(F12:F59)</f>
        <v>0</v>
      </c>
      <c r="G60" s="228"/>
    </row>
    <row r="61" spans="1:8" s="220" customFormat="1" ht="18" customHeight="1" thickBot="1">
      <c r="A61" s="370"/>
      <c r="B61" s="370"/>
      <c r="C61" s="370"/>
      <c r="D61" s="370"/>
      <c r="E61" s="146"/>
      <c r="F61" s="371"/>
      <c r="G61" s="228"/>
    </row>
    <row r="62" spans="1:8" s="220" customFormat="1" ht="18" customHeight="1" thickBot="1">
      <c r="A62" s="1283" t="s">
        <v>507</v>
      </c>
      <c r="B62" s="1284"/>
      <c r="C62" s="1284"/>
      <c r="D62" s="1284"/>
      <c r="E62" s="1284"/>
      <c r="F62" s="1285"/>
      <c r="G62" s="228"/>
    </row>
    <row r="63" spans="1:8" ht="18" customHeight="1">
      <c r="A63" s="1286" t="s">
        <v>508</v>
      </c>
      <c r="B63" s="1287"/>
      <c r="C63" s="1287"/>
      <c r="D63" s="1288"/>
      <c r="E63" s="367">
        <f>B8</f>
        <v>0</v>
      </c>
      <c r="G63" s="221"/>
      <c r="H63" s="221"/>
    </row>
    <row r="64" spans="1:8" ht="18" customHeight="1">
      <c r="A64" s="1289" t="s">
        <v>409</v>
      </c>
      <c r="B64" s="1290"/>
      <c r="C64" s="1291"/>
      <c r="D64" s="155">
        <f>F60</f>
        <v>0</v>
      </c>
      <c r="E64" s="124">
        <f>D64*E63</f>
        <v>0</v>
      </c>
      <c r="G64" s="221"/>
      <c r="H64" s="221"/>
    </row>
    <row r="65" spans="1:8" ht="18" customHeight="1">
      <c r="A65" s="1289" t="s">
        <v>411</v>
      </c>
      <c r="B65" s="1290"/>
      <c r="C65" s="1291"/>
      <c r="D65" s="155">
        <v>0</v>
      </c>
      <c r="E65" s="124">
        <f>E63*D65</f>
        <v>0</v>
      </c>
      <c r="G65" s="221"/>
      <c r="H65" s="221"/>
    </row>
    <row r="66" spans="1:8" ht="18" customHeight="1">
      <c r="A66" s="1289" t="s">
        <v>412</v>
      </c>
      <c r="B66" s="1290"/>
      <c r="C66" s="1291"/>
      <c r="D66" s="155">
        <v>0</v>
      </c>
      <c r="E66" s="124">
        <f>(E63+E64+E65)*D66</f>
        <v>0</v>
      </c>
      <c r="F66" s="411" t="s">
        <v>413</v>
      </c>
      <c r="G66" s="221"/>
      <c r="H66" s="221"/>
    </row>
    <row r="67" spans="1:8" ht="18" customHeight="1" thickBot="1">
      <c r="A67" s="1292" t="s">
        <v>414</v>
      </c>
      <c r="B67" s="1293"/>
      <c r="C67" s="1293"/>
      <c r="D67" s="1294"/>
      <c r="E67" s="125">
        <f>SUM(E63:E66)</f>
        <v>0</v>
      </c>
      <c r="G67" s="221"/>
      <c r="H67" s="221"/>
    </row>
    <row r="68" spans="1:8" ht="18" customHeight="1" thickBot="1">
      <c r="A68" s="220"/>
      <c r="B68" s="220"/>
      <c r="C68" s="220"/>
      <c r="D68" s="222"/>
      <c r="E68" s="222"/>
      <c r="F68" s="220"/>
    </row>
    <row r="69" spans="1:8" ht="27.75" customHeight="1" thickBot="1">
      <c r="A69" s="1280" t="s">
        <v>509</v>
      </c>
      <c r="B69" s="1281"/>
      <c r="C69" s="1281"/>
      <c r="D69" s="1282"/>
      <c r="E69" s="373">
        <f>E64+E65+E66</f>
        <v>0</v>
      </c>
      <c r="F69" s="372">
        <f>IFERROR(E69/E63,0)</f>
        <v>0</v>
      </c>
    </row>
    <row r="70" spans="1:8" ht="18" customHeight="1">
      <c r="A70" s="220"/>
      <c r="B70" s="220"/>
      <c r="C70" s="220"/>
      <c r="D70" s="222"/>
      <c r="E70" s="222"/>
      <c r="F70" s="220"/>
    </row>
    <row r="71" spans="1:8" ht="18" customHeight="1">
      <c r="A71" s="220"/>
      <c r="B71" s="220"/>
      <c r="C71" s="220"/>
      <c r="D71" s="222"/>
      <c r="E71" s="222"/>
      <c r="F71" s="220"/>
    </row>
    <row r="72" spans="1:8" ht="18" customHeight="1">
      <c r="A72" s="220"/>
      <c r="B72" s="220"/>
      <c r="C72" s="220"/>
      <c r="D72" s="222"/>
      <c r="E72" s="222"/>
      <c r="F72" s="220"/>
    </row>
    <row r="73" spans="1:8" ht="18" customHeight="1">
      <c r="A73" s="220"/>
      <c r="B73" s="220"/>
      <c r="C73" s="220"/>
      <c r="D73" s="222"/>
      <c r="E73" s="222"/>
      <c r="F73" s="220"/>
    </row>
    <row r="74" spans="1:8" ht="18" customHeight="1">
      <c r="A74" s="220"/>
      <c r="B74" s="220"/>
      <c r="C74" s="220"/>
      <c r="D74" s="222"/>
      <c r="E74" s="222"/>
      <c r="F74" s="220"/>
    </row>
    <row r="75" spans="1:8" ht="18" customHeight="1">
      <c r="A75" s="220"/>
      <c r="B75" s="220"/>
      <c r="C75" s="220"/>
      <c r="D75" s="222"/>
      <c r="E75" s="222"/>
      <c r="F75" s="220"/>
    </row>
    <row r="76" spans="1:8" ht="18" customHeight="1">
      <c r="A76" s="220"/>
      <c r="B76" s="220"/>
      <c r="C76" s="220"/>
      <c r="D76" s="222"/>
      <c r="E76" s="222"/>
      <c r="F76" s="220"/>
    </row>
    <row r="77" spans="1:8" ht="18" customHeight="1">
      <c r="A77" s="220"/>
      <c r="B77" s="220"/>
      <c r="C77" s="220"/>
      <c r="D77" s="222"/>
      <c r="E77" s="222"/>
      <c r="F77" s="220"/>
    </row>
    <row r="78" spans="1:8" ht="18" customHeight="1">
      <c r="A78" s="220"/>
      <c r="B78" s="220"/>
      <c r="C78" s="220"/>
      <c r="D78" s="222"/>
      <c r="E78" s="222"/>
      <c r="F78" s="220"/>
    </row>
    <row r="79" spans="1:8" ht="18" customHeight="1">
      <c r="A79" s="220"/>
      <c r="B79" s="220"/>
      <c r="C79" s="220"/>
      <c r="D79" s="222"/>
      <c r="E79" s="222"/>
      <c r="F79" s="220"/>
    </row>
    <row r="80" spans="1:8" ht="18" customHeight="1">
      <c r="A80" s="220"/>
      <c r="B80" s="220"/>
      <c r="C80" s="220"/>
      <c r="D80" s="222"/>
      <c r="E80" s="222"/>
      <c r="F80" s="220"/>
    </row>
    <row r="81" spans="1:6" ht="18" customHeight="1">
      <c r="A81" s="220"/>
      <c r="B81" s="220"/>
      <c r="C81" s="220"/>
      <c r="D81" s="222"/>
      <c r="E81" s="222"/>
      <c r="F81" s="220"/>
    </row>
    <row r="82" spans="1:6" ht="18" customHeight="1">
      <c r="A82" s="220"/>
      <c r="B82" s="220"/>
      <c r="C82" s="220"/>
      <c r="D82" s="222"/>
      <c r="E82" s="222"/>
      <c r="F82" s="220"/>
    </row>
    <row r="83" spans="1:6" ht="18" customHeight="1">
      <c r="A83" s="220"/>
      <c r="B83" s="220"/>
      <c r="C83" s="220"/>
      <c r="D83" s="222"/>
      <c r="E83" s="222"/>
      <c r="F83" s="220"/>
    </row>
    <row r="84" spans="1:6" ht="18" customHeight="1">
      <c r="A84" s="220"/>
      <c r="B84" s="220"/>
      <c r="C84" s="220"/>
      <c r="D84" s="222"/>
      <c r="E84" s="222"/>
      <c r="F84" s="220"/>
    </row>
    <row r="85" spans="1:6" ht="18" customHeight="1">
      <c r="A85" s="220"/>
      <c r="B85" s="220"/>
      <c r="C85" s="220"/>
      <c r="D85" s="222"/>
      <c r="E85" s="222"/>
      <c r="F85" s="220"/>
    </row>
    <row r="86" spans="1:6" ht="18" customHeight="1">
      <c r="A86" s="220"/>
      <c r="B86" s="220"/>
      <c r="C86" s="220"/>
      <c r="D86" s="222"/>
      <c r="E86" s="222"/>
      <c r="F86" s="220"/>
    </row>
    <row r="87" spans="1:6" ht="18" customHeight="1">
      <c r="A87" s="220"/>
      <c r="B87" s="220"/>
      <c r="C87" s="220"/>
      <c r="D87" s="222"/>
      <c r="E87" s="222"/>
      <c r="F87" s="220"/>
    </row>
    <row r="88" spans="1:6" ht="18" customHeight="1">
      <c r="A88" s="220"/>
      <c r="B88" s="220"/>
      <c r="C88" s="220"/>
      <c r="D88" s="222"/>
      <c r="E88" s="222"/>
      <c r="F88" s="220"/>
    </row>
    <row r="89" spans="1:6" ht="18" customHeight="1">
      <c r="A89" s="220"/>
      <c r="B89" s="220"/>
      <c r="C89" s="220"/>
      <c r="D89" s="222"/>
      <c r="E89" s="222"/>
      <c r="F89" s="220"/>
    </row>
    <row r="90" spans="1:6" ht="18" customHeight="1">
      <c r="A90" s="220"/>
      <c r="B90" s="220"/>
      <c r="C90" s="220"/>
      <c r="D90" s="222"/>
      <c r="E90" s="222"/>
      <c r="F90" s="220"/>
    </row>
    <row r="91" spans="1:6" ht="18" customHeight="1">
      <c r="A91" s="220"/>
      <c r="B91" s="220"/>
      <c r="C91" s="220"/>
      <c r="D91" s="222"/>
      <c r="E91" s="222"/>
      <c r="F91" s="220"/>
    </row>
    <row r="92" spans="1:6" ht="18" customHeight="1">
      <c r="A92" s="220"/>
      <c r="B92" s="220"/>
      <c r="C92" s="220"/>
      <c r="D92" s="222"/>
      <c r="E92" s="222"/>
      <c r="F92" s="220"/>
    </row>
    <row r="93" spans="1:6" ht="18" customHeight="1">
      <c r="A93" s="220"/>
      <c r="B93" s="220"/>
      <c r="C93" s="220"/>
      <c r="D93" s="222"/>
      <c r="E93" s="222"/>
      <c r="F93" s="220"/>
    </row>
    <row r="94" spans="1:6" ht="18" customHeight="1">
      <c r="A94" s="220"/>
      <c r="B94" s="220"/>
      <c r="C94" s="220"/>
      <c r="D94" s="222"/>
      <c r="E94" s="222"/>
      <c r="F94" s="220"/>
    </row>
    <row r="95" spans="1:6" ht="18" customHeight="1">
      <c r="A95" s="220"/>
      <c r="B95" s="220"/>
      <c r="C95" s="220"/>
      <c r="D95" s="222"/>
      <c r="E95" s="222"/>
      <c r="F95" s="220"/>
    </row>
    <row r="96" spans="1:6" ht="18" customHeight="1">
      <c r="A96" s="220"/>
      <c r="B96" s="220"/>
      <c r="C96" s="220"/>
      <c r="D96" s="222"/>
      <c r="E96" s="222"/>
      <c r="F96" s="220"/>
    </row>
    <row r="97" spans="1:6" ht="18" customHeight="1">
      <c r="A97" s="220"/>
      <c r="B97" s="220"/>
      <c r="C97" s="220"/>
      <c r="D97" s="222"/>
      <c r="E97" s="222"/>
      <c r="F97" s="220"/>
    </row>
    <row r="98" spans="1:6" ht="18" customHeight="1">
      <c r="A98" s="220"/>
      <c r="B98" s="220"/>
      <c r="C98" s="220"/>
      <c r="D98" s="222"/>
      <c r="E98" s="222"/>
      <c r="F98" s="220"/>
    </row>
    <row r="99" spans="1:6" ht="18" customHeight="1">
      <c r="A99" s="220"/>
      <c r="B99" s="220"/>
      <c r="C99" s="220"/>
      <c r="D99" s="222"/>
      <c r="E99" s="222"/>
      <c r="F99" s="220"/>
    </row>
    <row r="100" spans="1:6" ht="18" customHeight="1">
      <c r="A100" s="220"/>
      <c r="B100" s="220"/>
      <c r="C100" s="220"/>
      <c r="D100" s="222"/>
      <c r="E100" s="222"/>
      <c r="F100" s="220"/>
    </row>
    <row r="101" spans="1:6" ht="18" customHeight="1">
      <c r="A101" s="220"/>
      <c r="B101" s="220"/>
      <c r="C101" s="220"/>
      <c r="D101" s="222"/>
      <c r="E101" s="222"/>
      <c r="F101" s="220"/>
    </row>
    <row r="102" spans="1:6" ht="18" customHeight="1">
      <c r="A102" s="220"/>
      <c r="B102" s="220"/>
      <c r="C102" s="220"/>
      <c r="D102" s="222"/>
      <c r="E102" s="222"/>
      <c r="F102" s="220"/>
    </row>
    <row r="103" spans="1:6" ht="18" customHeight="1">
      <c r="A103" s="220"/>
      <c r="B103" s="220"/>
      <c r="C103" s="220"/>
      <c r="D103" s="222"/>
      <c r="E103" s="222"/>
      <c r="F103" s="220"/>
    </row>
    <row r="104" spans="1:6" ht="18" customHeight="1">
      <c r="A104" s="220"/>
      <c r="B104" s="220"/>
      <c r="C104" s="220"/>
      <c r="D104" s="222"/>
      <c r="E104" s="222"/>
      <c r="F104" s="220"/>
    </row>
    <row r="105" spans="1:6" ht="18" customHeight="1">
      <c r="A105" s="220"/>
      <c r="B105" s="220"/>
      <c r="C105" s="220"/>
      <c r="D105" s="222"/>
      <c r="E105" s="222"/>
      <c r="F105" s="220"/>
    </row>
    <row r="106" spans="1:6" ht="18" customHeight="1">
      <c r="A106" s="220"/>
      <c r="B106" s="220"/>
      <c r="C106" s="220"/>
      <c r="D106" s="222"/>
      <c r="E106" s="222"/>
      <c r="F106" s="220"/>
    </row>
    <row r="107" spans="1:6" ht="18" customHeight="1">
      <c r="A107" s="220"/>
      <c r="B107" s="220"/>
      <c r="C107" s="220"/>
      <c r="D107" s="222"/>
      <c r="E107" s="222"/>
      <c r="F107" s="220"/>
    </row>
    <row r="108" spans="1:6" ht="18" customHeight="1">
      <c r="A108" s="220"/>
      <c r="B108" s="220"/>
      <c r="C108" s="220"/>
      <c r="D108" s="222"/>
      <c r="E108" s="222"/>
      <c r="F108" s="220"/>
    </row>
    <row r="109" spans="1:6" ht="18" customHeight="1">
      <c r="A109" s="220"/>
      <c r="B109" s="220"/>
      <c r="C109" s="220"/>
      <c r="D109" s="222"/>
      <c r="E109" s="222"/>
      <c r="F109" s="220"/>
    </row>
    <row r="110" spans="1:6" ht="18" customHeight="1">
      <c r="A110" s="220"/>
      <c r="B110" s="220"/>
      <c r="C110" s="220"/>
      <c r="D110" s="222"/>
      <c r="E110" s="222"/>
      <c r="F110" s="220"/>
    </row>
    <row r="111" spans="1:6" ht="18" customHeight="1">
      <c r="A111" s="220"/>
      <c r="B111" s="220"/>
      <c r="C111" s="220"/>
      <c r="D111" s="222"/>
      <c r="E111" s="222"/>
      <c r="F111" s="220"/>
    </row>
    <row r="112" spans="1:6" ht="18" customHeight="1">
      <c r="A112" s="220"/>
      <c r="B112" s="220"/>
      <c r="C112" s="220"/>
      <c r="D112" s="222"/>
      <c r="E112" s="222"/>
      <c r="F112" s="220"/>
    </row>
    <row r="113" spans="1:6" ht="18" customHeight="1">
      <c r="A113" s="220"/>
      <c r="B113" s="220"/>
      <c r="C113" s="220"/>
      <c r="D113" s="222"/>
      <c r="E113" s="222"/>
      <c r="F113" s="220"/>
    </row>
    <row r="114" spans="1:6" ht="18" customHeight="1">
      <c r="A114" s="220"/>
      <c r="B114" s="220"/>
      <c r="C114" s="220"/>
      <c r="D114" s="222"/>
      <c r="E114" s="222"/>
      <c r="F114" s="220"/>
    </row>
    <row r="115" spans="1:6" ht="18" customHeight="1">
      <c r="A115" s="220"/>
      <c r="B115" s="220"/>
      <c r="C115" s="220"/>
      <c r="D115" s="222"/>
      <c r="E115" s="222"/>
      <c r="F115" s="220"/>
    </row>
    <row r="116" spans="1:6" ht="18" customHeight="1">
      <c r="A116" s="220"/>
      <c r="B116" s="220"/>
      <c r="C116" s="220"/>
      <c r="D116" s="222"/>
      <c r="E116" s="222"/>
      <c r="F116" s="220"/>
    </row>
    <row r="117" spans="1:6" ht="18" customHeight="1">
      <c r="A117" s="220"/>
      <c r="B117" s="220"/>
      <c r="C117" s="220"/>
      <c r="D117" s="222"/>
      <c r="E117" s="222"/>
      <c r="F117" s="220"/>
    </row>
    <row r="118" spans="1:6" ht="18" customHeight="1">
      <c r="A118" s="220"/>
      <c r="B118" s="220"/>
      <c r="C118" s="220"/>
      <c r="D118" s="222"/>
      <c r="E118" s="222"/>
      <c r="F118" s="220"/>
    </row>
    <row r="119" spans="1:6" ht="18" customHeight="1">
      <c r="A119" s="220"/>
      <c r="B119" s="220"/>
      <c r="C119" s="220"/>
      <c r="D119" s="222"/>
      <c r="E119" s="222"/>
      <c r="F119" s="220"/>
    </row>
    <row r="120" spans="1:6" ht="18" customHeight="1">
      <c r="A120" s="220"/>
      <c r="B120" s="220"/>
      <c r="C120" s="220"/>
      <c r="D120" s="222"/>
      <c r="E120" s="222"/>
      <c r="F120" s="220"/>
    </row>
    <row r="121" spans="1:6" ht="18" customHeight="1">
      <c r="A121" s="220"/>
      <c r="B121" s="220"/>
      <c r="C121" s="220"/>
      <c r="D121" s="222"/>
      <c r="E121" s="222"/>
      <c r="F121" s="220"/>
    </row>
    <row r="122" spans="1:6" ht="18" customHeight="1">
      <c r="A122" s="220"/>
      <c r="B122" s="220"/>
      <c r="C122" s="220"/>
      <c r="D122" s="222"/>
      <c r="E122" s="222"/>
      <c r="F122" s="220"/>
    </row>
    <row r="123" spans="1:6" ht="18" customHeight="1">
      <c r="A123" s="220"/>
      <c r="B123" s="220"/>
      <c r="C123" s="220"/>
      <c r="D123" s="222"/>
      <c r="E123" s="222"/>
      <c r="F123" s="220"/>
    </row>
    <row r="124" spans="1:6" ht="18" customHeight="1">
      <c r="A124" s="220"/>
      <c r="B124" s="220"/>
      <c r="C124" s="220"/>
      <c r="D124" s="222"/>
      <c r="E124" s="222"/>
      <c r="F124" s="220"/>
    </row>
    <row r="125" spans="1:6" ht="18" customHeight="1">
      <c r="A125" s="220"/>
      <c r="B125" s="220"/>
      <c r="C125" s="220"/>
      <c r="D125" s="222"/>
      <c r="E125" s="222"/>
      <c r="F125" s="220"/>
    </row>
    <row r="126" spans="1:6" ht="18" customHeight="1">
      <c r="A126" s="220"/>
      <c r="B126" s="220"/>
      <c r="C126" s="220"/>
      <c r="D126" s="222"/>
      <c r="E126" s="222"/>
      <c r="F126" s="220"/>
    </row>
    <row r="127" spans="1:6" ht="18" customHeight="1">
      <c r="A127" s="220"/>
      <c r="B127" s="220"/>
      <c r="C127" s="220"/>
      <c r="D127" s="222"/>
      <c r="E127" s="222"/>
      <c r="F127" s="220"/>
    </row>
    <row r="128" spans="1:6" ht="18" customHeight="1">
      <c r="A128" s="220"/>
      <c r="B128" s="220"/>
      <c r="C128" s="220"/>
      <c r="D128" s="222"/>
      <c r="E128" s="222"/>
      <c r="F128" s="220"/>
    </row>
    <row r="129" spans="1:6" ht="18" customHeight="1">
      <c r="A129" s="220"/>
      <c r="B129" s="220"/>
      <c r="C129" s="220"/>
      <c r="D129" s="222"/>
      <c r="E129" s="222"/>
      <c r="F129" s="220"/>
    </row>
    <row r="130" spans="1:6" ht="18" customHeight="1">
      <c r="A130" s="220"/>
      <c r="B130" s="220"/>
      <c r="C130" s="220"/>
      <c r="D130" s="222"/>
      <c r="E130" s="222"/>
      <c r="F130" s="220"/>
    </row>
    <row r="131" spans="1:6" ht="18" customHeight="1">
      <c r="A131" s="220"/>
      <c r="B131" s="220"/>
      <c r="C131" s="220"/>
      <c r="D131" s="222"/>
      <c r="E131" s="222"/>
      <c r="F131" s="220"/>
    </row>
    <row r="132" spans="1:6" ht="18" customHeight="1">
      <c r="A132" s="220"/>
      <c r="B132" s="220"/>
      <c r="C132" s="220"/>
      <c r="D132" s="222"/>
      <c r="E132" s="222"/>
      <c r="F132" s="220"/>
    </row>
    <row r="133" spans="1:6" ht="18" customHeight="1">
      <c r="A133" s="220"/>
      <c r="B133" s="220"/>
      <c r="C133" s="220"/>
      <c r="D133" s="222"/>
      <c r="E133" s="222"/>
      <c r="F133" s="220"/>
    </row>
    <row r="134" spans="1:6" ht="18" customHeight="1">
      <c r="A134" s="220"/>
      <c r="B134" s="220"/>
      <c r="C134" s="220"/>
      <c r="D134" s="222"/>
      <c r="E134" s="222"/>
      <c r="F134" s="220"/>
    </row>
    <row r="135" spans="1:6" ht="18" customHeight="1">
      <c r="A135" s="220"/>
      <c r="B135" s="220"/>
      <c r="C135" s="220"/>
      <c r="D135" s="222"/>
      <c r="E135" s="222"/>
      <c r="F135" s="220"/>
    </row>
    <row r="136" spans="1:6" ht="18" customHeight="1">
      <c r="A136" s="220"/>
      <c r="B136" s="220"/>
      <c r="C136" s="220"/>
      <c r="D136" s="222"/>
      <c r="E136" s="222"/>
      <c r="F136" s="220"/>
    </row>
    <row r="137" spans="1:6" ht="18" customHeight="1">
      <c r="A137" s="220"/>
      <c r="B137" s="220"/>
      <c r="C137" s="220"/>
      <c r="D137" s="222"/>
      <c r="E137" s="222"/>
      <c r="F137" s="220"/>
    </row>
    <row r="138" spans="1:6" ht="18" customHeight="1">
      <c r="A138" s="220"/>
      <c r="B138" s="220"/>
      <c r="C138" s="220"/>
      <c r="D138" s="222"/>
      <c r="E138" s="222"/>
      <c r="F138" s="220"/>
    </row>
    <row r="139" spans="1:6" ht="18" customHeight="1">
      <c r="A139" s="220"/>
      <c r="B139" s="220"/>
      <c r="C139" s="220"/>
      <c r="D139" s="222"/>
      <c r="E139" s="222"/>
      <c r="F139" s="220"/>
    </row>
    <row r="140" spans="1:6" ht="18" customHeight="1">
      <c r="A140" s="220"/>
      <c r="B140" s="220"/>
      <c r="C140" s="220"/>
      <c r="D140" s="222"/>
      <c r="E140" s="222"/>
      <c r="F140" s="220"/>
    </row>
    <row r="141" spans="1:6" ht="18" customHeight="1">
      <c r="A141" s="220"/>
      <c r="B141" s="220"/>
      <c r="C141" s="220"/>
      <c r="D141" s="222"/>
      <c r="E141" s="222"/>
      <c r="F141" s="220"/>
    </row>
    <row r="142" spans="1:6" ht="18" customHeight="1">
      <c r="A142" s="220"/>
      <c r="B142" s="220"/>
      <c r="C142" s="220"/>
      <c r="D142" s="222"/>
      <c r="E142" s="222"/>
      <c r="F142" s="220"/>
    </row>
    <row r="143" spans="1:6" ht="18" customHeight="1">
      <c r="A143" s="220"/>
      <c r="B143" s="220"/>
      <c r="C143" s="220"/>
      <c r="D143" s="222"/>
      <c r="E143" s="222"/>
      <c r="F143" s="220"/>
    </row>
    <row r="144" spans="1:6" ht="18" customHeight="1">
      <c r="A144" s="220"/>
      <c r="B144" s="220"/>
      <c r="C144" s="220"/>
      <c r="D144" s="222"/>
      <c r="E144" s="222"/>
      <c r="F144" s="220"/>
    </row>
    <row r="145" spans="1:6" ht="18" customHeight="1">
      <c r="A145" s="220"/>
      <c r="B145" s="220"/>
      <c r="C145" s="220"/>
      <c r="D145" s="222"/>
      <c r="E145" s="222"/>
      <c r="F145" s="220"/>
    </row>
    <row r="146" spans="1:6" ht="18" customHeight="1">
      <c r="A146" s="220"/>
      <c r="B146" s="220"/>
      <c r="C146" s="220"/>
      <c r="D146" s="222"/>
      <c r="E146" s="222"/>
      <c r="F146" s="220"/>
    </row>
    <row r="147" spans="1:6" ht="18" customHeight="1">
      <c r="A147" s="220"/>
      <c r="B147" s="220"/>
      <c r="C147" s="220"/>
      <c r="D147" s="222"/>
      <c r="E147" s="222"/>
      <c r="F147" s="220"/>
    </row>
    <row r="148" spans="1:6" ht="18" customHeight="1">
      <c r="A148" s="220"/>
      <c r="B148" s="220"/>
      <c r="C148" s="220"/>
      <c r="D148" s="222"/>
      <c r="E148" s="222"/>
      <c r="F148" s="220"/>
    </row>
    <row r="149" spans="1:6" ht="18" customHeight="1">
      <c r="A149" s="220"/>
      <c r="B149" s="220"/>
      <c r="C149" s="220"/>
      <c r="D149" s="222"/>
      <c r="E149" s="222"/>
      <c r="F149" s="220"/>
    </row>
    <row r="150" spans="1:6" ht="18" customHeight="1">
      <c r="A150" s="220"/>
      <c r="B150" s="220"/>
      <c r="C150" s="220"/>
      <c r="D150" s="222"/>
      <c r="E150" s="222"/>
      <c r="F150" s="220"/>
    </row>
    <row r="151" spans="1:6" ht="18" customHeight="1">
      <c r="A151" s="220"/>
      <c r="B151" s="220"/>
      <c r="C151" s="220"/>
      <c r="D151" s="222"/>
      <c r="E151" s="222"/>
      <c r="F151" s="220"/>
    </row>
    <row r="152" spans="1:6" ht="18" customHeight="1">
      <c r="A152" s="220"/>
      <c r="B152" s="220"/>
      <c r="C152" s="220"/>
      <c r="D152" s="222"/>
      <c r="E152" s="222"/>
      <c r="F152" s="220"/>
    </row>
    <row r="153" spans="1:6" ht="18" customHeight="1">
      <c r="A153" s="220"/>
      <c r="B153" s="220"/>
      <c r="C153" s="220"/>
      <c r="D153" s="222"/>
      <c r="E153" s="222"/>
      <c r="F153" s="220"/>
    </row>
    <row r="154" spans="1:6" ht="18" customHeight="1">
      <c r="A154" s="220"/>
      <c r="B154" s="220"/>
      <c r="C154" s="220"/>
      <c r="D154" s="222"/>
      <c r="E154" s="222"/>
      <c r="F154" s="220"/>
    </row>
    <row r="155" spans="1:6" ht="18" customHeight="1">
      <c r="A155" s="220"/>
      <c r="B155" s="220"/>
      <c r="C155" s="220"/>
      <c r="D155" s="222"/>
      <c r="E155" s="222"/>
      <c r="F155" s="220"/>
    </row>
    <row r="156" spans="1:6" ht="18" customHeight="1">
      <c r="A156" s="220"/>
      <c r="B156" s="220"/>
      <c r="C156" s="220"/>
      <c r="D156" s="222"/>
      <c r="E156" s="222"/>
      <c r="F156" s="220"/>
    </row>
    <row r="157" spans="1:6" ht="18" customHeight="1">
      <c r="A157" s="220"/>
      <c r="B157" s="220"/>
      <c r="C157" s="220"/>
      <c r="D157" s="222"/>
      <c r="E157" s="222"/>
      <c r="F157" s="220"/>
    </row>
    <row r="158" spans="1:6" ht="18" customHeight="1">
      <c r="A158" s="220"/>
      <c r="B158" s="220"/>
      <c r="C158" s="220"/>
      <c r="D158" s="222"/>
      <c r="E158" s="222"/>
      <c r="F158" s="220"/>
    </row>
    <row r="159" spans="1:6" ht="18" customHeight="1">
      <c r="A159" s="220"/>
      <c r="B159" s="220"/>
      <c r="C159" s="220"/>
      <c r="D159" s="222"/>
      <c r="E159" s="222"/>
      <c r="F159" s="220"/>
    </row>
    <row r="160" spans="1:6" ht="18" customHeight="1">
      <c r="A160" s="220"/>
      <c r="B160" s="220"/>
      <c r="C160" s="220"/>
      <c r="D160" s="222"/>
      <c r="E160" s="222"/>
      <c r="F160" s="220"/>
    </row>
    <row r="161" spans="1:6" ht="18" customHeight="1">
      <c r="A161" s="220"/>
      <c r="B161" s="220"/>
      <c r="C161" s="220"/>
      <c r="D161" s="222"/>
      <c r="E161" s="222"/>
      <c r="F161" s="220"/>
    </row>
    <row r="162" spans="1:6" ht="18" customHeight="1">
      <c r="A162" s="220"/>
      <c r="B162" s="220"/>
      <c r="C162" s="220"/>
      <c r="D162" s="222"/>
      <c r="E162" s="222"/>
      <c r="F162" s="220"/>
    </row>
    <row r="163" spans="1:6" ht="18" customHeight="1">
      <c r="A163" s="220"/>
      <c r="B163" s="220"/>
      <c r="C163" s="220"/>
      <c r="D163" s="222"/>
      <c r="E163" s="222"/>
      <c r="F163" s="220"/>
    </row>
    <row r="164" spans="1:6" ht="18" customHeight="1">
      <c r="A164" s="220"/>
      <c r="B164" s="220"/>
      <c r="C164" s="220"/>
      <c r="D164" s="222"/>
      <c r="E164" s="222"/>
      <c r="F164" s="220"/>
    </row>
    <row r="165" spans="1:6" ht="18" customHeight="1">
      <c r="A165" s="220"/>
      <c r="B165" s="220"/>
      <c r="C165" s="220"/>
      <c r="D165" s="222"/>
      <c r="E165" s="222"/>
      <c r="F165" s="220"/>
    </row>
    <row r="166" spans="1:6" ht="18" customHeight="1">
      <c r="A166" s="220"/>
      <c r="B166" s="220"/>
      <c r="C166" s="220"/>
      <c r="D166" s="222"/>
      <c r="E166" s="222"/>
      <c r="F166" s="220"/>
    </row>
    <row r="167" spans="1:6" ht="18" customHeight="1">
      <c r="A167" s="220"/>
      <c r="B167" s="220"/>
      <c r="C167" s="220"/>
      <c r="D167" s="222"/>
      <c r="E167" s="222"/>
      <c r="F167" s="220"/>
    </row>
    <row r="168" spans="1:6" ht="18" customHeight="1">
      <c r="A168" s="220"/>
      <c r="B168" s="220"/>
      <c r="C168" s="220"/>
      <c r="D168" s="222"/>
      <c r="E168" s="222"/>
      <c r="F168" s="220"/>
    </row>
    <row r="169" spans="1:6" ht="18" customHeight="1">
      <c r="A169" s="220"/>
      <c r="B169" s="220"/>
      <c r="C169" s="220"/>
      <c r="D169" s="222"/>
      <c r="E169" s="222"/>
      <c r="F169" s="220"/>
    </row>
    <row r="170" spans="1:6" ht="18" customHeight="1">
      <c r="A170" s="220"/>
      <c r="B170" s="220"/>
      <c r="C170" s="220"/>
      <c r="D170" s="222"/>
      <c r="E170" s="222"/>
      <c r="F170" s="220"/>
    </row>
    <row r="171" spans="1:6" ht="18" customHeight="1">
      <c r="A171" s="220"/>
      <c r="B171" s="220"/>
      <c r="C171" s="220"/>
      <c r="D171" s="222"/>
      <c r="E171" s="222"/>
      <c r="F171" s="220"/>
    </row>
    <row r="172" spans="1:6" ht="18" customHeight="1">
      <c r="A172" s="220"/>
      <c r="B172" s="220"/>
      <c r="C172" s="220"/>
      <c r="D172" s="222"/>
      <c r="E172" s="222"/>
      <c r="F172" s="220"/>
    </row>
    <row r="173" spans="1:6" ht="18" customHeight="1">
      <c r="A173" s="220"/>
      <c r="B173" s="220"/>
      <c r="C173" s="220"/>
      <c r="D173" s="222"/>
      <c r="E173" s="222"/>
      <c r="F173" s="220"/>
    </row>
    <row r="174" spans="1:6" ht="18" customHeight="1">
      <c r="A174" s="220"/>
      <c r="B174" s="220"/>
      <c r="C174" s="220"/>
      <c r="D174" s="222"/>
      <c r="E174" s="222"/>
      <c r="F174" s="220"/>
    </row>
    <row r="175" spans="1:6" ht="18" customHeight="1">
      <c r="A175" s="220"/>
      <c r="B175" s="220"/>
      <c r="C175" s="220"/>
      <c r="D175" s="222"/>
      <c r="E175" s="222"/>
      <c r="F175" s="220"/>
    </row>
    <row r="176" spans="1:6" ht="18" customHeight="1">
      <c r="A176" s="220"/>
      <c r="B176" s="220"/>
      <c r="C176" s="220"/>
      <c r="D176" s="222"/>
      <c r="E176" s="222"/>
      <c r="F176" s="220"/>
    </row>
    <row r="177" spans="1:6" ht="18" customHeight="1">
      <c r="A177" s="220"/>
      <c r="B177" s="220"/>
      <c r="C177" s="220"/>
      <c r="D177" s="222"/>
      <c r="E177" s="222"/>
      <c r="F177" s="220"/>
    </row>
    <row r="178" spans="1:6" ht="18" customHeight="1">
      <c r="A178" s="220"/>
      <c r="B178" s="220"/>
      <c r="C178" s="220"/>
      <c r="D178" s="222"/>
      <c r="E178" s="222"/>
      <c r="F178" s="220"/>
    </row>
    <row r="179" spans="1:6" ht="18" customHeight="1">
      <c r="A179" s="220"/>
      <c r="B179" s="220"/>
      <c r="C179" s="220"/>
      <c r="D179" s="222"/>
      <c r="E179" s="222"/>
      <c r="F179" s="220"/>
    </row>
    <row r="180" spans="1:6" ht="18" customHeight="1">
      <c r="A180" s="220"/>
      <c r="B180" s="220"/>
      <c r="C180" s="220"/>
      <c r="D180" s="222"/>
      <c r="E180" s="222"/>
      <c r="F180" s="220"/>
    </row>
    <row r="181" spans="1:6" ht="18" customHeight="1">
      <c r="A181" s="220"/>
      <c r="B181" s="220"/>
      <c r="C181" s="220"/>
      <c r="D181" s="222"/>
      <c r="E181" s="222"/>
      <c r="F181" s="220"/>
    </row>
    <row r="182" spans="1:6" ht="18" customHeight="1">
      <c r="A182" s="220"/>
      <c r="B182" s="220"/>
      <c r="C182" s="220"/>
      <c r="D182" s="222"/>
      <c r="E182" s="222"/>
      <c r="F182" s="220"/>
    </row>
    <row r="183" spans="1:6" ht="18" customHeight="1">
      <c r="A183" s="220"/>
      <c r="B183" s="220"/>
      <c r="C183" s="220"/>
      <c r="D183" s="222"/>
      <c r="E183" s="222"/>
      <c r="F183" s="220"/>
    </row>
    <row r="184" spans="1:6" ht="18" customHeight="1">
      <c r="A184" s="220"/>
      <c r="B184" s="220"/>
      <c r="C184" s="220"/>
      <c r="D184" s="222"/>
      <c r="E184" s="222"/>
      <c r="F184" s="220"/>
    </row>
    <row r="185" spans="1:6" ht="18" customHeight="1">
      <c r="A185" s="220"/>
      <c r="B185" s="220"/>
      <c r="C185" s="220"/>
      <c r="D185" s="222"/>
      <c r="E185" s="222"/>
      <c r="F185" s="220"/>
    </row>
    <row r="186" spans="1:6" ht="18" customHeight="1">
      <c r="A186" s="220"/>
      <c r="B186" s="220"/>
      <c r="C186" s="220"/>
      <c r="D186" s="222"/>
      <c r="E186" s="222"/>
      <c r="F186" s="220"/>
    </row>
    <row r="187" spans="1:6" ht="18" customHeight="1">
      <c r="A187" s="220"/>
      <c r="B187" s="220"/>
      <c r="C187" s="220"/>
      <c r="D187" s="222"/>
      <c r="E187" s="222"/>
      <c r="F187" s="220"/>
    </row>
    <row r="188" spans="1:6" ht="18" customHeight="1">
      <c r="A188" s="220"/>
      <c r="B188" s="220"/>
      <c r="C188" s="220"/>
      <c r="D188" s="222"/>
      <c r="E188" s="222"/>
      <c r="F188" s="220"/>
    </row>
    <row r="189" spans="1:6" ht="18" customHeight="1">
      <c r="A189" s="220"/>
      <c r="B189" s="220"/>
      <c r="C189" s="220"/>
      <c r="D189" s="222"/>
      <c r="E189" s="222"/>
      <c r="F189" s="220"/>
    </row>
    <row r="190" spans="1:6" ht="18" customHeight="1">
      <c r="A190" s="220"/>
      <c r="B190" s="220"/>
      <c r="C190" s="220"/>
      <c r="D190" s="222"/>
      <c r="E190" s="222"/>
      <c r="F190" s="220"/>
    </row>
    <row r="191" spans="1:6" ht="18" customHeight="1">
      <c r="A191" s="220"/>
      <c r="B191" s="220"/>
      <c r="C191" s="220"/>
      <c r="D191" s="222"/>
      <c r="E191" s="222"/>
      <c r="F191" s="220"/>
    </row>
    <row r="192" spans="1:6" ht="18" customHeight="1">
      <c r="A192" s="220"/>
      <c r="B192" s="220"/>
      <c r="C192" s="220"/>
      <c r="D192" s="222"/>
      <c r="E192" s="222"/>
      <c r="F192" s="220"/>
    </row>
    <row r="193" spans="1:6" ht="18" customHeight="1">
      <c r="A193" s="220"/>
      <c r="B193" s="220"/>
      <c r="C193" s="220"/>
      <c r="D193" s="222"/>
      <c r="E193" s="222"/>
      <c r="F193" s="220"/>
    </row>
    <row r="194" spans="1:6" ht="18" customHeight="1">
      <c r="A194" s="220"/>
      <c r="B194" s="220"/>
      <c r="C194" s="220"/>
      <c r="D194" s="222"/>
      <c r="E194" s="222"/>
      <c r="F194" s="220"/>
    </row>
    <row r="195" spans="1:6" ht="18" customHeight="1">
      <c r="A195" s="220"/>
      <c r="B195" s="220"/>
      <c r="C195" s="220"/>
      <c r="D195" s="222"/>
      <c r="E195" s="222"/>
      <c r="F195" s="220"/>
    </row>
    <row r="196" spans="1:6" ht="18" customHeight="1">
      <c r="A196" s="220"/>
      <c r="B196" s="220"/>
      <c r="C196" s="220"/>
      <c r="D196" s="222"/>
      <c r="E196" s="222"/>
      <c r="F196" s="220"/>
    </row>
    <row r="197" spans="1:6" ht="18" customHeight="1">
      <c r="A197" s="220"/>
      <c r="B197" s="220"/>
      <c r="C197" s="220"/>
      <c r="D197" s="222"/>
      <c r="E197" s="222"/>
      <c r="F197" s="220"/>
    </row>
    <row r="198" spans="1:6" ht="18" customHeight="1">
      <c r="A198" s="220"/>
      <c r="B198" s="220"/>
      <c r="C198" s="220"/>
      <c r="D198" s="222"/>
      <c r="E198" s="222"/>
      <c r="F198" s="220"/>
    </row>
    <row r="199" spans="1:6" ht="18" customHeight="1">
      <c r="A199" s="220"/>
      <c r="B199" s="220"/>
      <c r="C199" s="220"/>
      <c r="D199" s="222"/>
      <c r="E199" s="222"/>
      <c r="F199" s="220"/>
    </row>
    <row r="200" spans="1:6" ht="18" customHeight="1">
      <c r="A200" s="220"/>
      <c r="B200" s="220"/>
      <c r="C200" s="220"/>
      <c r="D200" s="222"/>
      <c r="E200" s="222"/>
      <c r="F200" s="220"/>
    </row>
    <row r="201" spans="1:6" ht="18" customHeight="1">
      <c r="A201" s="220"/>
      <c r="B201" s="220"/>
      <c r="C201" s="220"/>
      <c r="D201" s="222"/>
      <c r="E201" s="222"/>
      <c r="F201" s="220"/>
    </row>
    <row r="202" spans="1:6" ht="18" customHeight="1">
      <c r="A202" s="220"/>
      <c r="B202" s="220"/>
      <c r="C202" s="220"/>
      <c r="D202" s="222"/>
      <c r="E202" s="222"/>
      <c r="F202" s="220"/>
    </row>
    <row r="203" spans="1:6" ht="18" customHeight="1">
      <c r="A203" s="220"/>
      <c r="B203" s="220"/>
      <c r="C203" s="220"/>
      <c r="D203" s="222"/>
      <c r="E203" s="222"/>
      <c r="F203" s="220"/>
    </row>
    <row r="204" spans="1:6" ht="18" customHeight="1">
      <c r="A204" s="220"/>
      <c r="B204" s="220"/>
      <c r="C204" s="220"/>
      <c r="D204" s="222"/>
      <c r="E204" s="222"/>
      <c r="F204" s="220"/>
    </row>
    <row r="205" spans="1:6" ht="18" customHeight="1">
      <c r="A205" s="220"/>
      <c r="B205" s="220"/>
      <c r="C205" s="220"/>
      <c r="D205" s="222"/>
      <c r="E205" s="222"/>
      <c r="F205" s="220"/>
    </row>
    <row r="206" spans="1:6" ht="18" customHeight="1">
      <c r="A206" s="220"/>
      <c r="B206" s="220"/>
      <c r="C206" s="220"/>
      <c r="D206" s="222"/>
      <c r="E206" s="222"/>
      <c r="F206" s="220"/>
    </row>
    <row r="207" spans="1:6" ht="18" customHeight="1">
      <c r="A207" s="220"/>
      <c r="B207" s="220"/>
      <c r="C207" s="220"/>
      <c r="D207" s="222"/>
      <c r="E207" s="222"/>
      <c r="F207" s="220"/>
    </row>
    <row r="208" spans="1:6" ht="18" customHeight="1">
      <c r="A208" s="220"/>
      <c r="B208" s="220"/>
      <c r="C208" s="220"/>
      <c r="D208" s="222"/>
      <c r="E208" s="222"/>
      <c r="F208" s="220"/>
    </row>
    <row r="209" spans="1:6" ht="18" customHeight="1">
      <c r="A209" s="220"/>
      <c r="B209" s="220"/>
      <c r="C209" s="220"/>
      <c r="D209" s="222"/>
      <c r="E209" s="222"/>
      <c r="F209" s="220"/>
    </row>
    <row r="210" spans="1:6" ht="18" customHeight="1">
      <c r="A210" s="220"/>
      <c r="B210" s="220"/>
      <c r="C210" s="220"/>
      <c r="D210" s="222"/>
      <c r="E210" s="222"/>
      <c r="F210" s="220"/>
    </row>
    <row r="211" spans="1:6" ht="18" customHeight="1">
      <c r="A211" s="220"/>
      <c r="B211" s="220"/>
      <c r="C211" s="220"/>
      <c r="D211" s="222"/>
      <c r="E211" s="222"/>
      <c r="F211" s="220"/>
    </row>
    <row r="212" spans="1:6" ht="18" customHeight="1">
      <c r="A212" s="220"/>
      <c r="B212" s="220"/>
      <c r="C212" s="220"/>
      <c r="D212" s="222"/>
      <c r="E212" s="222"/>
      <c r="F212" s="220"/>
    </row>
    <row r="213" spans="1:6" ht="18" customHeight="1">
      <c r="A213" s="220"/>
      <c r="B213" s="220"/>
      <c r="C213" s="220"/>
      <c r="D213" s="222"/>
      <c r="E213" s="222"/>
      <c r="F213" s="220"/>
    </row>
    <row r="214" spans="1:6" ht="18" customHeight="1">
      <c r="A214" s="220"/>
      <c r="B214" s="220"/>
      <c r="C214" s="220"/>
      <c r="D214" s="222"/>
      <c r="E214" s="222"/>
      <c r="F214" s="220"/>
    </row>
    <row r="215" spans="1:6" ht="18" customHeight="1">
      <c r="A215" s="220"/>
      <c r="B215" s="220"/>
      <c r="C215" s="220"/>
      <c r="D215" s="222"/>
      <c r="E215" s="222"/>
      <c r="F215" s="220"/>
    </row>
    <row r="216" spans="1:6" ht="18" customHeight="1">
      <c r="A216" s="220"/>
      <c r="B216" s="220"/>
      <c r="C216" s="220"/>
      <c r="D216" s="222"/>
      <c r="E216" s="222"/>
      <c r="F216" s="220"/>
    </row>
    <row r="217" spans="1:6" ht="18" customHeight="1">
      <c r="A217" s="220"/>
      <c r="B217" s="220"/>
      <c r="C217" s="220"/>
      <c r="D217" s="222"/>
      <c r="E217" s="222"/>
      <c r="F217" s="220"/>
    </row>
    <row r="218" spans="1:6" ht="18" customHeight="1">
      <c r="A218" s="220"/>
      <c r="B218" s="220"/>
      <c r="C218" s="220"/>
      <c r="D218" s="222"/>
      <c r="E218" s="222"/>
      <c r="F218" s="220"/>
    </row>
    <row r="219" spans="1:6" ht="18" customHeight="1">
      <c r="A219" s="220"/>
      <c r="B219" s="220"/>
      <c r="C219" s="220"/>
      <c r="D219" s="222"/>
      <c r="E219" s="222"/>
      <c r="F219" s="220"/>
    </row>
    <row r="220" spans="1:6" ht="18" customHeight="1">
      <c r="A220" s="220"/>
      <c r="B220" s="220"/>
      <c r="C220" s="220"/>
      <c r="D220" s="222"/>
      <c r="E220" s="222"/>
      <c r="F220" s="220"/>
    </row>
    <row r="221" spans="1:6" ht="18" customHeight="1">
      <c r="A221" s="220"/>
      <c r="B221" s="220"/>
      <c r="C221" s="220"/>
      <c r="D221" s="222"/>
      <c r="E221" s="222"/>
      <c r="F221" s="220"/>
    </row>
    <row r="222" spans="1:6" ht="18" customHeight="1">
      <c r="A222" s="220"/>
      <c r="B222" s="220"/>
      <c r="C222" s="220"/>
      <c r="D222" s="222"/>
      <c r="E222" s="222"/>
      <c r="F222" s="220"/>
    </row>
    <row r="223" spans="1:6" ht="18" customHeight="1">
      <c r="A223" s="220"/>
      <c r="B223" s="220"/>
      <c r="C223" s="220"/>
      <c r="D223" s="222"/>
      <c r="E223" s="222"/>
      <c r="F223" s="220"/>
    </row>
    <row r="224" spans="1:6" ht="18" customHeight="1">
      <c r="A224" s="220"/>
      <c r="B224" s="220"/>
      <c r="C224" s="220"/>
      <c r="D224" s="222"/>
      <c r="E224" s="222"/>
      <c r="F224" s="220"/>
    </row>
    <row r="225" spans="1:6" ht="18" customHeight="1">
      <c r="A225" s="220"/>
      <c r="B225" s="220"/>
      <c r="C225" s="220"/>
      <c r="D225" s="222"/>
      <c r="E225" s="222"/>
      <c r="F225" s="220"/>
    </row>
    <row r="226" spans="1:6" ht="18" customHeight="1">
      <c r="A226" s="220"/>
      <c r="B226" s="220"/>
      <c r="C226" s="220"/>
      <c r="D226" s="222"/>
      <c r="E226" s="222"/>
      <c r="F226" s="220"/>
    </row>
    <row r="227" spans="1:6" ht="18" customHeight="1">
      <c r="A227" s="220"/>
      <c r="B227" s="220"/>
      <c r="C227" s="220"/>
      <c r="D227" s="222"/>
      <c r="E227" s="222"/>
      <c r="F227" s="220"/>
    </row>
    <row r="228" spans="1:6" ht="18" customHeight="1">
      <c r="A228" s="220"/>
      <c r="B228" s="220"/>
      <c r="C228" s="220"/>
      <c r="D228" s="222"/>
      <c r="E228" s="222"/>
      <c r="F228" s="220"/>
    </row>
    <row r="229" spans="1:6" ht="18" customHeight="1">
      <c r="A229" s="220"/>
      <c r="B229" s="220"/>
      <c r="C229" s="220"/>
      <c r="D229" s="222"/>
      <c r="E229" s="222"/>
      <c r="F229" s="220"/>
    </row>
    <row r="230" spans="1:6" ht="18" customHeight="1">
      <c r="A230" s="220"/>
      <c r="B230" s="220"/>
      <c r="C230" s="220"/>
      <c r="D230" s="222"/>
      <c r="E230" s="222"/>
      <c r="F230" s="220"/>
    </row>
    <row r="231" spans="1:6" ht="18" customHeight="1">
      <c r="A231" s="220"/>
      <c r="B231" s="220"/>
      <c r="C231" s="220"/>
      <c r="D231" s="222"/>
      <c r="E231" s="222"/>
      <c r="F231" s="220"/>
    </row>
    <row r="232" spans="1:6" ht="18" customHeight="1">
      <c r="A232" s="220"/>
      <c r="B232" s="220"/>
      <c r="C232" s="220"/>
      <c r="D232" s="222"/>
      <c r="E232" s="222"/>
      <c r="F232" s="220"/>
    </row>
    <row r="233" spans="1:6" ht="18" customHeight="1">
      <c r="A233" s="220"/>
      <c r="B233" s="220"/>
      <c r="C233" s="220"/>
      <c r="D233" s="222"/>
      <c r="E233" s="222"/>
      <c r="F233" s="220"/>
    </row>
    <row r="234" spans="1:6" ht="18" customHeight="1">
      <c r="A234" s="220"/>
      <c r="B234" s="220"/>
      <c r="C234" s="220"/>
      <c r="D234" s="222"/>
      <c r="E234" s="222"/>
      <c r="F234" s="220"/>
    </row>
    <row r="235" spans="1:6" ht="18" customHeight="1">
      <c r="A235" s="220"/>
      <c r="B235" s="220"/>
      <c r="C235" s="220"/>
      <c r="D235" s="222"/>
      <c r="E235" s="222"/>
      <c r="F235" s="220"/>
    </row>
    <row r="236" spans="1:6" ht="18" customHeight="1">
      <c r="A236" s="220"/>
      <c r="B236" s="220"/>
      <c r="C236" s="220"/>
      <c r="D236" s="222"/>
      <c r="E236" s="222"/>
      <c r="F236" s="220"/>
    </row>
    <row r="237" spans="1:6" ht="18" customHeight="1">
      <c r="A237" s="220"/>
      <c r="B237" s="220"/>
      <c r="C237" s="220"/>
      <c r="D237" s="222"/>
      <c r="E237" s="222"/>
      <c r="F237" s="220"/>
    </row>
    <row r="238" spans="1:6" ht="18" customHeight="1">
      <c r="A238" s="220"/>
      <c r="B238" s="220"/>
      <c r="C238" s="220"/>
      <c r="D238" s="222"/>
      <c r="E238" s="222"/>
      <c r="F238" s="220"/>
    </row>
    <row r="239" spans="1:6" ht="18" customHeight="1">
      <c r="A239" s="220"/>
      <c r="B239" s="220"/>
      <c r="C239" s="220"/>
      <c r="D239" s="222"/>
      <c r="E239" s="222"/>
      <c r="F239" s="220"/>
    </row>
    <row r="240" spans="1:6" ht="18" customHeight="1">
      <c r="A240" s="220"/>
      <c r="B240" s="220"/>
      <c r="C240" s="220"/>
      <c r="D240" s="222"/>
      <c r="E240" s="222"/>
      <c r="F240" s="220"/>
    </row>
    <row r="241" spans="1:6" ht="18" customHeight="1">
      <c r="A241" s="220"/>
      <c r="B241" s="220"/>
      <c r="C241" s="220"/>
      <c r="D241" s="222"/>
      <c r="E241" s="222"/>
      <c r="F241" s="220"/>
    </row>
    <row r="242" spans="1:6" ht="18" customHeight="1">
      <c r="A242" s="220"/>
      <c r="B242" s="220"/>
      <c r="C242" s="220"/>
      <c r="D242" s="222"/>
      <c r="E242" s="222"/>
      <c r="F242" s="220"/>
    </row>
    <row r="243" spans="1:6" ht="18" customHeight="1">
      <c r="A243" s="220"/>
      <c r="B243" s="220"/>
      <c r="C243" s="220"/>
      <c r="D243" s="222"/>
      <c r="E243" s="222"/>
      <c r="F243" s="220"/>
    </row>
    <row r="244" spans="1:6" ht="18" customHeight="1">
      <c r="A244" s="220"/>
      <c r="B244" s="220"/>
      <c r="C244" s="220"/>
      <c r="D244" s="222"/>
      <c r="E244" s="222"/>
      <c r="F244" s="220"/>
    </row>
    <row r="245" spans="1:6" ht="18" customHeight="1">
      <c r="A245" s="220"/>
      <c r="B245" s="220"/>
      <c r="C245" s="220"/>
      <c r="D245" s="222"/>
      <c r="E245" s="222"/>
      <c r="F245" s="220"/>
    </row>
    <row r="246" spans="1:6" ht="18" customHeight="1">
      <c r="A246" s="220"/>
      <c r="B246" s="220"/>
      <c r="C246" s="220"/>
      <c r="D246" s="222"/>
      <c r="E246" s="222"/>
      <c r="F246" s="220"/>
    </row>
    <row r="247" spans="1:6" ht="18" customHeight="1">
      <c r="A247" s="220"/>
      <c r="B247" s="220"/>
      <c r="C247" s="220"/>
      <c r="D247" s="222"/>
      <c r="E247" s="222"/>
      <c r="F247" s="220"/>
    </row>
    <row r="248" spans="1:6" ht="18" customHeight="1">
      <c r="A248" s="220"/>
      <c r="B248" s="220"/>
      <c r="C248" s="220"/>
      <c r="D248" s="222"/>
      <c r="E248" s="222"/>
      <c r="F248" s="220"/>
    </row>
    <row r="249" spans="1:6" ht="18" customHeight="1">
      <c r="A249" s="220"/>
      <c r="B249" s="220"/>
      <c r="C249" s="220"/>
      <c r="D249" s="222"/>
      <c r="E249" s="222"/>
      <c r="F249" s="220"/>
    </row>
    <row r="250" spans="1:6" ht="18" customHeight="1">
      <c r="A250" s="220"/>
      <c r="B250" s="220"/>
      <c r="C250" s="220"/>
      <c r="D250" s="222"/>
      <c r="E250" s="222"/>
      <c r="F250" s="220"/>
    </row>
    <row r="251" spans="1:6" ht="18" customHeight="1">
      <c r="A251" s="220"/>
      <c r="B251" s="220"/>
      <c r="C251" s="220"/>
      <c r="D251" s="222"/>
      <c r="E251" s="222"/>
      <c r="F251" s="220"/>
    </row>
    <row r="252" spans="1:6" ht="18" customHeight="1">
      <c r="A252" s="220"/>
      <c r="B252" s="220"/>
      <c r="C252" s="220"/>
      <c r="D252" s="222"/>
      <c r="E252" s="222"/>
      <c r="F252" s="220"/>
    </row>
    <row r="253" spans="1:6" ht="18" customHeight="1">
      <c r="A253" s="220"/>
      <c r="B253" s="220"/>
      <c r="C253" s="220"/>
      <c r="D253" s="222"/>
      <c r="E253" s="222"/>
      <c r="F253" s="220"/>
    </row>
    <row r="254" spans="1:6" ht="18" customHeight="1">
      <c r="A254" s="220"/>
      <c r="B254" s="220"/>
      <c r="C254" s="220"/>
      <c r="D254" s="222"/>
      <c r="E254" s="222"/>
      <c r="F254" s="220"/>
    </row>
    <row r="255" spans="1:6" ht="18" customHeight="1">
      <c r="A255" s="220"/>
      <c r="B255" s="220"/>
      <c r="C255" s="220"/>
      <c r="D255" s="222"/>
      <c r="E255" s="222"/>
      <c r="F255" s="220"/>
    </row>
    <row r="256" spans="1:6" ht="18" customHeight="1">
      <c r="A256" s="220"/>
      <c r="B256" s="220"/>
      <c r="C256" s="220"/>
      <c r="D256" s="222"/>
      <c r="E256" s="222"/>
      <c r="F256" s="220"/>
    </row>
    <row r="257" spans="1:6" ht="18" customHeight="1">
      <c r="A257" s="220"/>
      <c r="B257" s="220"/>
      <c r="C257" s="220"/>
      <c r="D257" s="222"/>
      <c r="E257" s="222"/>
      <c r="F257" s="220"/>
    </row>
    <row r="258" spans="1:6" ht="18" customHeight="1">
      <c r="A258" s="220"/>
      <c r="B258" s="220"/>
      <c r="C258" s="220"/>
      <c r="D258" s="222"/>
      <c r="E258" s="222"/>
      <c r="F258" s="220"/>
    </row>
    <row r="259" spans="1:6" ht="18" customHeight="1">
      <c r="A259" s="220"/>
      <c r="B259" s="220"/>
      <c r="C259" s="220"/>
      <c r="D259" s="222"/>
      <c r="E259" s="222"/>
      <c r="F259" s="220"/>
    </row>
    <row r="260" spans="1:6" ht="18" customHeight="1">
      <c r="A260" s="220"/>
      <c r="B260" s="220"/>
      <c r="C260" s="220"/>
      <c r="D260" s="222"/>
      <c r="E260" s="222"/>
      <c r="F260" s="220"/>
    </row>
    <row r="261" spans="1:6" ht="18" customHeight="1">
      <c r="A261" s="220"/>
      <c r="B261" s="220"/>
      <c r="C261" s="220"/>
      <c r="D261" s="222"/>
      <c r="E261" s="222"/>
      <c r="F261" s="220"/>
    </row>
    <row r="262" spans="1:6" ht="18" customHeight="1">
      <c r="A262" s="220"/>
      <c r="B262" s="220"/>
      <c r="C262" s="220"/>
      <c r="D262" s="222"/>
      <c r="E262" s="222"/>
      <c r="F262" s="220"/>
    </row>
    <row r="263" spans="1:6" ht="18" customHeight="1">
      <c r="A263" s="220"/>
      <c r="B263" s="220"/>
      <c r="C263" s="220"/>
      <c r="D263" s="222"/>
      <c r="E263" s="222"/>
      <c r="F263" s="220"/>
    </row>
    <row r="264" spans="1:6" ht="18" customHeight="1">
      <c r="A264" s="220"/>
      <c r="B264" s="220"/>
      <c r="C264" s="220"/>
      <c r="D264" s="222"/>
      <c r="E264" s="222"/>
      <c r="F264" s="220"/>
    </row>
    <row r="265" spans="1:6" ht="18" customHeight="1">
      <c r="A265" s="220"/>
      <c r="B265" s="220"/>
      <c r="C265" s="220"/>
      <c r="D265" s="222"/>
      <c r="E265" s="222"/>
      <c r="F265" s="220"/>
    </row>
    <row r="266" spans="1:6" ht="18" customHeight="1">
      <c r="A266" s="220"/>
      <c r="B266" s="220"/>
      <c r="C266" s="220"/>
      <c r="D266" s="222"/>
      <c r="E266" s="222"/>
      <c r="F266" s="220"/>
    </row>
    <row r="267" spans="1:6" ht="18" customHeight="1">
      <c r="A267" s="220"/>
      <c r="B267" s="220"/>
      <c r="C267" s="220"/>
      <c r="D267" s="222"/>
      <c r="E267" s="222"/>
      <c r="F267" s="220"/>
    </row>
    <row r="268" spans="1:6" ht="18" customHeight="1">
      <c r="A268" s="220"/>
      <c r="B268" s="220"/>
      <c r="C268" s="220"/>
      <c r="D268" s="222"/>
      <c r="E268" s="222"/>
      <c r="F268" s="220"/>
    </row>
    <row r="269" spans="1:6" ht="18" customHeight="1">
      <c r="A269" s="220"/>
      <c r="B269" s="220"/>
      <c r="C269" s="220"/>
      <c r="D269" s="222"/>
      <c r="E269" s="222"/>
      <c r="F269" s="220"/>
    </row>
    <row r="270" spans="1:6" ht="18" customHeight="1">
      <c r="A270" s="220"/>
      <c r="B270" s="220"/>
      <c r="C270" s="220"/>
      <c r="D270" s="222"/>
      <c r="E270" s="222"/>
      <c r="F270" s="220"/>
    </row>
    <row r="271" spans="1:6" ht="18" customHeight="1">
      <c r="A271" s="220"/>
      <c r="B271" s="220"/>
      <c r="C271" s="220"/>
      <c r="D271" s="222"/>
      <c r="E271" s="222"/>
      <c r="F271" s="220"/>
    </row>
    <row r="272" spans="1:6" ht="18" customHeight="1">
      <c r="A272" s="220"/>
      <c r="B272" s="220"/>
      <c r="C272" s="220"/>
      <c r="D272" s="222"/>
      <c r="E272" s="222"/>
      <c r="F272" s="220"/>
    </row>
    <row r="273" spans="1:6" ht="18" customHeight="1">
      <c r="A273" s="220"/>
      <c r="B273" s="220"/>
      <c r="C273" s="220"/>
      <c r="D273" s="222"/>
      <c r="E273" s="222"/>
      <c r="F273" s="220"/>
    </row>
    <row r="274" spans="1:6" ht="18" customHeight="1">
      <c r="A274" s="220"/>
      <c r="B274" s="220"/>
      <c r="C274" s="220"/>
      <c r="D274" s="222"/>
      <c r="E274" s="222"/>
      <c r="F274" s="220"/>
    </row>
    <row r="275" spans="1:6" ht="18" customHeight="1">
      <c r="A275" s="220"/>
      <c r="B275" s="220"/>
      <c r="C275" s="220"/>
      <c r="D275" s="222"/>
      <c r="E275" s="222"/>
      <c r="F275" s="220"/>
    </row>
    <row r="276" spans="1:6" ht="18" customHeight="1">
      <c r="A276" s="220"/>
      <c r="B276" s="220"/>
      <c r="C276" s="220"/>
      <c r="D276" s="222"/>
      <c r="E276" s="222"/>
      <c r="F276" s="220"/>
    </row>
    <row r="277" spans="1:6" ht="18" customHeight="1">
      <c r="A277" s="220"/>
      <c r="B277" s="220"/>
      <c r="C277" s="220"/>
      <c r="D277" s="222"/>
      <c r="E277" s="222"/>
      <c r="F277" s="220"/>
    </row>
    <row r="278" spans="1:6" ht="18" customHeight="1">
      <c r="A278" s="220"/>
      <c r="B278" s="220"/>
      <c r="C278" s="220"/>
      <c r="D278" s="222"/>
      <c r="E278" s="222"/>
      <c r="F278" s="220"/>
    </row>
    <row r="279" spans="1:6" ht="18" customHeight="1">
      <c r="A279" s="220"/>
      <c r="B279" s="220"/>
      <c r="C279" s="220"/>
      <c r="D279" s="222"/>
      <c r="E279" s="222"/>
      <c r="F279" s="220"/>
    </row>
    <row r="280" spans="1:6" ht="18" customHeight="1">
      <c r="A280" s="220"/>
      <c r="B280" s="220"/>
      <c r="C280" s="220"/>
      <c r="D280" s="222"/>
      <c r="E280" s="222"/>
      <c r="F280" s="220"/>
    </row>
    <row r="281" spans="1:6" ht="18" customHeight="1">
      <c r="A281" s="220"/>
      <c r="B281" s="220"/>
      <c r="C281" s="220"/>
      <c r="D281" s="222"/>
      <c r="E281" s="222"/>
      <c r="F281" s="220"/>
    </row>
    <row r="282" spans="1:6" ht="18" customHeight="1">
      <c r="A282" s="220"/>
      <c r="B282" s="220"/>
      <c r="C282" s="220"/>
      <c r="D282" s="222"/>
      <c r="E282" s="222"/>
      <c r="F282" s="220"/>
    </row>
    <row r="283" spans="1:6" ht="18" customHeight="1">
      <c r="A283" s="220"/>
      <c r="B283" s="220"/>
      <c r="C283" s="220"/>
      <c r="D283" s="222"/>
      <c r="E283" s="222"/>
      <c r="F283" s="220"/>
    </row>
    <row r="284" spans="1:6" ht="18" customHeight="1">
      <c r="A284" s="220"/>
      <c r="B284" s="220"/>
      <c r="C284" s="220"/>
      <c r="D284" s="222"/>
      <c r="E284" s="222"/>
      <c r="F284" s="220"/>
    </row>
    <row r="285" spans="1:6" ht="18" customHeight="1">
      <c r="A285" s="220"/>
      <c r="B285" s="220"/>
      <c r="C285" s="220"/>
      <c r="D285" s="222"/>
      <c r="E285" s="222"/>
      <c r="F285" s="220"/>
    </row>
    <row r="286" spans="1:6" ht="18" customHeight="1">
      <c r="A286" s="220"/>
      <c r="B286" s="220"/>
      <c r="C286" s="220"/>
      <c r="D286" s="222"/>
      <c r="E286" s="222"/>
      <c r="F286" s="220"/>
    </row>
    <row r="287" spans="1:6" ht="18" customHeight="1">
      <c r="A287" s="220"/>
      <c r="B287" s="220"/>
      <c r="C287" s="220"/>
      <c r="D287" s="222"/>
      <c r="E287" s="222"/>
      <c r="F287" s="220"/>
    </row>
    <row r="288" spans="1:6" ht="18" customHeight="1">
      <c r="A288" s="220"/>
      <c r="B288" s="220"/>
      <c r="C288" s="220"/>
      <c r="D288" s="222"/>
      <c r="E288" s="222"/>
      <c r="F288" s="220"/>
    </row>
    <row r="289" spans="1:6" ht="18" customHeight="1">
      <c r="A289" s="220"/>
      <c r="B289" s="220"/>
      <c r="C289" s="220"/>
      <c r="D289" s="222"/>
      <c r="E289" s="222"/>
      <c r="F289" s="220"/>
    </row>
    <row r="290" spans="1:6" ht="18" customHeight="1">
      <c r="A290" s="220"/>
      <c r="B290" s="220"/>
      <c r="C290" s="220"/>
      <c r="D290" s="222"/>
      <c r="E290" s="222"/>
      <c r="F290" s="220"/>
    </row>
    <row r="291" spans="1:6" ht="18" customHeight="1">
      <c r="A291" s="220"/>
      <c r="B291" s="220"/>
      <c r="C291" s="220"/>
      <c r="D291" s="222"/>
      <c r="E291" s="222"/>
      <c r="F291" s="220"/>
    </row>
    <row r="292" spans="1:6" ht="18" customHeight="1">
      <c r="A292" s="220"/>
      <c r="B292" s="220"/>
      <c r="C292" s="220"/>
      <c r="D292" s="222"/>
      <c r="E292" s="222"/>
      <c r="F292" s="220"/>
    </row>
    <row r="293" spans="1:6" ht="18" customHeight="1">
      <c r="A293" s="220"/>
      <c r="B293" s="220"/>
      <c r="C293" s="220"/>
      <c r="D293" s="222"/>
      <c r="E293" s="222"/>
      <c r="F293" s="220"/>
    </row>
    <row r="294" spans="1:6" ht="18" customHeight="1">
      <c r="A294" s="220"/>
      <c r="B294" s="220"/>
      <c r="C294" s="220"/>
      <c r="D294" s="222"/>
      <c r="E294" s="222"/>
      <c r="F294" s="220"/>
    </row>
    <row r="295" spans="1:6" ht="18" customHeight="1">
      <c r="A295" s="220"/>
      <c r="B295" s="220"/>
      <c r="C295" s="220"/>
      <c r="D295" s="222"/>
      <c r="E295" s="222"/>
      <c r="F295" s="220"/>
    </row>
    <row r="296" spans="1:6" ht="18" customHeight="1">
      <c r="A296" s="220"/>
      <c r="B296" s="220"/>
      <c r="C296" s="220"/>
      <c r="D296" s="222"/>
      <c r="E296" s="222"/>
      <c r="F296" s="220"/>
    </row>
    <row r="297" spans="1:6" ht="18" customHeight="1">
      <c r="A297" s="220"/>
      <c r="B297" s="220"/>
      <c r="C297" s="220"/>
      <c r="D297" s="222"/>
      <c r="E297" s="222"/>
      <c r="F297" s="220"/>
    </row>
    <row r="298" spans="1:6" ht="18" customHeight="1">
      <c r="A298" s="220"/>
      <c r="B298" s="220"/>
      <c r="C298" s="220"/>
      <c r="D298" s="222"/>
      <c r="E298" s="222"/>
      <c r="F298" s="220"/>
    </row>
    <row r="299" spans="1:6" ht="18" customHeight="1">
      <c r="A299" s="220"/>
      <c r="B299" s="220"/>
      <c r="C299" s="220"/>
      <c r="D299" s="222"/>
      <c r="E299" s="222"/>
      <c r="F299" s="220"/>
    </row>
    <row r="300" spans="1:6" ht="18" customHeight="1">
      <c r="A300" s="220"/>
      <c r="B300" s="220"/>
      <c r="C300" s="220"/>
      <c r="D300" s="222"/>
      <c r="E300" s="222"/>
      <c r="F300" s="220"/>
    </row>
    <row r="301" spans="1:6" ht="18" customHeight="1">
      <c r="A301" s="220"/>
      <c r="B301" s="220"/>
      <c r="C301" s="220"/>
      <c r="D301" s="222"/>
      <c r="E301" s="222"/>
      <c r="F301" s="220"/>
    </row>
    <row r="302" spans="1:6" ht="18" customHeight="1">
      <c r="A302" s="220"/>
      <c r="B302" s="220"/>
      <c r="C302" s="220"/>
      <c r="D302" s="222"/>
      <c r="E302" s="222"/>
      <c r="F302" s="220"/>
    </row>
  </sheetData>
  <sheetProtection algorithmName="SHA-512" hashValue="PNJv8jTpoX279M6xRRmCOpHkS/to4/7MEABDNghIvGB5WLz4qPxEv0h7sSg+6SgDyrN1BCYToslf48zQghZ3fg==" saltValue="hJ40s3UZIiCfb2MBSIWXng==" spinCount="100000" sheet="1" objects="1" scenarios="1" formatCells="0" formatColumns="0" formatRows="0" insertColumns="0" insertRows="0" insertHyperlinks="0" deleteColumns="0" deleteRows="0" sort="0" autoFilter="0" pivotTables="0"/>
  <mergeCells count="16">
    <mergeCell ref="A69:D69"/>
    <mergeCell ref="A62:F62"/>
    <mergeCell ref="A63:D63"/>
    <mergeCell ref="A64:C64"/>
    <mergeCell ref="A65:C65"/>
    <mergeCell ref="A66:C66"/>
    <mergeCell ref="A67:D67"/>
    <mergeCell ref="A60:D60"/>
    <mergeCell ref="D3:F3"/>
    <mergeCell ref="A1:A3"/>
    <mergeCell ref="A10:F10"/>
    <mergeCell ref="B1:F1"/>
    <mergeCell ref="B2:F2"/>
    <mergeCell ref="B3:C3"/>
    <mergeCell ref="B6:F6"/>
    <mergeCell ref="B5:F5"/>
  </mergeCells>
  <dataValidations count="4">
    <dataValidation allowBlank="1" showInputMessage="1" showErrorMessage="1" prompt="diligencie la dedicación del personal relacionado._x000a_" sqref="B54:B59 C12:C59" xr:uid="{00000000-0002-0000-0A00-000000000000}"/>
    <dataValidation allowBlank="1" showInputMessage="1" showErrorMessage="1" prompt="definir la unidad de medida con la cual se asigna el valor unitario." sqref="D12:D46" xr:uid="{00000000-0002-0000-0A00-000001000000}"/>
    <dataValidation allowBlank="1" showInputMessage="1" showErrorMessage="1" prompt="traer el valor definido en la hoja &quot;honorarios Corporativos&quot;" sqref="B54:B59 C47:C59" xr:uid="{00000000-0002-0000-0A00-000002000000}"/>
    <dataValidation allowBlank="1" showInputMessage="1" showErrorMessage="1" prompt="diligencie la cantidad del personal requerido" sqref="B12:B53" xr:uid="{00000000-0002-0000-0A00-000003000000}"/>
  </dataValidations>
  <hyperlinks>
    <hyperlink ref="G1" location="ins" display="Instructivo" xr:uid="{00000000-0004-0000-0A00-000000000000}"/>
    <hyperlink ref="G2" location="impg" display="Impuestos y garantías" xr:uid="{00000000-0004-0000-0A00-000001000000}"/>
    <hyperlink ref="F66" location="IVA" display="Info IVA" xr:uid="{00000000-0004-0000-0A00-000002000000}"/>
  </hyperlinks>
  <printOptions horizontalCentered="1"/>
  <pageMargins left="0" right="0" top="0" bottom="0" header="0" footer="0"/>
  <pageSetup scale="88" fitToHeight="0"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7">
    <tabColor theme="5" tint="0.39997558519241921"/>
    <pageSetUpPr fitToPage="1"/>
  </sheetPr>
  <dimension ref="A1:BB954"/>
  <sheetViews>
    <sheetView showGridLines="0" topLeftCell="C1" zoomScale="90" zoomScaleNormal="90" workbookViewId="0">
      <selection activeCell="E5" sqref="E5:P5"/>
    </sheetView>
  </sheetViews>
  <sheetFormatPr defaultColWidth="9.1640625" defaultRowHeight="18" customHeight="1"/>
  <cols>
    <col min="1" max="1" width="9.1640625" style="586" hidden="1" customWidth="1"/>
    <col min="2" max="2" width="9.1640625" style="587" hidden="1" customWidth="1"/>
    <col min="3" max="3" width="7.5" style="221" customWidth="1"/>
    <col min="4" max="4" width="23.1640625" style="221" customWidth="1"/>
    <col min="5" max="5" width="17.5" style="221" customWidth="1"/>
    <col min="6" max="6" width="13.1640625" style="221" customWidth="1"/>
    <col min="7" max="7" width="16.6640625" style="229" customWidth="1"/>
    <col min="8" max="8" width="17" style="229" customWidth="1"/>
    <col min="9" max="9" width="13.1640625" style="221" customWidth="1"/>
    <col min="10" max="10" width="12" style="220" customWidth="1"/>
    <col min="11" max="11" width="24.83203125" style="220" customWidth="1"/>
    <col min="12" max="12" width="6.1640625" style="579" hidden="1" customWidth="1"/>
    <col min="13" max="13" width="16" style="220" customWidth="1"/>
    <col min="14" max="14" width="15.33203125" style="220" customWidth="1"/>
    <col min="15" max="15" width="17.1640625" style="220" customWidth="1"/>
    <col min="16" max="16" width="14.33203125" style="220" customWidth="1"/>
    <col min="17" max="54" width="9.1640625" style="220"/>
    <col min="55" max="16384" width="9.1640625" style="221"/>
  </cols>
  <sheetData>
    <row r="1" spans="1:18" ht="18" customHeight="1">
      <c r="A1" s="810"/>
      <c r="B1" s="811"/>
      <c r="C1" s="1320"/>
      <c r="D1" s="1321"/>
      <c r="E1" s="1308" t="s">
        <v>0</v>
      </c>
      <c r="F1" s="1309"/>
      <c r="G1" s="1309"/>
      <c r="H1" s="1309"/>
      <c r="I1" s="1309"/>
      <c r="J1" s="1309"/>
      <c r="K1" s="1309"/>
      <c r="L1" s="1309"/>
      <c r="M1" s="1309"/>
      <c r="N1" s="1309"/>
      <c r="O1" s="1309"/>
      <c r="P1" s="1310"/>
      <c r="Q1" s="480" t="s">
        <v>104</v>
      </c>
      <c r="R1" s="65"/>
    </row>
    <row r="2" spans="1:18" ht="18" customHeight="1">
      <c r="A2" s="812"/>
      <c r="B2" s="579"/>
      <c r="C2" s="1322"/>
      <c r="D2" s="1323"/>
      <c r="E2" s="1311" t="s">
        <v>510</v>
      </c>
      <c r="F2" s="1312"/>
      <c r="G2" s="1312"/>
      <c r="H2" s="1312"/>
      <c r="I2" s="1312"/>
      <c r="J2" s="1312"/>
      <c r="K2" s="1312"/>
      <c r="L2" s="1312"/>
      <c r="M2" s="1312"/>
      <c r="N2" s="1312"/>
      <c r="O2" s="1312"/>
      <c r="P2" s="1313"/>
    </row>
    <row r="3" spans="1:18" ht="18" customHeight="1" thickBot="1">
      <c r="A3" s="813"/>
      <c r="B3" s="814"/>
      <c r="C3" s="1324"/>
      <c r="D3" s="1325"/>
      <c r="E3" s="1108" t="s">
        <v>2</v>
      </c>
      <c r="F3" s="1082"/>
      <c r="G3" s="1082"/>
      <c r="H3" s="1082"/>
      <c r="I3" s="1082"/>
      <c r="J3" s="1082"/>
      <c r="K3" s="1082" t="s">
        <v>3</v>
      </c>
      <c r="L3" s="1082"/>
      <c r="M3" s="1082"/>
      <c r="N3" s="1082"/>
      <c r="O3" s="1082"/>
      <c r="P3" s="1123"/>
    </row>
    <row r="4" spans="1:18" s="220" customFormat="1" ht="18" customHeight="1" thickBot="1">
      <c r="A4" s="648"/>
      <c r="B4" s="648"/>
      <c r="C4" s="634"/>
      <c r="D4" s="634"/>
      <c r="E4" s="70"/>
      <c r="F4" s="70"/>
      <c r="G4" s="70"/>
      <c r="H4" s="70"/>
      <c r="I4" s="70"/>
      <c r="J4" s="70"/>
      <c r="K4" s="70"/>
      <c r="L4" s="70"/>
      <c r="M4" s="70"/>
      <c r="N4" s="70"/>
      <c r="O4" s="70"/>
      <c r="P4" s="70"/>
    </row>
    <row r="5" spans="1:18" s="220" customFormat="1" ht="29.25" customHeight="1" thickBot="1">
      <c r="A5" s="648"/>
      <c r="B5" s="648"/>
      <c r="C5" s="989" t="s">
        <v>107</v>
      </c>
      <c r="D5" s="990"/>
      <c r="E5" s="1090" t="str">
        <f>'Plan Ejecución'!AE5</f>
        <v>CONTRATACIÓN DIRECTA</v>
      </c>
      <c r="F5" s="1091"/>
      <c r="G5" s="1091"/>
      <c r="H5" s="1091"/>
      <c r="I5" s="1091"/>
      <c r="J5" s="1091"/>
      <c r="K5" s="1091"/>
      <c r="L5" s="1091"/>
      <c r="M5" s="1091"/>
      <c r="N5" s="1091"/>
      <c r="O5" s="1091"/>
      <c r="P5" s="1092"/>
    </row>
    <row r="6" spans="1:18" s="220" customFormat="1" ht="34.5" customHeight="1" thickBot="1">
      <c r="A6" s="648"/>
      <c r="B6" s="648"/>
      <c r="C6" s="989" t="s">
        <v>109</v>
      </c>
      <c r="D6" s="990"/>
      <c r="E6" s="1090" t="str">
        <f>'Plan Ejecución'!AE6</f>
        <v xml:space="preserve"> "“SOPORTE, MANTENIMIENTO Y ACTUALIZACIÓN DEL VISOR GEOGRÁFICO – AÑO 2025"</v>
      </c>
      <c r="F6" s="1091"/>
      <c r="G6" s="1091"/>
      <c r="H6" s="1091"/>
      <c r="I6" s="1091"/>
      <c r="J6" s="1091"/>
      <c r="K6" s="1091"/>
      <c r="L6" s="1091"/>
      <c r="M6" s="1091"/>
      <c r="N6" s="1091"/>
      <c r="O6" s="1091"/>
      <c r="P6" s="1092"/>
    </row>
    <row r="7" spans="1:18" s="220" customFormat="1" ht="18" customHeight="1" thickBot="1">
      <c r="A7" s="648"/>
      <c r="B7" s="648"/>
      <c r="C7" s="634"/>
      <c r="D7" s="634"/>
      <c r="E7" s="70"/>
      <c r="F7" s="70"/>
      <c r="G7" s="70"/>
      <c r="H7" s="70"/>
      <c r="I7" s="70"/>
      <c r="J7" s="70"/>
      <c r="K7" s="70"/>
      <c r="L7" s="70"/>
      <c r="M7" s="70"/>
      <c r="N7" s="70"/>
      <c r="O7" s="70"/>
      <c r="P7" s="70"/>
    </row>
    <row r="8" spans="1:18" s="220" customFormat="1" ht="168.75" customHeight="1" thickBot="1">
      <c r="A8" s="586"/>
      <c r="B8" s="587"/>
      <c r="C8" s="1302" t="s">
        <v>511</v>
      </c>
      <c r="D8" s="1303"/>
      <c r="E8" s="1303"/>
      <c r="F8" s="1303"/>
      <c r="G8" s="1303"/>
      <c r="H8" s="1303"/>
      <c r="I8" s="1303"/>
      <c r="J8" s="1303"/>
      <c r="K8" s="1303"/>
      <c r="L8" s="1303"/>
      <c r="M8" s="1303"/>
      <c r="N8" s="1303"/>
      <c r="O8" s="1303"/>
      <c r="P8" s="1304"/>
    </row>
    <row r="9" spans="1:18" s="220" customFormat="1" ht="55.5" customHeight="1" thickBot="1">
      <c r="A9" s="586"/>
      <c r="B9" s="587"/>
      <c r="C9" s="1302" t="s">
        <v>512</v>
      </c>
      <c r="D9" s="1303"/>
      <c r="E9" s="1303"/>
      <c r="F9" s="1303"/>
      <c r="G9" s="1303"/>
      <c r="H9" s="1303"/>
      <c r="I9" s="1303"/>
      <c r="J9" s="1303"/>
      <c r="K9" s="1303"/>
      <c r="L9" s="1303"/>
      <c r="M9" s="1303"/>
      <c r="N9" s="1303"/>
      <c r="O9" s="1303"/>
      <c r="P9" s="1304"/>
    </row>
    <row r="10" spans="1:18" s="220" customFormat="1" ht="18" customHeight="1" thickBot="1">
      <c r="A10" s="586"/>
      <c r="B10" s="587"/>
      <c r="D10" s="1322"/>
      <c r="E10" s="1322"/>
      <c r="F10" s="1322"/>
      <c r="G10" s="1322"/>
      <c r="H10" s="1322"/>
      <c r="I10" s="1322"/>
      <c r="L10" s="579"/>
    </row>
    <row r="11" spans="1:18" s="220" customFormat="1" ht="54.75" customHeight="1" thickBot="1">
      <c r="A11" s="586"/>
      <c r="B11" s="587"/>
      <c r="C11" s="1302" t="s">
        <v>513</v>
      </c>
      <c r="D11" s="1303"/>
      <c r="E11" s="1303"/>
      <c r="F11" s="1303"/>
      <c r="G11" s="1303"/>
      <c r="H11" s="1303"/>
      <c r="I11" s="1303"/>
      <c r="J11" s="1303"/>
      <c r="K11" s="1303"/>
      <c r="L11" s="1303"/>
      <c r="M11" s="1303"/>
      <c r="N11" s="1303"/>
      <c r="O11" s="1303"/>
      <c r="P11" s="1304"/>
    </row>
    <row r="12" spans="1:18" s="220" customFormat="1" ht="18" customHeight="1" thickBot="1">
      <c r="A12" s="586"/>
      <c r="B12" s="587"/>
      <c r="D12" s="577"/>
      <c r="E12" s="578"/>
      <c r="F12" s="578"/>
      <c r="G12" s="578"/>
      <c r="H12" s="578"/>
      <c r="I12" s="578"/>
      <c r="L12" s="579"/>
    </row>
    <row r="13" spans="1:18" s="220" customFormat="1" ht="18" customHeight="1">
      <c r="A13" s="586"/>
      <c r="B13" s="587"/>
      <c r="C13" s="1299" t="s">
        <v>514</v>
      </c>
      <c r="D13" s="1300"/>
      <c r="E13" s="1300"/>
      <c r="F13" s="1300"/>
      <c r="G13" s="1300"/>
      <c r="H13" s="1300"/>
      <c r="I13" s="1300"/>
      <c r="J13" s="1300"/>
      <c r="K13" s="1301"/>
      <c r="L13" s="579"/>
      <c r="M13" s="224"/>
    </row>
    <row r="14" spans="1:18" s="220" customFormat="1" ht="29.25" customHeight="1">
      <c r="A14" s="586"/>
      <c r="B14" s="587" t="s">
        <v>515</v>
      </c>
      <c r="C14" s="593" t="s">
        <v>516</v>
      </c>
      <c r="D14" s="1068" t="s">
        <v>391</v>
      </c>
      <c r="E14" s="1068"/>
      <c r="F14" s="1068"/>
      <c r="G14" s="117" t="s">
        <v>122</v>
      </c>
      <c r="H14" s="117" t="s">
        <v>394</v>
      </c>
      <c r="I14" s="1068" t="s">
        <v>405</v>
      </c>
      <c r="J14" s="1068"/>
      <c r="K14" s="595" t="s">
        <v>397</v>
      </c>
      <c r="L14" s="579"/>
      <c r="M14" s="582"/>
    </row>
    <row r="15" spans="1:18" s="220" customFormat="1" ht="18" customHeight="1">
      <c r="A15" s="586"/>
      <c r="B15" s="587">
        <f t="shared" ref="B15:B46" si="0">IFERROR(K15/$K$265,0)</f>
        <v>0</v>
      </c>
      <c r="C15" s="594">
        <v>1</v>
      </c>
      <c r="D15" s="1182"/>
      <c r="E15" s="1182"/>
      <c r="F15" s="1182"/>
      <c r="G15" s="182"/>
      <c r="H15" s="182"/>
      <c r="I15" s="1307"/>
      <c r="J15" s="1307"/>
      <c r="K15" s="596">
        <f>H15*I15</f>
        <v>0</v>
      </c>
      <c r="L15" s="584"/>
      <c r="M15" s="581"/>
    </row>
    <row r="16" spans="1:18" s="220" customFormat="1" ht="18" customHeight="1">
      <c r="A16" s="586"/>
      <c r="B16" s="587">
        <f t="shared" si="0"/>
        <v>0</v>
      </c>
      <c r="C16" s="594">
        <v>2</v>
      </c>
      <c r="D16" s="1182"/>
      <c r="E16" s="1182"/>
      <c r="F16" s="1182"/>
      <c r="G16" s="182"/>
      <c r="H16" s="182"/>
      <c r="I16" s="1307"/>
      <c r="J16" s="1307"/>
      <c r="K16" s="596">
        <f t="shared" ref="K16:K238" si="1">H16*I16</f>
        <v>0</v>
      </c>
      <c r="L16" s="584"/>
      <c r="M16" s="581"/>
    </row>
    <row r="17" spans="1:13" s="220" customFormat="1" ht="18" customHeight="1">
      <c r="A17" s="586"/>
      <c r="B17" s="587">
        <f t="shared" si="0"/>
        <v>0</v>
      </c>
      <c r="C17" s="594">
        <v>3</v>
      </c>
      <c r="D17" s="1182"/>
      <c r="E17" s="1182"/>
      <c r="F17" s="1182"/>
      <c r="G17" s="182"/>
      <c r="H17" s="182"/>
      <c r="I17" s="1307"/>
      <c r="J17" s="1307"/>
      <c r="K17" s="596">
        <f t="shared" ref="K17:K80" si="2">H17*I17</f>
        <v>0</v>
      </c>
      <c r="L17" s="584"/>
      <c r="M17" s="581"/>
    </row>
    <row r="18" spans="1:13" s="220" customFormat="1" ht="18" customHeight="1">
      <c r="A18" s="586"/>
      <c r="B18" s="587">
        <f t="shared" si="0"/>
        <v>0</v>
      </c>
      <c r="C18" s="594">
        <v>4</v>
      </c>
      <c r="D18" s="1182"/>
      <c r="E18" s="1182"/>
      <c r="F18" s="1182"/>
      <c r="G18" s="182"/>
      <c r="H18" s="182"/>
      <c r="I18" s="1307"/>
      <c r="J18" s="1307"/>
      <c r="K18" s="596">
        <f t="shared" si="2"/>
        <v>0</v>
      </c>
      <c r="L18" s="584"/>
      <c r="M18" s="581"/>
    </row>
    <row r="19" spans="1:13" s="220" customFormat="1" ht="18" customHeight="1">
      <c r="A19" s="586"/>
      <c r="B19" s="587">
        <f t="shared" si="0"/>
        <v>0</v>
      </c>
      <c r="C19" s="594">
        <v>5</v>
      </c>
      <c r="D19" s="1182"/>
      <c r="E19" s="1182"/>
      <c r="F19" s="1182"/>
      <c r="G19" s="182"/>
      <c r="H19" s="182"/>
      <c r="I19" s="1307"/>
      <c r="J19" s="1307"/>
      <c r="K19" s="596">
        <f t="shared" si="2"/>
        <v>0</v>
      </c>
      <c r="L19" s="584"/>
      <c r="M19" s="581"/>
    </row>
    <row r="20" spans="1:13" s="220" customFormat="1" ht="18" hidden="1" customHeight="1">
      <c r="A20" s="586"/>
      <c r="B20" s="587">
        <f t="shared" si="0"/>
        <v>0</v>
      </c>
      <c r="C20" s="594">
        <v>6</v>
      </c>
      <c r="D20" s="1182"/>
      <c r="E20" s="1182"/>
      <c r="F20" s="1182"/>
      <c r="G20" s="182"/>
      <c r="H20" s="182"/>
      <c r="I20" s="1307"/>
      <c r="J20" s="1307"/>
      <c r="K20" s="596">
        <f t="shared" si="2"/>
        <v>0</v>
      </c>
      <c r="L20" s="584"/>
      <c r="M20" s="581"/>
    </row>
    <row r="21" spans="1:13" s="220" customFormat="1" ht="18" hidden="1" customHeight="1">
      <c r="A21" s="586"/>
      <c r="B21" s="587">
        <f t="shared" si="0"/>
        <v>0</v>
      </c>
      <c r="C21" s="594">
        <v>7</v>
      </c>
      <c r="D21" s="1182"/>
      <c r="E21" s="1182"/>
      <c r="F21" s="1182"/>
      <c r="G21" s="182"/>
      <c r="H21" s="182"/>
      <c r="I21" s="1307"/>
      <c r="J21" s="1307"/>
      <c r="K21" s="596">
        <f t="shared" si="2"/>
        <v>0</v>
      </c>
      <c r="L21" s="584"/>
      <c r="M21" s="581"/>
    </row>
    <row r="22" spans="1:13" s="220" customFormat="1" ht="18" hidden="1" customHeight="1">
      <c r="A22" s="586"/>
      <c r="B22" s="587">
        <f t="shared" si="0"/>
        <v>0</v>
      </c>
      <c r="C22" s="594">
        <v>8</v>
      </c>
      <c r="D22" s="1182"/>
      <c r="E22" s="1182"/>
      <c r="F22" s="1182"/>
      <c r="G22" s="182"/>
      <c r="H22" s="182"/>
      <c r="I22" s="1307"/>
      <c r="J22" s="1307"/>
      <c r="K22" s="596">
        <f t="shared" si="2"/>
        <v>0</v>
      </c>
      <c r="L22" s="584"/>
      <c r="M22" s="581"/>
    </row>
    <row r="23" spans="1:13" s="220" customFormat="1" ht="18" hidden="1" customHeight="1">
      <c r="A23" s="586"/>
      <c r="B23" s="587">
        <f t="shared" si="0"/>
        <v>0</v>
      </c>
      <c r="C23" s="594">
        <v>9</v>
      </c>
      <c r="D23" s="1182"/>
      <c r="E23" s="1182"/>
      <c r="F23" s="1182"/>
      <c r="G23" s="182"/>
      <c r="H23" s="182"/>
      <c r="I23" s="1307"/>
      <c r="J23" s="1307"/>
      <c r="K23" s="596">
        <f t="shared" si="2"/>
        <v>0</v>
      </c>
      <c r="L23" s="584"/>
      <c r="M23" s="581"/>
    </row>
    <row r="24" spans="1:13" s="220" customFormat="1" ht="18" hidden="1" customHeight="1">
      <c r="A24" s="586"/>
      <c r="B24" s="587">
        <f t="shared" si="0"/>
        <v>0</v>
      </c>
      <c r="C24" s="594">
        <v>10</v>
      </c>
      <c r="D24" s="1182"/>
      <c r="E24" s="1182"/>
      <c r="F24" s="1182"/>
      <c r="G24" s="182"/>
      <c r="H24" s="182"/>
      <c r="I24" s="1307"/>
      <c r="J24" s="1307"/>
      <c r="K24" s="596">
        <f t="shared" si="2"/>
        <v>0</v>
      </c>
      <c r="L24" s="584"/>
      <c r="M24" s="581"/>
    </row>
    <row r="25" spans="1:13" s="220" customFormat="1" ht="18" hidden="1" customHeight="1">
      <c r="A25" s="586"/>
      <c r="B25" s="587">
        <f t="shared" si="0"/>
        <v>0</v>
      </c>
      <c r="C25" s="594">
        <v>11</v>
      </c>
      <c r="D25" s="1182"/>
      <c r="E25" s="1182"/>
      <c r="F25" s="1182"/>
      <c r="G25" s="182"/>
      <c r="H25" s="182"/>
      <c r="I25" s="1307"/>
      <c r="J25" s="1307"/>
      <c r="K25" s="596">
        <f t="shared" si="2"/>
        <v>0</v>
      </c>
      <c r="L25" s="584"/>
      <c r="M25" s="581"/>
    </row>
    <row r="26" spans="1:13" s="220" customFormat="1" ht="18" hidden="1" customHeight="1">
      <c r="A26" s="586"/>
      <c r="B26" s="587">
        <f t="shared" si="0"/>
        <v>0</v>
      </c>
      <c r="C26" s="594">
        <v>12</v>
      </c>
      <c r="D26" s="1182"/>
      <c r="E26" s="1182"/>
      <c r="F26" s="1182"/>
      <c r="G26" s="182"/>
      <c r="H26" s="182"/>
      <c r="I26" s="1307"/>
      <c r="J26" s="1307"/>
      <c r="K26" s="596">
        <f t="shared" si="2"/>
        <v>0</v>
      </c>
      <c r="L26" s="584"/>
      <c r="M26" s="581"/>
    </row>
    <row r="27" spans="1:13" s="220" customFormat="1" ht="18" hidden="1" customHeight="1">
      <c r="A27" s="586"/>
      <c r="B27" s="587">
        <f t="shared" si="0"/>
        <v>0</v>
      </c>
      <c r="C27" s="594">
        <v>13</v>
      </c>
      <c r="D27" s="1182"/>
      <c r="E27" s="1182"/>
      <c r="F27" s="1182"/>
      <c r="G27" s="182"/>
      <c r="H27" s="182"/>
      <c r="I27" s="1307"/>
      <c r="J27" s="1307"/>
      <c r="K27" s="596">
        <f t="shared" si="2"/>
        <v>0</v>
      </c>
      <c r="L27" s="584"/>
      <c r="M27" s="581"/>
    </row>
    <row r="28" spans="1:13" s="220" customFormat="1" ht="18" hidden="1" customHeight="1">
      <c r="A28" s="586"/>
      <c r="B28" s="587">
        <f t="shared" si="0"/>
        <v>0</v>
      </c>
      <c r="C28" s="594">
        <v>14</v>
      </c>
      <c r="D28" s="1182"/>
      <c r="E28" s="1182"/>
      <c r="F28" s="1182"/>
      <c r="G28" s="182"/>
      <c r="H28" s="182"/>
      <c r="I28" s="1307"/>
      <c r="J28" s="1307"/>
      <c r="K28" s="596">
        <f t="shared" si="2"/>
        <v>0</v>
      </c>
      <c r="L28" s="584"/>
      <c r="M28" s="581"/>
    </row>
    <row r="29" spans="1:13" s="220" customFormat="1" ht="18" hidden="1" customHeight="1">
      <c r="A29" s="586"/>
      <c r="B29" s="587">
        <f t="shared" si="0"/>
        <v>0</v>
      </c>
      <c r="C29" s="594">
        <v>15</v>
      </c>
      <c r="D29" s="1182"/>
      <c r="E29" s="1182"/>
      <c r="F29" s="1182"/>
      <c r="G29" s="182"/>
      <c r="H29" s="182"/>
      <c r="I29" s="1307"/>
      <c r="J29" s="1307"/>
      <c r="K29" s="596">
        <f t="shared" si="2"/>
        <v>0</v>
      </c>
      <c r="L29" s="584"/>
      <c r="M29" s="581"/>
    </row>
    <row r="30" spans="1:13" s="220" customFormat="1" ht="18" hidden="1" customHeight="1">
      <c r="A30" s="586"/>
      <c r="B30" s="587">
        <f t="shared" si="0"/>
        <v>0</v>
      </c>
      <c r="C30" s="594">
        <v>16</v>
      </c>
      <c r="D30" s="1182"/>
      <c r="E30" s="1182"/>
      <c r="F30" s="1182"/>
      <c r="G30" s="182"/>
      <c r="H30" s="182"/>
      <c r="I30" s="1307"/>
      <c r="J30" s="1307"/>
      <c r="K30" s="596">
        <f t="shared" si="2"/>
        <v>0</v>
      </c>
      <c r="L30" s="584"/>
      <c r="M30" s="581"/>
    </row>
    <row r="31" spans="1:13" s="220" customFormat="1" ht="18" hidden="1" customHeight="1">
      <c r="A31" s="586"/>
      <c r="B31" s="587">
        <f t="shared" si="0"/>
        <v>0</v>
      </c>
      <c r="C31" s="594">
        <v>17</v>
      </c>
      <c r="D31" s="1182"/>
      <c r="E31" s="1182"/>
      <c r="F31" s="1182"/>
      <c r="G31" s="182"/>
      <c r="H31" s="182"/>
      <c r="I31" s="1307"/>
      <c r="J31" s="1307"/>
      <c r="K31" s="596">
        <f t="shared" si="2"/>
        <v>0</v>
      </c>
      <c r="L31" s="584"/>
      <c r="M31" s="581"/>
    </row>
    <row r="32" spans="1:13" s="220" customFormat="1" ht="18" hidden="1" customHeight="1">
      <c r="A32" s="586"/>
      <c r="B32" s="587">
        <f t="shared" si="0"/>
        <v>0</v>
      </c>
      <c r="C32" s="594">
        <v>18</v>
      </c>
      <c r="D32" s="1182"/>
      <c r="E32" s="1182"/>
      <c r="F32" s="1182"/>
      <c r="G32" s="182"/>
      <c r="H32" s="182"/>
      <c r="I32" s="1307"/>
      <c r="J32" s="1307"/>
      <c r="K32" s="596">
        <f t="shared" si="2"/>
        <v>0</v>
      </c>
      <c r="L32" s="584"/>
      <c r="M32" s="581"/>
    </row>
    <row r="33" spans="1:13" s="220" customFormat="1" ht="18" hidden="1" customHeight="1">
      <c r="A33" s="586"/>
      <c r="B33" s="587">
        <f t="shared" si="0"/>
        <v>0</v>
      </c>
      <c r="C33" s="594">
        <v>19</v>
      </c>
      <c r="D33" s="1182"/>
      <c r="E33" s="1182"/>
      <c r="F33" s="1182"/>
      <c r="G33" s="182"/>
      <c r="H33" s="182"/>
      <c r="I33" s="1307"/>
      <c r="J33" s="1307"/>
      <c r="K33" s="596">
        <f t="shared" si="2"/>
        <v>0</v>
      </c>
      <c r="L33" s="584"/>
      <c r="M33" s="581"/>
    </row>
    <row r="34" spans="1:13" s="220" customFormat="1" ht="18" hidden="1" customHeight="1">
      <c r="A34" s="586"/>
      <c r="B34" s="587">
        <f t="shared" si="0"/>
        <v>0</v>
      </c>
      <c r="C34" s="594">
        <v>20</v>
      </c>
      <c r="D34" s="1182"/>
      <c r="E34" s="1182"/>
      <c r="F34" s="1182"/>
      <c r="G34" s="182"/>
      <c r="H34" s="182"/>
      <c r="I34" s="1307"/>
      <c r="J34" s="1307"/>
      <c r="K34" s="596">
        <f t="shared" si="2"/>
        <v>0</v>
      </c>
      <c r="L34" s="584"/>
      <c r="M34" s="581"/>
    </row>
    <row r="35" spans="1:13" s="220" customFormat="1" ht="18" hidden="1" customHeight="1">
      <c r="A35" s="586"/>
      <c r="B35" s="587">
        <f t="shared" si="0"/>
        <v>0</v>
      </c>
      <c r="C35" s="594">
        <v>21</v>
      </c>
      <c r="D35" s="1182"/>
      <c r="E35" s="1182"/>
      <c r="F35" s="1182"/>
      <c r="G35" s="182"/>
      <c r="H35" s="182"/>
      <c r="I35" s="1307"/>
      <c r="J35" s="1307"/>
      <c r="K35" s="596">
        <f t="shared" si="2"/>
        <v>0</v>
      </c>
      <c r="L35" s="584"/>
      <c r="M35" s="581"/>
    </row>
    <row r="36" spans="1:13" s="220" customFormat="1" ht="18" hidden="1" customHeight="1">
      <c r="A36" s="586"/>
      <c r="B36" s="587">
        <f t="shared" si="0"/>
        <v>0</v>
      </c>
      <c r="C36" s="594">
        <v>22</v>
      </c>
      <c r="D36" s="1182"/>
      <c r="E36" s="1182"/>
      <c r="F36" s="1182"/>
      <c r="G36" s="182"/>
      <c r="H36" s="182"/>
      <c r="I36" s="1307"/>
      <c r="J36" s="1307"/>
      <c r="K36" s="596">
        <f t="shared" si="2"/>
        <v>0</v>
      </c>
      <c r="L36" s="584"/>
      <c r="M36" s="581"/>
    </row>
    <row r="37" spans="1:13" s="220" customFormat="1" ht="18" hidden="1" customHeight="1">
      <c r="A37" s="586"/>
      <c r="B37" s="587">
        <f t="shared" si="0"/>
        <v>0</v>
      </c>
      <c r="C37" s="594">
        <v>23</v>
      </c>
      <c r="D37" s="1182"/>
      <c r="E37" s="1182"/>
      <c r="F37" s="1182"/>
      <c r="G37" s="182"/>
      <c r="H37" s="182"/>
      <c r="I37" s="1307"/>
      <c r="J37" s="1307"/>
      <c r="K37" s="596">
        <f t="shared" si="2"/>
        <v>0</v>
      </c>
      <c r="L37" s="584"/>
      <c r="M37" s="581"/>
    </row>
    <row r="38" spans="1:13" s="220" customFormat="1" ht="18" hidden="1" customHeight="1">
      <c r="A38" s="586"/>
      <c r="B38" s="587">
        <f t="shared" si="0"/>
        <v>0</v>
      </c>
      <c r="C38" s="594">
        <v>24</v>
      </c>
      <c r="D38" s="1182"/>
      <c r="E38" s="1182"/>
      <c r="F38" s="1182"/>
      <c r="G38" s="182"/>
      <c r="H38" s="182"/>
      <c r="I38" s="1307"/>
      <c r="J38" s="1307"/>
      <c r="K38" s="596">
        <f t="shared" si="2"/>
        <v>0</v>
      </c>
      <c r="L38" s="584"/>
      <c r="M38" s="581"/>
    </row>
    <row r="39" spans="1:13" s="220" customFormat="1" ht="18" hidden="1" customHeight="1">
      <c r="A39" s="586"/>
      <c r="B39" s="587">
        <f t="shared" si="0"/>
        <v>0</v>
      </c>
      <c r="C39" s="594">
        <v>25</v>
      </c>
      <c r="D39" s="1182"/>
      <c r="E39" s="1182"/>
      <c r="F39" s="1182"/>
      <c r="G39" s="182"/>
      <c r="H39" s="182"/>
      <c r="I39" s="1307"/>
      <c r="J39" s="1307"/>
      <c r="K39" s="596">
        <f t="shared" si="2"/>
        <v>0</v>
      </c>
      <c r="L39" s="584"/>
      <c r="M39" s="581"/>
    </row>
    <row r="40" spans="1:13" s="220" customFormat="1" ht="18" hidden="1" customHeight="1">
      <c r="A40" s="586"/>
      <c r="B40" s="587">
        <f t="shared" si="0"/>
        <v>0</v>
      </c>
      <c r="C40" s="594">
        <v>26</v>
      </c>
      <c r="D40" s="1182"/>
      <c r="E40" s="1182"/>
      <c r="F40" s="1182"/>
      <c r="G40" s="182"/>
      <c r="H40" s="182"/>
      <c r="I40" s="1307"/>
      <c r="J40" s="1307"/>
      <c r="K40" s="596">
        <f t="shared" si="2"/>
        <v>0</v>
      </c>
      <c r="L40" s="584"/>
      <c r="M40" s="581"/>
    </row>
    <row r="41" spans="1:13" s="220" customFormat="1" ht="18" hidden="1" customHeight="1">
      <c r="A41" s="586"/>
      <c r="B41" s="587">
        <f t="shared" si="0"/>
        <v>0</v>
      </c>
      <c r="C41" s="594">
        <v>27</v>
      </c>
      <c r="D41" s="1182"/>
      <c r="E41" s="1182"/>
      <c r="F41" s="1182"/>
      <c r="G41" s="182"/>
      <c r="H41" s="182"/>
      <c r="I41" s="1307"/>
      <c r="J41" s="1307"/>
      <c r="K41" s="596">
        <f t="shared" si="2"/>
        <v>0</v>
      </c>
      <c r="L41" s="584"/>
      <c r="M41" s="581"/>
    </row>
    <row r="42" spans="1:13" s="220" customFormat="1" ht="18" hidden="1" customHeight="1">
      <c r="A42" s="586"/>
      <c r="B42" s="587">
        <f t="shared" si="0"/>
        <v>0</v>
      </c>
      <c r="C42" s="594">
        <v>28</v>
      </c>
      <c r="D42" s="1182"/>
      <c r="E42" s="1182"/>
      <c r="F42" s="1182"/>
      <c r="G42" s="182"/>
      <c r="H42" s="182"/>
      <c r="I42" s="1307"/>
      <c r="J42" s="1307"/>
      <c r="K42" s="596">
        <f t="shared" si="2"/>
        <v>0</v>
      </c>
      <c r="L42" s="584"/>
      <c r="M42" s="581"/>
    </row>
    <row r="43" spans="1:13" s="220" customFormat="1" ht="18" hidden="1" customHeight="1">
      <c r="A43" s="586"/>
      <c r="B43" s="587">
        <f t="shared" si="0"/>
        <v>0</v>
      </c>
      <c r="C43" s="594">
        <v>29</v>
      </c>
      <c r="D43" s="1182"/>
      <c r="E43" s="1182"/>
      <c r="F43" s="1182"/>
      <c r="G43" s="182"/>
      <c r="H43" s="182"/>
      <c r="I43" s="1307"/>
      <c r="J43" s="1307"/>
      <c r="K43" s="596">
        <f t="shared" si="2"/>
        <v>0</v>
      </c>
      <c r="L43" s="584"/>
      <c r="M43" s="581"/>
    </row>
    <row r="44" spans="1:13" s="220" customFormat="1" ht="18" hidden="1" customHeight="1">
      <c r="A44" s="586"/>
      <c r="B44" s="587">
        <f t="shared" si="0"/>
        <v>0</v>
      </c>
      <c r="C44" s="594">
        <v>30</v>
      </c>
      <c r="D44" s="1182"/>
      <c r="E44" s="1182"/>
      <c r="F44" s="1182"/>
      <c r="G44" s="182"/>
      <c r="H44" s="182"/>
      <c r="I44" s="1307"/>
      <c r="J44" s="1307"/>
      <c r="K44" s="596">
        <f t="shared" si="2"/>
        <v>0</v>
      </c>
      <c r="L44" s="584"/>
      <c r="M44" s="581"/>
    </row>
    <row r="45" spans="1:13" s="220" customFormat="1" ht="18" hidden="1" customHeight="1">
      <c r="A45" s="586"/>
      <c r="B45" s="587">
        <f t="shared" si="0"/>
        <v>0</v>
      </c>
      <c r="C45" s="594">
        <v>31</v>
      </c>
      <c r="D45" s="1182"/>
      <c r="E45" s="1182"/>
      <c r="F45" s="1182"/>
      <c r="G45" s="182"/>
      <c r="H45" s="182"/>
      <c r="I45" s="1307"/>
      <c r="J45" s="1307"/>
      <c r="K45" s="596">
        <f t="shared" si="2"/>
        <v>0</v>
      </c>
      <c r="L45" s="584"/>
      <c r="M45" s="581"/>
    </row>
    <row r="46" spans="1:13" s="220" customFormat="1" ht="18" hidden="1" customHeight="1">
      <c r="A46" s="586"/>
      <c r="B46" s="587">
        <f t="shared" si="0"/>
        <v>0</v>
      </c>
      <c r="C46" s="594">
        <v>32</v>
      </c>
      <c r="D46" s="1182"/>
      <c r="E46" s="1182"/>
      <c r="F46" s="1182"/>
      <c r="G46" s="182"/>
      <c r="H46" s="182"/>
      <c r="I46" s="1307"/>
      <c r="J46" s="1307"/>
      <c r="K46" s="596">
        <f t="shared" si="2"/>
        <v>0</v>
      </c>
      <c r="L46" s="584"/>
      <c r="M46" s="581"/>
    </row>
    <row r="47" spans="1:13" s="220" customFormat="1" ht="18" hidden="1" customHeight="1">
      <c r="A47" s="586"/>
      <c r="B47" s="587">
        <f t="shared" ref="B47:B80" si="3">IFERROR(K47/$K$265,0)</f>
        <v>0</v>
      </c>
      <c r="C47" s="594">
        <v>33</v>
      </c>
      <c r="D47" s="1182"/>
      <c r="E47" s="1182"/>
      <c r="F47" s="1182"/>
      <c r="G47" s="182"/>
      <c r="H47" s="182"/>
      <c r="I47" s="1307"/>
      <c r="J47" s="1307"/>
      <c r="K47" s="596">
        <f t="shared" si="2"/>
        <v>0</v>
      </c>
      <c r="L47" s="584"/>
      <c r="M47" s="581"/>
    </row>
    <row r="48" spans="1:13" s="220" customFormat="1" ht="18" hidden="1" customHeight="1">
      <c r="A48" s="586"/>
      <c r="B48" s="587">
        <f t="shared" si="3"/>
        <v>0</v>
      </c>
      <c r="C48" s="594">
        <v>34</v>
      </c>
      <c r="D48" s="1182"/>
      <c r="E48" s="1182"/>
      <c r="F48" s="1182"/>
      <c r="G48" s="182"/>
      <c r="H48" s="182"/>
      <c r="I48" s="1307"/>
      <c r="J48" s="1307"/>
      <c r="K48" s="596">
        <f t="shared" si="2"/>
        <v>0</v>
      </c>
      <c r="L48" s="584"/>
      <c r="M48" s="581"/>
    </row>
    <row r="49" spans="1:13" s="220" customFormat="1" ht="18" hidden="1" customHeight="1">
      <c r="A49" s="586"/>
      <c r="B49" s="587">
        <f t="shared" si="3"/>
        <v>0</v>
      </c>
      <c r="C49" s="594">
        <v>35</v>
      </c>
      <c r="D49" s="1182"/>
      <c r="E49" s="1182"/>
      <c r="F49" s="1182"/>
      <c r="G49" s="182"/>
      <c r="H49" s="182"/>
      <c r="I49" s="1307"/>
      <c r="J49" s="1307"/>
      <c r="K49" s="596">
        <f t="shared" si="2"/>
        <v>0</v>
      </c>
      <c r="L49" s="584"/>
      <c r="M49" s="581"/>
    </row>
    <row r="50" spans="1:13" s="220" customFormat="1" ht="18" hidden="1" customHeight="1">
      <c r="A50" s="586"/>
      <c r="B50" s="587">
        <f t="shared" si="3"/>
        <v>0</v>
      </c>
      <c r="C50" s="594">
        <v>36</v>
      </c>
      <c r="D50" s="1182"/>
      <c r="E50" s="1182"/>
      <c r="F50" s="1182"/>
      <c r="G50" s="182"/>
      <c r="H50" s="182"/>
      <c r="I50" s="1307"/>
      <c r="J50" s="1307"/>
      <c r="K50" s="596">
        <f t="shared" si="2"/>
        <v>0</v>
      </c>
      <c r="L50" s="584"/>
      <c r="M50" s="581"/>
    </row>
    <row r="51" spans="1:13" s="220" customFormat="1" ht="18" hidden="1" customHeight="1">
      <c r="A51" s="586"/>
      <c r="B51" s="587">
        <f t="shared" si="3"/>
        <v>0</v>
      </c>
      <c r="C51" s="594">
        <v>37</v>
      </c>
      <c r="D51" s="1182"/>
      <c r="E51" s="1182"/>
      <c r="F51" s="1182"/>
      <c r="G51" s="182"/>
      <c r="H51" s="182"/>
      <c r="I51" s="1307"/>
      <c r="J51" s="1307"/>
      <c r="K51" s="596">
        <f t="shared" si="2"/>
        <v>0</v>
      </c>
      <c r="L51" s="584"/>
      <c r="M51" s="581"/>
    </row>
    <row r="52" spans="1:13" s="220" customFormat="1" ht="18" hidden="1" customHeight="1">
      <c r="A52" s="586"/>
      <c r="B52" s="587">
        <f t="shared" si="3"/>
        <v>0</v>
      </c>
      <c r="C52" s="594">
        <v>38</v>
      </c>
      <c r="D52" s="1182"/>
      <c r="E52" s="1182"/>
      <c r="F52" s="1182"/>
      <c r="G52" s="182"/>
      <c r="H52" s="182"/>
      <c r="I52" s="1307"/>
      <c r="J52" s="1307"/>
      <c r="K52" s="596">
        <f t="shared" si="2"/>
        <v>0</v>
      </c>
      <c r="L52" s="584"/>
      <c r="M52" s="581"/>
    </row>
    <row r="53" spans="1:13" s="220" customFormat="1" ht="18" hidden="1" customHeight="1">
      <c r="A53" s="586"/>
      <c r="B53" s="587">
        <f t="shared" si="3"/>
        <v>0</v>
      </c>
      <c r="C53" s="594">
        <v>39</v>
      </c>
      <c r="D53" s="1182"/>
      <c r="E53" s="1182"/>
      <c r="F53" s="1182"/>
      <c r="G53" s="182"/>
      <c r="H53" s="182"/>
      <c r="I53" s="1307"/>
      <c r="J53" s="1307"/>
      <c r="K53" s="596">
        <f t="shared" si="2"/>
        <v>0</v>
      </c>
      <c r="L53" s="584"/>
      <c r="M53" s="581"/>
    </row>
    <row r="54" spans="1:13" s="220" customFormat="1" ht="18" hidden="1" customHeight="1">
      <c r="A54" s="586"/>
      <c r="B54" s="587">
        <f t="shared" si="3"/>
        <v>0</v>
      </c>
      <c r="C54" s="594">
        <v>40</v>
      </c>
      <c r="D54" s="1182"/>
      <c r="E54" s="1182"/>
      <c r="F54" s="1182"/>
      <c r="G54" s="182"/>
      <c r="H54" s="182"/>
      <c r="I54" s="1307"/>
      <c r="J54" s="1307"/>
      <c r="K54" s="596">
        <f t="shared" si="2"/>
        <v>0</v>
      </c>
      <c r="L54" s="584"/>
      <c r="M54" s="581"/>
    </row>
    <row r="55" spans="1:13" s="220" customFormat="1" ht="18" hidden="1" customHeight="1">
      <c r="A55" s="586"/>
      <c r="B55" s="587">
        <f t="shared" si="3"/>
        <v>0</v>
      </c>
      <c r="C55" s="594">
        <v>41</v>
      </c>
      <c r="D55" s="1182"/>
      <c r="E55" s="1182"/>
      <c r="F55" s="1182"/>
      <c r="G55" s="182"/>
      <c r="H55" s="182"/>
      <c r="I55" s="1307"/>
      <c r="J55" s="1307"/>
      <c r="K55" s="596">
        <f t="shared" si="2"/>
        <v>0</v>
      </c>
      <c r="L55" s="584"/>
      <c r="M55" s="581"/>
    </row>
    <row r="56" spans="1:13" s="220" customFormat="1" ht="18" hidden="1" customHeight="1">
      <c r="A56" s="586"/>
      <c r="B56" s="587">
        <f t="shared" si="3"/>
        <v>0</v>
      </c>
      <c r="C56" s="594">
        <v>42</v>
      </c>
      <c r="D56" s="1182"/>
      <c r="E56" s="1182"/>
      <c r="F56" s="1182"/>
      <c r="G56" s="182"/>
      <c r="H56" s="182"/>
      <c r="I56" s="1307"/>
      <c r="J56" s="1307"/>
      <c r="K56" s="596">
        <f t="shared" si="2"/>
        <v>0</v>
      </c>
      <c r="L56" s="584"/>
      <c r="M56" s="581"/>
    </row>
    <row r="57" spans="1:13" s="220" customFormat="1" ht="18" hidden="1" customHeight="1">
      <c r="A57" s="586"/>
      <c r="B57" s="587">
        <f t="shared" si="3"/>
        <v>0</v>
      </c>
      <c r="C57" s="594">
        <v>43</v>
      </c>
      <c r="D57" s="1182"/>
      <c r="E57" s="1182"/>
      <c r="F57" s="1182"/>
      <c r="G57" s="182"/>
      <c r="H57" s="182"/>
      <c r="I57" s="1307"/>
      <c r="J57" s="1307"/>
      <c r="K57" s="596">
        <f t="shared" si="2"/>
        <v>0</v>
      </c>
      <c r="L57" s="584"/>
      <c r="M57" s="581"/>
    </row>
    <row r="58" spans="1:13" s="220" customFormat="1" ht="18" hidden="1" customHeight="1">
      <c r="A58" s="586"/>
      <c r="B58" s="587">
        <f t="shared" si="3"/>
        <v>0</v>
      </c>
      <c r="C58" s="594">
        <v>44</v>
      </c>
      <c r="D58" s="1182"/>
      <c r="E58" s="1182"/>
      <c r="F58" s="1182"/>
      <c r="G58" s="182"/>
      <c r="H58" s="182"/>
      <c r="I58" s="1307"/>
      <c r="J58" s="1307"/>
      <c r="K58" s="596">
        <f t="shared" si="2"/>
        <v>0</v>
      </c>
      <c r="L58" s="584"/>
      <c r="M58" s="581"/>
    </row>
    <row r="59" spans="1:13" s="220" customFormat="1" ht="18" hidden="1" customHeight="1">
      <c r="A59" s="586"/>
      <c r="B59" s="587">
        <f t="shared" si="3"/>
        <v>0</v>
      </c>
      <c r="C59" s="594">
        <v>45</v>
      </c>
      <c r="D59" s="1182"/>
      <c r="E59" s="1182"/>
      <c r="F59" s="1182"/>
      <c r="G59" s="182"/>
      <c r="H59" s="182"/>
      <c r="I59" s="1307"/>
      <c r="J59" s="1307"/>
      <c r="K59" s="596">
        <f t="shared" si="2"/>
        <v>0</v>
      </c>
      <c r="L59" s="584"/>
      <c r="M59" s="581"/>
    </row>
    <row r="60" spans="1:13" s="220" customFormat="1" ht="18" hidden="1" customHeight="1">
      <c r="A60" s="586"/>
      <c r="B60" s="587">
        <f t="shared" si="3"/>
        <v>0</v>
      </c>
      <c r="C60" s="594">
        <v>46</v>
      </c>
      <c r="D60" s="1182"/>
      <c r="E60" s="1182"/>
      <c r="F60" s="1182"/>
      <c r="G60" s="182"/>
      <c r="H60" s="182"/>
      <c r="I60" s="1307"/>
      <c r="J60" s="1307"/>
      <c r="K60" s="596">
        <f t="shared" si="2"/>
        <v>0</v>
      </c>
      <c r="L60" s="584"/>
      <c r="M60" s="581"/>
    </row>
    <row r="61" spans="1:13" s="220" customFormat="1" ht="18" hidden="1" customHeight="1">
      <c r="A61" s="586"/>
      <c r="B61" s="587">
        <f t="shared" si="3"/>
        <v>0</v>
      </c>
      <c r="C61" s="594">
        <v>47</v>
      </c>
      <c r="D61" s="1182"/>
      <c r="E61" s="1182"/>
      <c r="F61" s="1182"/>
      <c r="G61" s="182"/>
      <c r="H61" s="182"/>
      <c r="I61" s="1307"/>
      <c r="J61" s="1307"/>
      <c r="K61" s="596">
        <f t="shared" si="2"/>
        <v>0</v>
      </c>
      <c r="L61" s="584"/>
      <c r="M61" s="581"/>
    </row>
    <row r="62" spans="1:13" s="220" customFormat="1" ht="18" hidden="1" customHeight="1">
      <c r="A62" s="586"/>
      <c r="B62" s="587">
        <f t="shared" si="3"/>
        <v>0</v>
      </c>
      <c r="C62" s="594">
        <v>48</v>
      </c>
      <c r="D62" s="1182"/>
      <c r="E62" s="1182"/>
      <c r="F62" s="1182"/>
      <c r="G62" s="182"/>
      <c r="H62" s="182"/>
      <c r="I62" s="1307"/>
      <c r="J62" s="1307"/>
      <c r="K62" s="596">
        <f t="shared" si="2"/>
        <v>0</v>
      </c>
      <c r="L62" s="584"/>
      <c r="M62" s="581"/>
    </row>
    <row r="63" spans="1:13" s="220" customFormat="1" ht="18" hidden="1" customHeight="1">
      <c r="A63" s="586"/>
      <c r="B63" s="587">
        <f t="shared" si="3"/>
        <v>0</v>
      </c>
      <c r="C63" s="594">
        <v>49</v>
      </c>
      <c r="D63" s="1182"/>
      <c r="E63" s="1182"/>
      <c r="F63" s="1182"/>
      <c r="G63" s="182"/>
      <c r="H63" s="182"/>
      <c r="I63" s="1307"/>
      <c r="J63" s="1307"/>
      <c r="K63" s="596">
        <f t="shared" si="2"/>
        <v>0</v>
      </c>
      <c r="L63" s="584"/>
      <c r="M63" s="581"/>
    </row>
    <row r="64" spans="1:13" s="220" customFormat="1" ht="18" hidden="1" customHeight="1">
      <c r="A64" s="586"/>
      <c r="B64" s="587">
        <f t="shared" si="3"/>
        <v>0</v>
      </c>
      <c r="C64" s="594">
        <v>50</v>
      </c>
      <c r="D64" s="1182"/>
      <c r="E64" s="1182"/>
      <c r="F64" s="1182"/>
      <c r="G64" s="182"/>
      <c r="H64" s="182"/>
      <c r="I64" s="1307"/>
      <c r="J64" s="1307"/>
      <c r="K64" s="596">
        <f t="shared" si="2"/>
        <v>0</v>
      </c>
      <c r="L64" s="584"/>
      <c r="M64" s="581"/>
    </row>
    <row r="65" spans="1:13" s="220" customFormat="1" ht="18" hidden="1" customHeight="1">
      <c r="A65" s="586"/>
      <c r="B65" s="587">
        <f t="shared" si="3"/>
        <v>0</v>
      </c>
      <c r="C65" s="594">
        <v>51</v>
      </c>
      <c r="D65" s="1182"/>
      <c r="E65" s="1182"/>
      <c r="F65" s="1182"/>
      <c r="G65" s="182"/>
      <c r="H65" s="182"/>
      <c r="I65" s="1307"/>
      <c r="J65" s="1307"/>
      <c r="K65" s="596">
        <f t="shared" si="2"/>
        <v>0</v>
      </c>
      <c r="L65" s="584"/>
      <c r="M65" s="581"/>
    </row>
    <row r="66" spans="1:13" s="220" customFormat="1" ht="18" hidden="1" customHeight="1">
      <c r="A66" s="586"/>
      <c r="B66" s="587">
        <f t="shared" si="3"/>
        <v>0</v>
      </c>
      <c r="C66" s="594">
        <v>52</v>
      </c>
      <c r="D66" s="1182"/>
      <c r="E66" s="1182"/>
      <c r="F66" s="1182"/>
      <c r="G66" s="182"/>
      <c r="H66" s="182"/>
      <c r="I66" s="1307"/>
      <c r="J66" s="1307"/>
      <c r="K66" s="596">
        <f t="shared" si="2"/>
        <v>0</v>
      </c>
      <c r="L66" s="584"/>
      <c r="M66" s="581"/>
    </row>
    <row r="67" spans="1:13" s="220" customFormat="1" ht="18" hidden="1" customHeight="1">
      <c r="A67" s="586"/>
      <c r="B67" s="587">
        <f t="shared" si="3"/>
        <v>0</v>
      </c>
      <c r="C67" s="594">
        <v>53</v>
      </c>
      <c r="D67" s="1182"/>
      <c r="E67" s="1182"/>
      <c r="F67" s="1182"/>
      <c r="G67" s="182"/>
      <c r="H67" s="182"/>
      <c r="I67" s="1307"/>
      <c r="J67" s="1307"/>
      <c r="K67" s="596">
        <f t="shared" si="2"/>
        <v>0</v>
      </c>
      <c r="L67" s="584"/>
      <c r="M67" s="581"/>
    </row>
    <row r="68" spans="1:13" s="220" customFormat="1" ht="18" hidden="1" customHeight="1">
      <c r="A68" s="586"/>
      <c r="B68" s="587">
        <f t="shared" si="3"/>
        <v>0</v>
      </c>
      <c r="C68" s="594">
        <v>54</v>
      </c>
      <c r="D68" s="1182"/>
      <c r="E68" s="1182"/>
      <c r="F68" s="1182"/>
      <c r="G68" s="182"/>
      <c r="H68" s="182"/>
      <c r="I68" s="1307"/>
      <c r="J68" s="1307"/>
      <c r="K68" s="596">
        <f t="shared" si="2"/>
        <v>0</v>
      </c>
      <c r="L68" s="584"/>
      <c r="M68" s="581"/>
    </row>
    <row r="69" spans="1:13" s="220" customFormat="1" ht="18" hidden="1" customHeight="1">
      <c r="A69" s="586"/>
      <c r="B69" s="587">
        <f t="shared" si="3"/>
        <v>0</v>
      </c>
      <c r="C69" s="594">
        <v>55</v>
      </c>
      <c r="D69" s="1182"/>
      <c r="E69" s="1182"/>
      <c r="F69" s="1182"/>
      <c r="G69" s="182"/>
      <c r="H69" s="182"/>
      <c r="I69" s="1307"/>
      <c r="J69" s="1307"/>
      <c r="K69" s="596">
        <f t="shared" si="2"/>
        <v>0</v>
      </c>
      <c r="L69" s="584"/>
      <c r="M69" s="581"/>
    </row>
    <row r="70" spans="1:13" s="220" customFormat="1" ht="18" hidden="1" customHeight="1">
      <c r="A70" s="586"/>
      <c r="B70" s="587">
        <f t="shared" si="3"/>
        <v>0</v>
      </c>
      <c r="C70" s="594">
        <v>56</v>
      </c>
      <c r="D70" s="1182"/>
      <c r="E70" s="1182"/>
      <c r="F70" s="1182"/>
      <c r="G70" s="182"/>
      <c r="H70" s="182"/>
      <c r="I70" s="1307"/>
      <c r="J70" s="1307"/>
      <c r="K70" s="596">
        <f t="shared" si="2"/>
        <v>0</v>
      </c>
      <c r="L70" s="584"/>
      <c r="M70" s="581"/>
    </row>
    <row r="71" spans="1:13" s="220" customFormat="1" ht="18" hidden="1" customHeight="1">
      <c r="A71" s="586"/>
      <c r="B71" s="587">
        <f t="shared" si="3"/>
        <v>0</v>
      </c>
      <c r="C71" s="594">
        <v>57</v>
      </c>
      <c r="D71" s="1182"/>
      <c r="E71" s="1182"/>
      <c r="F71" s="1182"/>
      <c r="G71" s="182"/>
      <c r="H71" s="182"/>
      <c r="I71" s="1307"/>
      <c r="J71" s="1307"/>
      <c r="K71" s="596">
        <f t="shared" si="2"/>
        <v>0</v>
      </c>
      <c r="L71" s="584"/>
      <c r="M71" s="581"/>
    </row>
    <row r="72" spans="1:13" s="220" customFormat="1" ht="18" hidden="1" customHeight="1">
      <c r="A72" s="586"/>
      <c r="B72" s="587">
        <f t="shared" si="3"/>
        <v>0</v>
      </c>
      <c r="C72" s="594">
        <v>58</v>
      </c>
      <c r="D72" s="1182"/>
      <c r="E72" s="1182"/>
      <c r="F72" s="1182"/>
      <c r="G72" s="182"/>
      <c r="H72" s="182"/>
      <c r="I72" s="1307"/>
      <c r="J72" s="1307"/>
      <c r="K72" s="596">
        <f t="shared" si="2"/>
        <v>0</v>
      </c>
      <c r="L72" s="584"/>
      <c r="M72" s="581"/>
    </row>
    <row r="73" spans="1:13" s="220" customFormat="1" ht="18" hidden="1" customHeight="1">
      <c r="A73" s="586"/>
      <c r="B73" s="587">
        <f t="shared" si="3"/>
        <v>0</v>
      </c>
      <c r="C73" s="594">
        <v>59</v>
      </c>
      <c r="D73" s="1182"/>
      <c r="E73" s="1182"/>
      <c r="F73" s="1182"/>
      <c r="G73" s="182"/>
      <c r="H73" s="182"/>
      <c r="I73" s="1307"/>
      <c r="J73" s="1307"/>
      <c r="K73" s="596">
        <f t="shared" si="2"/>
        <v>0</v>
      </c>
      <c r="L73" s="584"/>
      <c r="M73" s="581"/>
    </row>
    <row r="74" spans="1:13" s="220" customFormat="1" ht="18" hidden="1" customHeight="1">
      <c r="A74" s="586"/>
      <c r="B74" s="587">
        <f t="shared" si="3"/>
        <v>0</v>
      </c>
      <c r="C74" s="594">
        <v>60</v>
      </c>
      <c r="D74" s="1182"/>
      <c r="E74" s="1182"/>
      <c r="F74" s="1182"/>
      <c r="G74" s="182"/>
      <c r="H74" s="182"/>
      <c r="I74" s="1307"/>
      <c r="J74" s="1307"/>
      <c r="K74" s="596">
        <f t="shared" si="2"/>
        <v>0</v>
      </c>
      <c r="L74" s="584"/>
      <c r="M74" s="581"/>
    </row>
    <row r="75" spans="1:13" s="220" customFormat="1" ht="18" hidden="1" customHeight="1">
      <c r="A75" s="586"/>
      <c r="B75" s="587">
        <f t="shared" si="3"/>
        <v>0</v>
      </c>
      <c r="C75" s="594">
        <v>61</v>
      </c>
      <c r="D75" s="1182"/>
      <c r="E75" s="1182"/>
      <c r="F75" s="1182"/>
      <c r="G75" s="182"/>
      <c r="H75" s="182"/>
      <c r="I75" s="1307"/>
      <c r="J75" s="1307"/>
      <c r="K75" s="596">
        <f t="shared" si="2"/>
        <v>0</v>
      </c>
      <c r="L75" s="584"/>
      <c r="M75" s="581"/>
    </row>
    <row r="76" spans="1:13" s="220" customFormat="1" ht="18" hidden="1" customHeight="1">
      <c r="A76" s="586"/>
      <c r="B76" s="587">
        <f t="shared" si="3"/>
        <v>0</v>
      </c>
      <c r="C76" s="594">
        <v>62</v>
      </c>
      <c r="D76" s="1182"/>
      <c r="E76" s="1182"/>
      <c r="F76" s="1182"/>
      <c r="G76" s="182"/>
      <c r="H76" s="182"/>
      <c r="I76" s="1307"/>
      <c r="J76" s="1307"/>
      <c r="K76" s="596">
        <f t="shared" si="2"/>
        <v>0</v>
      </c>
      <c r="L76" s="584"/>
      <c r="M76" s="581"/>
    </row>
    <row r="77" spans="1:13" s="220" customFormat="1" ht="18" hidden="1" customHeight="1">
      <c r="A77" s="586"/>
      <c r="B77" s="587">
        <f t="shared" si="3"/>
        <v>0</v>
      </c>
      <c r="C77" s="594">
        <v>63</v>
      </c>
      <c r="D77" s="1182"/>
      <c r="E77" s="1182"/>
      <c r="F77" s="1182"/>
      <c r="G77" s="182"/>
      <c r="H77" s="182"/>
      <c r="I77" s="1307"/>
      <c r="J77" s="1307"/>
      <c r="K77" s="596">
        <f t="shared" si="2"/>
        <v>0</v>
      </c>
      <c r="L77" s="584"/>
      <c r="M77" s="581"/>
    </row>
    <row r="78" spans="1:13" s="220" customFormat="1" ht="18" hidden="1" customHeight="1">
      <c r="A78" s="586"/>
      <c r="B78" s="587">
        <f t="shared" si="3"/>
        <v>0</v>
      </c>
      <c r="C78" s="594">
        <v>64</v>
      </c>
      <c r="D78" s="1182"/>
      <c r="E78" s="1182"/>
      <c r="F78" s="1182"/>
      <c r="G78" s="182"/>
      <c r="H78" s="182"/>
      <c r="I78" s="1307"/>
      <c r="J78" s="1307"/>
      <c r="K78" s="596">
        <f t="shared" si="2"/>
        <v>0</v>
      </c>
      <c r="L78" s="584"/>
      <c r="M78" s="581"/>
    </row>
    <row r="79" spans="1:13" s="220" customFormat="1" ht="18" hidden="1" customHeight="1">
      <c r="A79" s="586"/>
      <c r="B79" s="587">
        <f t="shared" si="3"/>
        <v>0</v>
      </c>
      <c r="C79" s="594">
        <v>65</v>
      </c>
      <c r="D79" s="1182"/>
      <c r="E79" s="1182"/>
      <c r="F79" s="1182"/>
      <c r="G79" s="182"/>
      <c r="H79" s="182"/>
      <c r="I79" s="1307"/>
      <c r="J79" s="1307"/>
      <c r="K79" s="596">
        <f t="shared" si="2"/>
        <v>0</v>
      </c>
      <c r="L79" s="584"/>
      <c r="M79" s="581"/>
    </row>
    <row r="80" spans="1:13" s="220" customFormat="1" ht="18" hidden="1" customHeight="1">
      <c r="A80" s="586"/>
      <c r="B80" s="587">
        <f t="shared" si="3"/>
        <v>0</v>
      </c>
      <c r="C80" s="594">
        <v>66</v>
      </c>
      <c r="D80" s="1182"/>
      <c r="E80" s="1182"/>
      <c r="F80" s="1182"/>
      <c r="G80" s="182"/>
      <c r="H80" s="182"/>
      <c r="I80" s="1307"/>
      <c r="J80" s="1307"/>
      <c r="K80" s="596">
        <f t="shared" si="2"/>
        <v>0</v>
      </c>
      <c r="L80" s="584"/>
      <c r="M80" s="581"/>
    </row>
    <row r="81" spans="1:13" s="220" customFormat="1" ht="18" hidden="1" customHeight="1">
      <c r="A81" s="586"/>
      <c r="B81" s="587">
        <f t="shared" ref="B81:B144" si="4">IFERROR(K81/$K$265,0)</f>
        <v>0</v>
      </c>
      <c r="C81" s="594">
        <v>67</v>
      </c>
      <c r="D81" s="1182"/>
      <c r="E81" s="1182"/>
      <c r="F81" s="1182"/>
      <c r="G81" s="182"/>
      <c r="H81" s="182"/>
      <c r="I81" s="1307"/>
      <c r="J81" s="1307"/>
      <c r="K81" s="596">
        <f t="shared" ref="K81:K144" si="5">H81*I81</f>
        <v>0</v>
      </c>
      <c r="L81" s="584"/>
      <c r="M81" s="581"/>
    </row>
    <row r="82" spans="1:13" s="220" customFormat="1" ht="18" hidden="1" customHeight="1">
      <c r="A82" s="586"/>
      <c r="B82" s="587">
        <f t="shared" si="4"/>
        <v>0</v>
      </c>
      <c r="C82" s="594">
        <v>68</v>
      </c>
      <c r="D82" s="1182"/>
      <c r="E82" s="1182"/>
      <c r="F82" s="1182"/>
      <c r="G82" s="182"/>
      <c r="H82" s="182"/>
      <c r="I82" s="1307"/>
      <c r="J82" s="1307"/>
      <c r="K82" s="596">
        <f t="shared" si="5"/>
        <v>0</v>
      </c>
      <c r="L82" s="584"/>
      <c r="M82" s="581"/>
    </row>
    <row r="83" spans="1:13" s="220" customFormat="1" ht="18" hidden="1" customHeight="1">
      <c r="A83" s="586"/>
      <c r="B83" s="587">
        <f t="shared" si="4"/>
        <v>0</v>
      </c>
      <c r="C83" s="594">
        <v>69</v>
      </c>
      <c r="D83" s="1182"/>
      <c r="E83" s="1182"/>
      <c r="F83" s="1182"/>
      <c r="G83" s="182"/>
      <c r="H83" s="182"/>
      <c r="I83" s="1307"/>
      <c r="J83" s="1307"/>
      <c r="K83" s="596">
        <f t="shared" si="5"/>
        <v>0</v>
      </c>
      <c r="L83" s="584"/>
      <c r="M83" s="581"/>
    </row>
    <row r="84" spans="1:13" s="220" customFormat="1" ht="18" hidden="1" customHeight="1">
      <c r="A84" s="586"/>
      <c r="B84" s="587">
        <f t="shared" si="4"/>
        <v>0</v>
      </c>
      <c r="C84" s="594">
        <v>70</v>
      </c>
      <c r="D84" s="1182"/>
      <c r="E84" s="1182"/>
      <c r="F84" s="1182"/>
      <c r="G84" s="182"/>
      <c r="H84" s="182"/>
      <c r="I84" s="1307"/>
      <c r="J84" s="1307"/>
      <c r="K84" s="596">
        <f t="shared" si="5"/>
        <v>0</v>
      </c>
      <c r="L84" s="584"/>
      <c r="M84" s="581"/>
    </row>
    <row r="85" spans="1:13" s="220" customFormat="1" ht="18" hidden="1" customHeight="1">
      <c r="A85" s="586"/>
      <c r="B85" s="587">
        <f t="shared" si="4"/>
        <v>0</v>
      </c>
      <c r="C85" s="594">
        <v>71</v>
      </c>
      <c r="D85" s="1182"/>
      <c r="E85" s="1182"/>
      <c r="F85" s="1182"/>
      <c r="G85" s="182"/>
      <c r="H85" s="182"/>
      <c r="I85" s="1307"/>
      <c r="J85" s="1307"/>
      <c r="K85" s="596">
        <f t="shared" si="5"/>
        <v>0</v>
      </c>
      <c r="L85" s="584"/>
      <c r="M85" s="581"/>
    </row>
    <row r="86" spans="1:13" s="220" customFormat="1" ht="18" hidden="1" customHeight="1">
      <c r="A86" s="586"/>
      <c r="B86" s="587">
        <f t="shared" si="4"/>
        <v>0</v>
      </c>
      <c r="C86" s="594">
        <v>72</v>
      </c>
      <c r="D86" s="1182"/>
      <c r="E86" s="1182"/>
      <c r="F86" s="1182"/>
      <c r="G86" s="182"/>
      <c r="H86" s="182"/>
      <c r="I86" s="1307"/>
      <c r="J86" s="1307"/>
      <c r="K86" s="596">
        <f t="shared" si="5"/>
        <v>0</v>
      </c>
      <c r="L86" s="584"/>
      <c r="M86" s="581"/>
    </row>
    <row r="87" spans="1:13" s="220" customFormat="1" ht="18" hidden="1" customHeight="1">
      <c r="A87" s="586"/>
      <c r="B87" s="587">
        <f t="shared" si="4"/>
        <v>0</v>
      </c>
      <c r="C87" s="594">
        <v>73</v>
      </c>
      <c r="D87" s="1182"/>
      <c r="E87" s="1182"/>
      <c r="F87" s="1182"/>
      <c r="G87" s="182"/>
      <c r="H87" s="182"/>
      <c r="I87" s="1307"/>
      <c r="J87" s="1307"/>
      <c r="K87" s="596">
        <f t="shared" si="5"/>
        <v>0</v>
      </c>
      <c r="L87" s="584"/>
      <c r="M87" s="581"/>
    </row>
    <row r="88" spans="1:13" s="220" customFormat="1" ht="18" hidden="1" customHeight="1">
      <c r="A88" s="586"/>
      <c r="B88" s="587">
        <f t="shared" si="4"/>
        <v>0</v>
      </c>
      <c r="C88" s="594">
        <v>74</v>
      </c>
      <c r="D88" s="1182"/>
      <c r="E88" s="1182"/>
      <c r="F88" s="1182"/>
      <c r="G88" s="182"/>
      <c r="H88" s="182"/>
      <c r="I88" s="1307"/>
      <c r="J88" s="1307"/>
      <c r="K88" s="596">
        <f t="shared" si="5"/>
        <v>0</v>
      </c>
      <c r="L88" s="584"/>
      <c r="M88" s="581"/>
    </row>
    <row r="89" spans="1:13" s="220" customFormat="1" ht="18" hidden="1" customHeight="1">
      <c r="A89" s="586"/>
      <c r="B89" s="587">
        <f t="shared" si="4"/>
        <v>0</v>
      </c>
      <c r="C89" s="594">
        <v>75</v>
      </c>
      <c r="D89" s="1182"/>
      <c r="E89" s="1182"/>
      <c r="F89" s="1182"/>
      <c r="G89" s="182"/>
      <c r="H89" s="182"/>
      <c r="I89" s="1307"/>
      <c r="J89" s="1307"/>
      <c r="K89" s="596">
        <f t="shared" si="5"/>
        <v>0</v>
      </c>
      <c r="L89" s="584"/>
      <c r="M89" s="581"/>
    </row>
    <row r="90" spans="1:13" s="220" customFormat="1" ht="18" hidden="1" customHeight="1">
      <c r="A90" s="586"/>
      <c r="B90" s="587">
        <f t="shared" si="4"/>
        <v>0</v>
      </c>
      <c r="C90" s="594">
        <v>76</v>
      </c>
      <c r="D90" s="1182"/>
      <c r="E90" s="1182"/>
      <c r="F90" s="1182"/>
      <c r="G90" s="182"/>
      <c r="H90" s="182"/>
      <c r="I90" s="1307"/>
      <c r="J90" s="1307"/>
      <c r="K90" s="596">
        <f t="shared" si="5"/>
        <v>0</v>
      </c>
      <c r="L90" s="584"/>
      <c r="M90" s="581"/>
    </row>
    <row r="91" spans="1:13" s="220" customFormat="1" ht="18" hidden="1" customHeight="1">
      <c r="A91" s="586"/>
      <c r="B91" s="587">
        <f t="shared" si="4"/>
        <v>0</v>
      </c>
      <c r="C91" s="594">
        <v>77</v>
      </c>
      <c r="D91" s="1182"/>
      <c r="E91" s="1182"/>
      <c r="F91" s="1182"/>
      <c r="G91" s="182"/>
      <c r="H91" s="182"/>
      <c r="I91" s="1307"/>
      <c r="J91" s="1307"/>
      <c r="K91" s="596">
        <f t="shared" si="5"/>
        <v>0</v>
      </c>
      <c r="L91" s="584"/>
      <c r="M91" s="581"/>
    </row>
    <row r="92" spans="1:13" s="220" customFormat="1" ht="18" hidden="1" customHeight="1">
      <c r="A92" s="586"/>
      <c r="B92" s="587">
        <f t="shared" si="4"/>
        <v>0</v>
      </c>
      <c r="C92" s="594">
        <v>78</v>
      </c>
      <c r="D92" s="1182"/>
      <c r="E92" s="1182"/>
      <c r="F92" s="1182"/>
      <c r="G92" s="182"/>
      <c r="H92" s="182"/>
      <c r="I92" s="1307"/>
      <c r="J92" s="1307"/>
      <c r="K92" s="596">
        <f t="shared" si="5"/>
        <v>0</v>
      </c>
      <c r="L92" s="584"/>
      <c r="M92" s="581"/>
    </row>
    <row r="93" spans="1:13" s="220" customFormat="1" ht="18" hidden="1" customHeight="1">
      <c r="A93" s="586"/>
      <c r="B93" s="587">
        <f t="shared" si="4"/>
        <v>0</v>
      </c>
      <c r="C93" s="594">
        <v>79</v>
      </c>
      <c r="D93" s="1182"/>
      <c r="E93" s="1182"/>
      <c r="F93" s="1182"/>
      <c r="G93" s="182"/>
      <c r="H93" s="182"/>
      <c r="I93" s="1307"/>
      <c r="J93" s="1307"/>
      <c r="K93" s="596">
        <f t="shared" si="5"/>
        <v>0</v>
      </c>
      <c r="L93" s="584"/>
      <c r="M93" s="581"/>
    </row>
    <row r="94" spans="1:13" s="220" customFormat="1" ht="18" hidden="1" customHeight="1">
      <c r="A94" s="586"/>
      <c r="B94" s="587">
        <f t="shared" si="4"/>
        <v>0</v>
      </c>
      <c r="C94" s="594">
        <v>80</v>
      </c>
      <c r="D94" s="1182"/>
      <c r="E94" s="1182"/>
      <c r="F94" s="1182"/>
      <c r="G94" s="182"/>
      <c r="H94" s="182"/>
      <c r="I94" s="1307"/>
      <c r="J94" s="1307"/>
      <c r="K94" s="596">
        <f t="shared" si="5"/>
        <v>0</v>
      </c>
      <c r="L94" s="584"/>
      <c r="M94" s="581"/>
    </row>
    <row r="95" spans="1:13" s="220" customFormat="1" ht="18" hidden="1" customHeight="1">
      <c r="A95" s="586"/>
      <c r="B95" s="587">
        <f t="shared" si="4"/>
        <v>0</v>
      </c>
      <c r="C95" s="594">
        <v>81</v>
      </c>
      <c r="D95" s="1182"/>
      <c r="E95" s="1182"/>
      <c r="F95" s="1182"/>
      <c r="G95" s="182"/>
      <c r="H95" s="182"/>
      <c r="I95" s="1307"/>
      <c r="J95" s="1307"/>
      <c r="K95" s="596">
        <f t="shared" si="5"/>
        <v>0</v>
      </c>
      <c r="L95" s="584"/>
      <c r="M95" s="581"/>
    </row>
    <row r="96" spans="1:13" s="220" customFormat="1" ht="18" hidden="1" customHeight="1">
      <c r="A96" s="586"/>
      <c r="B96" s="587">
        <f t="shared" si="4"/>
        <v>0</v>
      </c>
      <c r="C96" s="594">
        <v>82</v>
      </c>
      <c r="D96" s="1182"/>
      <c r="E96" s="1182"/>
      <c r="F96" s="1182"/>
      <c r="G96" s="182"/>
      <c r="H96" s="182"/>
      <c r="I96" s="1307"/>
      <c r="J96" s="1307"/>
      <c r="K96" s="596">
        <f t="shared" si="5"/>
        <v>0</v>
      </c>
      <c r="L96" s="584"/>
      <c r="M96" s="581"/>
    </row>
    <row r="97" spans="1:13" s="220" customFormat="1" ht="18" hidden="1" customHeight="1">
      <c r="A97" s="586"/>
      <c r="B97" s="587">
        <f t="shared" si="4"/>
        <v>0</v>
      </c>
      <c r="C97" s="594">
        <v>83</v>
      </c>
      <c r="D97" s="1182"/>
      <c r="E97" s="1182"/>
      <c r="F97" s="1182"/>
      <c r="G97" s="182"/>
      <c r="H97" s="182"/>
      <c r="I97" s="1307"/>
      <c r="J97" s="1307"/>
      <c r="K97" s="596">
        <f t="shared" si="5"/>
        <v>0</v>
      </c>
      <c r="L97" s="584"/>
      <c r="M97" s="581"/>
    </row>
    <row r="98" spans="1:13" s="220" customFormat="1" ht="18" hidden="1" customHeight="1">
      <c r="A98" s="586"/>
      <c r="B98" s="587">
        <f t="shared" si="4"/>
        <v>0</v>
      </c>
      <c r="C98" s="594">
        <v>84</v>
      </c>
      <c r="D98" s="1182"/>
      <c r="E98" s="1182"/>
      <c r="F98" s="1182"/>
      <c r="G98" s="182"/>
      <c r="H98" s="182"/>
      <c r="I98" s="1307"/>
      <c r="J98" s="1307"/>
      <c r="K98" s="596">
        <f t="shared" si="5"/>
        <v>0</v>
      </c>
      <c r="L98" s="584"/>
      <c r="M98" s="581"/>
    </row>
    <row r="99" spans="1:13" s="220" customFormat="1" ht="18" hidden="1" customHeight="1">
      <c r="A99" s="586"/>
      <c r="B99" s="587">
        <f t="shared" si="4"/>
        <v>0</v>
      </c>
      <c r="C99" s="594">
        <v>85</v>
      </c>
      <c r="D99" s="1182"/>
      <c r="E99" s="1182"/>
      <c r="F99" s="1182"/>
      <c r="G99" s="182"/>
      <c r="H99" s="182"/>
      <c r="I99" s="1307"/>
      <c r="J99" s="1307"/>
      <c r="K99" s="596">
        <f t="shared" si="5"/>
        <v>0</v>
      </c>
      <c r="L99" s="584"/>
      <c r="M99" s="581"/>
    </row>
    <row r="100" spans="1:13" s="220" customFormat="1" ht="18" hidden="1" customHeight="1">
      <c r="A100" s="586"/>
      <c r="B100" s="587">
        <f t="shared" si="4"/>
        <v>0</v>
      </c>
      <c r="C100" s="594">
        <v>86</v>
      </c>
      <c r="D100" s="1182"/>
      <c r="E100" s="1182"/>
      <c r="F100" s="1182"/>
      <c r="G100" s="182"/>
      <c r="H100" s="182"/>
      <c r="I100" s="1307"/>
      <c r="J100" s="1307"/>
      <c r="K100" s="596">
        <f t="shared" si="5"/>
        <v>0</v>
      </c>
      <c r="L100" s="584"/>
      <c r="M100" s="581"/>
    </row>
    <row r="101" spans="1:13" s="220" customFormat="1" ht="18" hidden="1" customHeight="1">
      <c r="A101" s="586"/>
      <c r="B101" s="587">
        <f t="shared" si="4"/>
        <v>0</v>
      </c>
      <c r="C101" s="594">
        <v>87</v>
      </c>
      <c r="D101" s="1182"/>
      <c r="E101" s="1182"/>
      <c r="F101" s="1182"/>
      <c r="G101" s="182"/>
      <c r="H101" s="182"/>
      <c r="I101" s="1307"/>
      <c r="J101" s="1307"/>
      <c r="K101" s="596">
        <f t="shared" si="5"/>
        <v>0</v>
      </c>
      <c r="L101" s="584"/>
      <c r="M101" s="581"/>
    </row>
    <row r="102" spans="1:13" s="220" customFormat="1" ht="18" hidden="1" customHeight="1">
      <c r="A102" s="586"/>
      <c r="B102" s="587">
        <f t="shared" si="4"/>
        <v>0</v>
      </c>
      <c r="C102" s="594">
        <v>88</v>
      </c>
      <c r="D102" s="1182"/>
      <c r="E102" s="1182"/>
      <c r="F102" s="1182"/>
      <c r="G102" s="182"/>
      <c r="H102" s="182"/>
      <c r="I102" s="1307"/>
      <c r="J102" s="1307"/>
      <c r="K102" s="596">
        <f t="shared" si="5"/>
        <v>0</v>
      </c>
      <c r="L102" s="584"/>
      <c r="M102" s="581"/>
    </row>
    <row r="103" spans="1:13" s="220" customFormat="1" ht="18" hidden="1" customHeight="1">
      <c r="A103" s="586"/>
      <c r="B103" s="587">
        <f t="shared" si="4"/>
        <v>0</v>
      </c>
      <c r="C103" s="594">
        <v>89</v>
      </c>
      <c r="D103" s="1182"/>
      <c r="E103" s="1182"/>
      <c r="F103" s="1182"/>
      <c r="G103" s="182"/>
      <c r="H103" s="182"/>
      <c r="I103" s="1307"/>
      <c r="J103" s="1307"/>
      <c r="K103" s="596">
        <f t="shared" si="5"/>
        <v>0</v>
      </c>
      <c r="L103" s="584"/>
      <c r="M103" s="581"/>
    </row>
    <row r="104" spans="1:13" s="220" customFormat="1" ht="18" hidden="1" customHeight="1">
      <c r="A104" s="586"/>
      <c r="B104" s="587">
        <f t="shared" si="4"/>
        <v>0</v>
      </c>
      <c r="C104" s="594">
        <v>90</v>
      </c>
      <c r="D104" s="1182"/>
      <c r="E104" s="1182"/>
      <c r="F104" s="1182"/>
      <c r="G104" s="182"/>
      <c r="H104" s="182"/>
      <c r="I104" s="1307"/>
      <c r="J104" s="1307"/>
      <c r="K104" s="596">
        <f t="shared" si="5"/>
        <v>0</v>
      </c>
      <c r="L104" s="584"/>
      <c r="M104" s="581"/>
    </row>
    <row r="105" spans="1:13" s="220" customFormat="1" ht="18" hidden="1" customHeight="1">
      <c r="A105" s="586"/>
      <c r="B105" s="587">
        <f t="shared" si="4"/>
        <v>0</v>
      </c>
      <c r="C105" s="594">
        <v>91</v>
      </c>
      <c r="D105" s="1182"/>
      <c r="E105" s="1182"/>
      <c r="F105" s="1182"/>
      <c r="G105" s="182"/>
      <c r="H105" s="182"/>
      <c r="I105" s="1307"/>
      <c r="J105" s="1307"/>
      <c r="K105" s="596">
        <f t="shared" si="5"/>
        <v>0</v>
      </c>
      <c r="L105" s="584"/>
      <c r="M105" s="581"/>
    </row>
    <row r="106" spans="1:13" s="220" customFormat="1" ht="18" hidden="1" customHeight="1">
      <c r="A106" s="586"/>
      <c r="B106" s="587">
        <f t="shared" si="4"/>
        <v>0</v>
      </c>
      <c r="C106" s="594">
        <v>92</v>
      </c>
      <c r="D106" s="1182"/>
      <c r="E106" s="1182"/>
      <c r="F106" s="1182"/>
      <c r="G106" s="182"/>
      <c r="H106" s="182"/>
      <c r="I106" s="1307"/>
      <c r="J106" s="1307"/>
      <c r="K106" s="596">
        <f t="shared" si="5"/>
        <v>0</v>
      </c>
      <c r="L106" s="584"/>
      <c r="M106" s="581"/>
    </row>
    <row r="107" spans="1:13" s="220" customFormat="1" ht="18" hidden="1" customHeight="1">
      <c r="A107" s="586"/>
      <c r="B107" s="587">
        <f t="shared" si="4"/>
        <v>0</v>
      </c>
      <c r="C107" s="594">
        <v>93</v>
      </c>
      <c r="D107" s="1182"/>
      <c r="E107" s="1182"/>
      <c r="F107" s="1182"/>
      <c r="G107" s="182"/>
      <c r="H107" s="182"/>
      <c r="I107" s="1307"/>
      <c r="J107" s="1307"/>
      <c r="K107" s="596">
        <f t="shared" si="5"/>
        <v>0</v>
      </c>
      <c r="L107" s="584"/>
      <c r="M107" s="581"/>
    </row>
    <row r="108" spans="1:13" s="220" customFormat="1" ht="18" hidden="1" customHeight="1">
      <c r="A108" s="586"/>
      <c r="B108" s="587">
        <f t="shared" si="4"/>
        <v>0</v>
      </c>
      <c r="C108" s="594">
        <v>94</v>
      </c>
      <c r="D108" s="1182"/>
      <c r="E108" s="1182"/>
      <c r="F108" s="1182"/>
      <c r="G108" s="182"/>
      <c r="H108" s="182"/>
      <c r="I108" s="1307"/>
      <c r="J108" s="1307"/>
      <c r="K108" s="596">
        <f t="shared" si="5"/>
        <v>0</v>
      </c>
      <c r="L108" s="584"/>
      <c r="M108" s="581"/>
    </row>
    <row r="109" spans="1:13" s="220" customFormat="1" ht="18" hidden="1" customHeight="1">
      <c r="A109" s="586"/>
      <c r="B109" s="587">
        <f t="shared" si="4"/>
        <v>0</v>
      </c>
      <c r="C109" s="594">
        <v>95</v>
      </c>
      <c r="D109" s="1182"/>
      <c r="E109" s="1182"/>
      <c r="F109" s="1182"/>
      <c r="G109" s="182"/>
      <c r="H109" s="182"/>
      <c r="I109" s="1307"/>
      <c r="J109" s="1307"/>
      <c r="K109" s="596">
        <f t="shared" si="5"/>
        <v>0</v>
      </c>
      <c r="L109" s="584"/>
      <c r="M109" s="581"/>
    </row>
    <row r="110" spans="1:13" s="220" customFormat="1" ht="18" hidden="1" customHeight="1">
      <c r="A110" s="586"/>
      <c r="B110" s="587">
        <f t="shared" si="4"/>
        <v>0</v>
      </c>
      <c r="C110" s="594">
        <v>96</v>
      </c>
      <c r="D110" s="1182"/>
      <c r="E110" s="1182"/>
      <c r="F110" s="1182"/>
      <c r="G110" s="182"/>
      <c r="H110" s="182"/>
      <c r="I110" s="1307"/>
      <c r="J110" s="1307"/>
      <c r="K110" s="596">
        <f t="shared" si="5"/>
        <v>0</v>
      </c>
      <c r="L110" s="584"/>
      <c r="M110" s="581"/>
    </row>
    <row r="111" spans="1:13" s="220" customFormat="1" ht="18" hidden="1" customHeight="1">
      <c r="A111" s="586"/>
      <c r="B111" s="587">
        <f t="shared" si="4"/>
        <v>0</v>
      </c>
      <c r="C111" s="594">
        <v>97</v>
      </c>
      <c r="D111" s="1182"/>
      <c r="E111" s="1182"/>
      <c r="F111" s="1182"/>
      <c r="G111" s="182"/>
      <c r="H111" s="182"/>
      <c r="I111" s="1307"/>
      <c r="J111" s="1307"/>
      <c r="K111" s="596">
        <f t="shared" si="5"/>
        <v>0</v>
      </c>
      <c r="L111" s="584"/>
      <c r="M111" s="581"/>
    </row>
    <row r="112" spans="1:13" s="220" customFormat="1" ht="18" hidden="1" customHeight="1">
      <c r="A112" s="586"/>
      <c r="B112" s="587">
        <f t="shared" si="4"/>
        <v>0</v>
      </c>
      <c r="C112" s="594">
        <v>98</v>
      </c>
      <c r="D112" s="1182"/>
      <c r="E112" s="1182"/>
      <c r="F112" s="1182"/>
      <c r="G112" s="182"/>
      <c r="H112" s="182"/>
      <c r="I112" s="1307"/>
      <c r="J112" s="1307"/>
      <c r="K112" s="596">
        <f t="shared" si="5"/>
        <v>0</v>
      </c>
      <c r="L112" s="584"/>
      <c r="M112" s="581"/>
    </row>
    <row r="113" spans="1:13" s="220" customFormat="1" ht="18" hidden="1" customHeight="1">
      <c r="A113" s="586"/>
      <c r="B113" s="587">
        <f t="shared" si="4"/>
        <v>0</v>
      </c>
      <c r="C113" s="594">
        <v>99</v>
      </c>
      <c r="D113" s="1182"/>
      <c r="E113" s="1182"/>
      <c r="F113" s="1182"/>
      <c r="G113" s="182"/>
      <c r="H113" s="182"/>
      <c r="I113" s="1307"/>
      <c r="J113" s="1307"/>
      <c r="K113" s="596">
        <f t="shared" si="5"/>
        <v>0</v>
      </c>
      <c r="L113" s="584"/>
      <c r="M113" s="581"/>
    </row>
    <row r="114" spans="1:13" s="220" customFormat="1" ht="18" hidden="1" customHeight="1">
      <c r="A114" s="586"/>
      <c r="B114" s="587">
        <f t="shared" si="4"/>
        <v>0</v>
      </c>
      <c r="C114" s="594">
        <v>100</v>
      </c>
      <c r="D114" s="1182"/>
      <c r="E114" s="1182"/>
      <c r="F114" s="1182"/>
      <c r="G114" s="182"/>
      <c r="H114" s="182"/>
      <c r="I114" s="1307"/>
      <c r="J114" s="1307"/>
      <c r="K114" s="596">
        <f t="shared" si="5"/>
        <v>0</v>
      </c>
      <c r="L114" s="584"/>
      <c r="M114" s="581"/>
    </row>
    <row r="115" spans="1:13" s="220" customFormat="1" ht="18" hidden="1" customHeight="1">
      <c r="A115" s="586"/>
      <c r="B115" s="587">
        <f t="shared" si="4"/>
        <v>0</v>
      </c>
      <c r="C115" s="594">
        <v>101</v>
      </c>
      <c r="D115" s="1182"/>
      <c r="E115" s="1182"/>
      <c r="F115" s="1182"/>
      <c r="G115" s="182"/>
      <c r="H115" s="182"/>
      <c r="I115" s="1307"/>
      <c r="J115" s="1307"/>
      <c r="K115" s="596">
        <f t="shared" si="5"/>
        <v>0</v>
      </c>
      <c r="L115" s="584"/>
      <c r="M115" s="581"/>
    </row>
    <row r="116" spans="1:13" s="220" customFormat="1" ht="18" hidden="1" customHeight="1">
      <c r="A116" s="586"/>
      <c r="B116" s="587">
        <f t="shared" si="4"/>
        <v>0</v>
      </c>
      <c r="C116" s="594">
        <v>102</v>
      </c>
      <c r="D116" s="1182"/>
      <c r="E116" s="1182"/>
      <c r="F116" s="1182"/>
      <c r="G116" s="182"/>
      <c r="H116" s="182"/>
      <c r="I116" s="1307"/>
      <c r="J116" s="1307"/>
      <c r="K116" s="596">
        <f t="shared" si="5"/>
        <v>0</v>
      </c>
      <c r="L116" s="584"/>
      <c r="M116" s="581"/>
    </row>
    <row r="117" spans="1:13" s="220" customFormat="1" ht="18" hidden="1" customHeight="1">
      <c r="A117" s="586"/>
      <c r="B117" s="587">
        <f t="shared" si="4"/>
        <v>0</v>
      </c>
      <c r="C117" s="594">
        <v>103</v>
      </c>
      <c r="D117" s="1182"/>
      <c r="E117" s="1182"/>
      <c r="F117" s="1182"/>
      <c r="G117" s="182"/>
      <c r="H117" s="182"/>
      <c r="I117" s="1307"/>
      <c r="J117" s="1307"/>
      <c r="K117" s="596">
        <f t="shared" si="5"/>
        <v>0</v>
      </c>
      <c r="L117" s="584"/>
      <c r="M117" s="581"/>
    </row>
    <row r="118" spans="1:13" s="220" customFormat="1" ht="18" hidden="1" customHeight="1">
      <c r="A118" s="586"/>
      <c r="B118" s="587">
        <f t="shared" si="4"/>
        <v>0</v>
      </c>
      <c r="C118" s="594">
        <v>104</v>
      </c>
      <c r="D118" s="1182"/>
      <c r="E118" s="1182"/>
      <c r="F118" s="1182"/>
      <c r="G118" s="182"/>
      <c r="H118" s="182"/>
      <c r="I118" s="1307"/>
      <c r="J118" s="1307"/>
      <c r="K118" s="596">
        <f t="shared" si="5"/>
        <v>0</v>
      </c>
      <c r="L118" s="584"/>
      <c r="M118" s="581"/>
    </row>
    <row r="119" spans="1:13" s="220" customFormat="1" ht="18" hidden="1" customHeight="1">
      <c r="A119" s="586"/>
      <c r="B119" s="587">
        <f t="shared" si="4"/>
        <v>0</v>
      </c>
      <c r="C119" s="594">
        <v>105</v>
      </c>
      <c r="D119" s="1182"/>
      <c r="E119" s="1182"/>
      <c r="F119" s="1182"/>
      <c r="G119" s="182"/>
      <c r="H119" s="182"/>
      <c r="I119" s="1307"/>
      <c r="J119" s="1307"/>
      <c r="K119" s="596">
        <f t="shared" si="5"/>
        <v>0</v>
      </c>
      <c r="L119" s="584"/>
      <c r="M119" s="581"/>
    </row>
    <row r="120" spans="1:13" s="220" customFormat="1" ht="18" hidden="1" customHeight="1">
      <c r="A120" s="586"/>
      <c r="B120" s="587">
        <f t="shared" si="4"/>
        <v>0</v>
      </c>
      <c r="C120" s="594">
        <v>106</v>
      </c>
      <c r="D120" s="1182"/>
      <c r="E120" s="1182"/>
      <c r="F120" s="1182"/>
      <c r="G120" s="182"/>
      <c r="H120" s="182"/>
      <c r="I120" s="1307"/>
      <c r="J120" s="1307"/>
      <c r="K120" s="596">
        <f t="shared" si="5"/>
        <v>0</v>
      </c>
      <c r="L120" s="584"/>
      <c r="M120" s="581"/>
    </row>
    <row r="121" spans="1:13" s="220" customFormat="1" ht="18" hidden="1" customHeight="1">
      <c r="A121" s="586"/>
      <c r="B121" s="587">
        <f t="shared" si="4"/>
        <v>0</v>
      </c>
      <c r="C121" s="594">
        <v>107</v>
      </c>
      <c r="D121" s="1182"/>
      <c r="E121" s="1182"/>
      <c r="F121" s="1182"/>
      <c r="G121" s="182"/>
      <c r="H121" s="182"/>
      <c r="I121" s="1307"/>
      <c r="J121" s="1307"/>
      <c r="K121" s="596">
        <f t="shared" si="5"/>
        <v>0</v>
      </c>
      <c r="L121" s="584"/>
      <c r="M121" s="581"/>
    </row>
    <row r="122" spans="1:13" s="220" customFormat="1" ht="18" hidden="1" customHeight="1">
      <c r="A122" s="586"/>
      <c r="B122" s="587">
        <f t="shared" si="4"/>
        <v>0</v>
      </c>
      <c r="C122" s="594">
        <v>108</v>
      </c>
      <c r="D122" s="1182"/>
      <c r="E122" s="1182"/>
      <c r="F122" s="1182"/>
      <c r="G122" s="182"/>
      <c r="H122" s="182"/>
      <c r="I122" s="1307"/>
      <c r="J122" s="1307"/>
      <c r="K122" s="596">
        <f t="shared" si="5"/>
        <v>0</v>
      </c>
      <c r="L122" s="584"/>
      <c r="M122" s="581"/>
    </row>
    <row r="123" spans="1:13" s="220" customFormat="1" ht="18" hidden="1" customHeight="1">
      <c r="A123" s="586"/>
      <c r="B123" s="587">
        <f t="shared" si="4"/>
        <v>0</v>
      </c>
      <c r="C123" s="594">
        <v>109</v>
      </c>
      <c r="D123" s="1182"/>
      <c r="E123" s="1182"/>
      <c r="F123" s="1182"/>
      <c r="G123" s="182"/>
      <c r="H123" s="182"/>
      <c r="I123" s="1307"/>
      <c r="J123" s="1307"/>
      <c r="K123" s="596">
        <f t="shared" si="5"/>
        <v>0</v>
      </c>
      <c r="L123" s="584"/>
      <c r="M123" s="581"/>
    </row>
    <row r="124" spans="1:13" s="220" customFormat="1" ht="18" hidden="1" customHeight="1">
      <c r="A124" s="586"/>
      <c r="B124" s="587">
        <f t="shared" si="4"/>
        <v>0</v>
      </c>
      <c r="C124" s="594">
        <v>110</v>
      </c>
      <c r="D124" s="1182"/>
      <c r="E124" s="1182"/>
      <c r="F124" s="1182"/>
      <c r="G124" s="182"/>
      <c r="H124" s="182"/>
      <c r="I124" s="1307"/>
      <c r="J124" s="1307"/>
      <c r="K124" s="596">
        <f t="shared" si="5"/>
        <v>0</v>
      </c>
      <c r="L124" s="584"/>
      <c r="M124" s="581"/>
    </row>
    <row r="125" spans="1:13" s="220" customFormat="1" ht="18" hidden="1" customHeight="1">
      <c r="A125" s="586"/>
      <c r="B125" s="587">
        <f t="shared" si="4"/>
        <v>0</v>
      </c>
      <c r="C125" s="594">
        <v>111</v>
      </c>
      <c r="D125" s="1182"/>
      <c r="E125" s="1182"/>
      <c r="F125" s="1182"/>
      <c r="G125" s="182"/>
      <c r="H125" s="182"/>
      <c r="I125" s="1307"/>
      <c r="J125" s="1307"/>
      <c r="K125" s="596">
        <f t="shared" si="5"/>
        <v>0</v>
      </c>
      <c r="L125" s="584"/>
      <c r="M125" s="581"/>
    </row>
    <row r="126" spans="1:13" s="220" customFormat="1" ht="18" hidden="1" customHeight="1">
      <c r="A126" s="586"/>
      <c r="B126" s="587">
        <f t="shared" si="4"/>
        <v>0</v>
      </c>
      <c r="C126" s="594">
        <v>112</v>
      </c>
      <c r="D126" s="1182"/>
      <c r="E126" s="1182"/>
      <c r="F126" s="1182"/>
      <c r="G126" s="182"/>
      <c r="H126" s="182"/>
      <c r="I126" s="1307"/>
      <c r="J126" s="1307"/>
      <c r="K126" s="596">
        <f t="shared" si="5"/>
        <v>0</v>
      </c>
      <c r="L126" s="584"/>
      <c r="M126" s="581"/>
    </row>
    <row r="127" spans="1:13" s="220" customFormat="1" ht="18" hidden="1" customHeight="1">
      <c r="A127" s="586"/>
      <c r="B127" s="587">
        <f t="shared" si="4"/>
        <v>0</v>
      </c>
      <c r="C127" s="594">
        <v>113</v>
      </c>
      <c r="D127" s="1182"/>
      <c r="E127" s="1182"/>
      <c r="F127" s="1182"/>
      <c r="G127" s="182"/>
      <c r="H127" s="182"/>
      <c r="I127" s="1307"/>
      <c r="J127" s="1307"/>
      <c r="K127" s="596">
        <f t="shared" si="5"/>
        <v>0</v>
      </c>
      <c r="L127" s="584"/>
      <c r="M127" s="581"/>
    </row>
    <row r="128" spans="1:13" s="220" customFormat="1" ht="18" hidden="1" customHeight="1">
      <c r="A128" s="586"/>
      <c r="B128" s="587">
        <f t="shared" si="4"/>
        <v>0</v>
      </c>
      <c r="C128" s="594">
        <v>114</v>
      </c>
      <c r="D128" s="1182"/>
      <c r="E128" s="1182"/>
      <c r="F128" s="1182"/>
      <c r="G128" s="182"/>
      <c r="H128" s="182"/>
      <c r="I128" s="1307"/>
      <c r="J128" s="1307"/>
      <c r="K128" s="596">
        <f t="shared" si="5"/>
        <v>0</v>
      </c>
      <c r="L128" s="584"/>
      <c r="M128" s="581"/>
    </row>
    <row r="129" spans="1:13" s="220" customFormat="1" ht="18" hidden="1" customHeight="1">
      <c r="A129" s="586"/>
      <c r="B129" s="587">
        <f t="shared" si="4"/>
        <v>0</v>
      </c>
      <c r="C129" s="594">
        <v>115</v>
      </c>
      <c r="D129" s="1182"/>
      <c r="E129" s="1182"/>
      <c r="F129" s="1182"/>
      <c r="G129" s="182"/>
      <c r="H129" s="182"/>
      <c r="I129" s="1307"/>
      <c r="J129" s="1307"/>
      <c r="K129" s="596">
        <f t="shared" si="5"/>
        <v>0</v>
      </c>
      <c r="L129" s="584"/>
      <c r="M129" s="581"/>
    </row>
    <row r="130" spans="1:13" s="220" customFormat="1" ht="18" hidden="1" customHeight="1">
      <c r="A130" s="586"/>
      <c r="B130" s="587">
        <f t="shared" si="4"/>
        <v>0</v>
      </c>
      <c r="C130" s="594">
        <v>116</v>
      </c>
      <c r="D130" s="1182"/>
      <c r="E130" s="1182"/>
      <c r="F130" s="1182"/>
      <c r="G130" s="182"/>
      <c r="H130" s="182"/>
      <c r="I130" s="1307"/>
      <c r="J130" s="1307"/>
      <c r="K130" s="596">
        <f t="shared" si="5"/>
        <v>0</v>
      </c>
      <c r="L130" s="584"/>
      <c r="M130" s="581"/>
    </row>
    <row r="131" spans="1:13" s="220" customFormat="1" ht="18" hidden="1" customHeight="1">
      <c r="A131" s="586"/>
      <c r="B131" s="587">
        <f t="shared" si="4"/>
        <v>0</v>
      </c>
      <c r="C131" s="594">
        <v>117</v>
      </c>
      <c r="D131" s="1182"/>
      <c r="E131" s="1182"/>
      <c r="F131" s="1182"/>
      <c r="G131" s="182"/>
      <c r="H131" s="182"/>
      <c r="I131" s="1307"/>
      <c r="J131" s="1307"/>
      <c r="K131" s="596">
        <f t="shared" si="5"/>
        <v>0</v>
      </c>
      <c r="L131" s="584"/>
      <c r="M131" s="581"/>
    </row>
    <row r="132" spans="1:13" s="220" customFormat="1" ht="18" hidden="1" customHeight="1">
      <c r="A132" s="586"/>
      <c r="B132" s="587">
        <f t="shared" si="4"/>
        <v>0</v>
      </c>
      <c r="C132" s="594">
        <v>118</v>
      </c>
      <c r="D132" s="1182"/>
      <c r="E132" s="1182"/>
      <c r="F132" s="1182"/>
      <c r="G132" s="182"/>
      <c r="H132" s="182"/>
      <c r="I132" s="1307"/>
      <c r="J132" s="1307"/>
      <c r="K132" s="596">
        <f t="shared" si="5"/>
        <v>0</v>
      </c>
      <c r="L132" s="584"/>
      <c r="M132" s="581"/>
    </row>
    <row r="133" spans="1:13" s="220" customFormat="1" ht="18" hidden="1" customHeight="1">
      <c r="A133" s="586"/>
      <c r="B133" s="587">
        <f t="shared" si="4"/>
        <v>0</v>
      </c>
      <c r="C133" s="594">
        <v>119</v>
      </c>
      <c r="D133" s="1182"/>
      <c r="E133" s="1182"/>
      <c r="F133" s="1182"/>
      <c r="G133" s="182"/>
      <c r="H133" s="182"/>
      <c r="I133" s="1307"/>
      <c r="J133" s="1307"/>
      <c r="K133" s="596">
        <f t="shared" si="5"/>
        <v>0</v>
      </c>
      <c r="L133" s="584"/>
      <c r="M133" s="581"/>
    </row>
    <row r="134" spans="1:13" s="220" customFormat="1" ht="18" hidden="1" customHeight="1">
      <c r="A134" s="586"/>
      <c r="B134" s="587">
        <f t="shared" si="4"/>
        <v>0</v>
      </c>
      <c r="C134" s="594">
        <v>120</v>
      </c>
      <c r="D134" s="1182"/>
      <c r="E134" s="1182"/>
      <c r="F134" s="1182"/>
      <c r="G134" s="182"/>
      <c r="H134" s="182"/>
      <c r="I134" s="1307"/>
      <c r="J134" s="1307"/>
      <c r="K134" s="596">
        <f t="shared" si="5"/>
        <v>0</v>
      </c>
      <c r="L134" s="584"/>
      <c r="M134" s="581"/>
    </row>
    <row r="135" spans="1:13" s="220" customFormat="1" ht="18" hidden="1" customHeight="1">
      <c r="A135" s="586"/>
      <c r="B135" s="587">
        <f t="shared" si="4"/>
        <v>0</v>
      </c>
      <c r="C135" s="594">
        <v>121</v>
      </c>
      <c r="D135" s="1182"/>
      <c r="E135" s="1182"/>
      <c r="F135" s="1182"/>
      <c r="G135" s="182"/>
      <c r="H135" s="182"/>
      <c r="I135" s="1307"/>
      <c r="J135" s="1307"/>
      <c r="K135" s="596">
        <f t="shared" si="5"/>
        <v>0</v>
      </c>
      <c r="L135" s="584"/>
      <c r="M135" s="581"/>
    </row>
    <row r="136" spans="1:13" s="220" customFormat="1" ht="18" hidden="1" customHeight="1">
      <c r="A136" s="586"/>
      <c r="B136" s="587">
        <f t="shared" si="4"/>
        <v>0</v>
      </c>
      <c r="C136" s="594">
        <v>122</v>
      </c>
      <c r="D136" s="1182"/>
      <c r="E136" s="1182"/>
      <c r="F136" s="1182"/>
      <c r="G136" s="182"/>
      <c r="H136" s="182"/>
      <c r="I136" s="1307"/>
      <c r="J136" s="1307"/>
      <c r="K136" s="596">
        <f t="shared" si="5"/>
        <v>0</v>
      </c>
      <c r="L136" s="584"/>
      <c r="M136" s="581"/>
    </row>
    <row r="137" spans="1:13" s="220" customFormat="1" ht="18" hidden="1" customHeight="1">
      <c r="A137" s="586"/>
      <c r="B137" s="587">
        <f t="shared" si="4"/>
        <v>0</v>
      </c>
      <c r="C137" s="594">
        <v>123</v>
      </c>
      <c r="D137" s="1182"/>
      <c r="E137" s="1182"/>
      <c r="F137" s="1182"/>
      <c r="G137" s="182"/>
      <c r="H137" s="182"/>
      <c r="I137" s="1307"/>
      <c r="J137" s="1307"/>
      <c r="K137" s="596">
        <f t="shared" si="5"/>
        <v>0</v>
      </c>
      <c r="L137" s="584"/>
      <c r="M137" s="581"/>
    </row>
    <row r="138" spans="1:13" s="220" customFormat="1" ht="18" hidden="1" customHeight="1">
      <c r="A138" s="586"/>
      <c r="B138" s="587">
        <f t="shared" si="4"/>
        <v>0</v>
      </c>
      <c r="C138" s="594">
        <v>124</v>
      </c>
      <c r="D138" s="1182"/>
      <c r="E138" s="1182"/>
      <c r="F138" s="1182"/>
      <c r="G138" s="182"/>
      <c r="H138" s="182"/>
      <c r="I138" s="1307"/>
      <c r="J138" s="1307"/>
      <c r="K138" s="596">
        <f t="shared" si="5"/>
        <v>0</v>
      </c>
      <c r="L138" s="584"/>
      <c r="M138" s="581"/>
    </row>
    <row r="139" spans="1:13" s="220" customFormat="1" ht="18" hidden="1" customHeight="1">
      <c r="A139" s="586"/>
      <c r="B139" s="587">
        <f t="shared" si="4"/>
        <v>0</v>
      </c>
      <c r="C139" s="594">
        <v>125</v>
      </c>
      <c r="D139" s="1182"/>
      <c r="E139" s="1182"/>
      <c r="F139" s="1182"/>
      <c r="G139" s="182"/>
      <c r="H139" s="182"/>
      <c r="I139" s="1307"/>
      <c r="J139" s="1307"/>
      <c r="K139" s="596">
        <f t="shared" si="5"/>
        <v>0</v>
      </c>
      <c r="L139" s="584"/>
      <c r="M139" s="581"/>
    </row>
    <row r="140" spans="1:13" s="220" customFormat="1" ht="18" hidden="1" customHeight="1">
      <c r="A140" s="586"/>
      <c r="B140" s="587">
        <f t="shared" si="4"/>
        <v>0</v>
      </c>
      <c r="C140" s="594">
        <v>126</v>
      </c>
      <c r="D140" s="1182"/>
      <c r="E140" s="1182"/>
      <c r="F140" s="1182"/>
      <c r="G140" s="182"/>
      <c r="H140" s="182"/>
      <c r="I140" s="1307"/>
      <c r="J140" s="1307"/>
      <c r="K140" s="596">
        <f t="shared" si="5"/>
        <v>0</v>
      </c>
      <c r="L140" s="584"/>
      <c r="M140" s="581"/>
    </row>
    <row r="141" spans="1:13" s="220" customFormat="1" ht="18" hidden="1" customHeight="1">
      <c r="A141" s="586"/>
      <c r="B141" s="587">
        <f t="shared" si="4"/>
        <v>0</v>
      </c>
      <c r="C141" s="594">
        <v>127</v>
      </c>
      <c r="D141" s="1182"/>
      <c r="E141" s="1182"/>
      <c r="F141" s="1182"/>
      <c r="G141" s="182"/>
      <c r="H141" s="182"/>
      <c r="I141" s="1307"/>
      <c r="J141" s="1307"/>
      <c r="K141" s="596">
        <f t="shared" si="5"/>
        <v>0</v>
      </c>
      <c r="L141" s="584"/>
      <c r="M141" s="581"/>
    </row>
    <row r="142" spans="1:13" s="220" customFormat="1" ht="18" hidden="1" customHeight="1">
      <c r="A142" s="586"/>
      <c r="B142" s="587">
        <f t="shared" si="4"/>
        <v>0</v>
      </c>
      <c r="C142" s="594">
        <v>128</v>
      </c>
      <c r="D142" s="1182"/>
      <c r="E142" s="1182"/>
      <c r="F142" s="1182"/>
      <c r="G142" s="182"/>
      <c r="H142" s="182"/>
      <c r="I142" s="1307"/>
      <c r="J142" s="1307"/>
      <c r="K142" s="596">
        <f t="shared" si="5"/>
        <v>0</v>
      </c>
      <c r="L142" s="584"/>
      <c r="M142" s="581"/>
    </row>
    <row r="143" spans="1:13" s="220" customFormat="1" ht="18" hidden="1" customHeight="1">
      <c r="A143" s="586"/>
      <c r="B143" s="587">
        <f t="shared" si="4"/>
        <v>0</v>
      </c>
      <c r="C143" s="594">
        <v>129</v>
      </c>
      <c r="D143" s="1182"/>
      <c r="E143" s="1182"/>
      <c r="F143" s="1182"/>
      <c r="G143" s="182"/>
      <c r="H143" s="182"/>
      <c r="I143" s="1307"/>
      <c r="J143" s="1307"/>
      <c r="K143" s="596">
        <f t="shared" si="5"/>
        <v>0</v>
      </c>
      <c r="L143" s="584"/>
      <c r="M143" s="581"/>
    </row>
    <row r="144" spans="1:13" s="220" customFormat="1" ht="18" hidden="1" customHeight="1">
      <c r="A144" s="586"/>
      <c r="B144" s="587">
        <f t="shared" si="4"/>
        <v>0</v>
      </c>
      <c r="C144" s="594">
        <v>130</v>
      </c>
      <c r="D144" s="1182"/>
      <c r="E144" s="1182"/>
      <c r="F144" s="1182"/>
      <c r="G144" s="182"/>
      <c r="H144" s="182"/>
      <c r="I144" s="1307"/>
      <c r="J144" s="1307"/>
      <c r="K144" s="596">
        <f t="shared" si="5"/>
        <v>0</v>
      </c>
      <c r="L144" s="584"/>
      <c r="M144" s="581"/>
    </row>
    <row r="145" spans="1:13" s="220" customFormat="1" ht="18" hidden="1" customHeight="1">
      <c r="A145" s="586"/>
      <c r="B145" s="587">
        <f t="shared" ref="B145:B176" si="6">IFERROR(K145/$K$265,0)</f>
        <v>0</v>
      </c>
      <c r="C145" s="594">
        <v>131</v>
      </c>
      <c r="D145" s="1182"/>
      <c r="E145" s="1182"/>
      <c r="F145" s="1182"/>
      <c r="G145" s="182"/>
      <c r="H145" s="182"/>
      <c r="I145" s="1307"/>
      <c r="J145" s="1307"/>
      <c r="K145" s="596">
        <f t="shared" ref="K145:K208" si="7">H145*I145</f>
        <v>0</v>
      </c>
      <c r="L145" s="584"/>
      <c r="M145" s="581"/>
    </row>
    <row r="146" spans="1:13" s="220" customFormat="1" ht="18" hidden="1" customHeight="1">
      <c r="A146" s="586"/>
      <c r="B146" s="587">
        <f t="shared" si="6"/>
        <v>0</v>
      </c>
      <c r="C146" s="594">
        <v>132</v>
      </c>
      <c r="D146" s="1182"/>
      <c r="E146" s="1182"/>
      <c r="F146" s="1182"/>
      <c r="G146" s="182"/>
      <c r="H146" s="182"/>
      <c r="I146" s="1307"/>
      <c r="J146" s="1307"/>
      <c r="K146" s="596">
        <f t="shared" si="7"/>
        <v>0</v>
      </c>
      <c r="L146" s="584"/>
      <c r="M146" s="581"/>
    </row>
    <row r="147" spans="1:13" s="220" customFormat="1" ht="18" hidden="1" customHeight="1">
      <c r="A147" s="586"/>
      <c r="B147" s="587">
        <f t="shared" si="6"/>
        <v>0</v>
      </c>
      <c r="C147" s="594">
        <v>133</v>
      </c>
      <c r="D147" s="1182"/>
      <c r="E147" s="1182"/>
      <c r="F147" s="1182"/>
      <c r="G147" s="182"/>
      <c r="H147" s="182"/>
      <c r="I147" s="1307"/>
      <c r="J147" s="1307"/>
      <c r="K147" s="596">
        <f t="shared" si="7"/>
        <v>0</v>
      </c>
      <c r="L147" s="584"/>
      <c r="M147" s="581"/>
    </row>
    <row r="148" spans="1:13" s="220" customFormat="1" ht="18" hidden="1" customHeight="1">
      <c r="A148" s="586"/>
      <c r="B148" s="587">
        <f t="shared" si="6"/>
        <v>0</v>
      </c>
      <c r="C148" s="594">
        <v>134</v>
      </c>
      <c r="D148" s="1182"/>
      <c r="E148" s="1182"/>
      <c r="F148" s="1182"/>
      <c r="G148" s="182"/>
      <c r="H148" s="182"/>
      <c r="I148" s="1307"/>
      <c r="J148" s="1307"/>
      <c r="K148" s="596">
        <f t="shared" si="7"/>
        <v>0</v>
      </c>
      <c r="L148" s="584"/>
      <c r="M148" s="581"/>
    </row>
    <row r="149" spans="1:13" s="220" customFormat="1" ht="18" hidden="1" customHeight="1">
      <c r="A149" s="586"/>
      <c r="B149" s="587">
        <f t="shared" si="6"/>
        <v>0</v>
      </c>
      <c r="C149" s="594">
        <v>135</v>
      </c>
      <c r="D149" s="1182"/>
      <c r="E149" s="1182"/>
      <c r="F149" s="1182"/>
      <c r="G149" s="182"/>
      <c r="H149" s="182"/>
      <c r="I149" s="1307"/>
      <c r="J149" s="1307"/>
      <c r="K149" s="596">
        <f t="shared" si="7"/>
        <v>0</v>
      </c>
      <c r="L149" s="584"/>
      <c r="M149" s="581"/>
    </row>
    <row r="150" spans="1:13" s="220" customFormat="1" ht="18" hidden="1" customHeight="1">
      <c r="A150" s="586"/>
      <c r="B150" s="587">
        <f t="shared" si="6"/>
        <v>0</v>
      </c>
      <c r="C150" s="594">
        <v>136</v>
      </c>
      <c r="D150" s="1182"/>
      <c r="E150" s="1182"/>
      <c r="F150" s="1182"/>
      <c r="G150" s="182"/>
      <c r="H150" s="182"/>
      <c r="I150" s="1307"/>
      <c r="J150" s="1307"/>
      <c r="K150" s="596">
        <f t="shared" si="7"/>
        <v>0</v>
      </c>
      <c r="L150" s="584"/>
      <c r="M150" s="581"/>
    </row>
    <row r="151" spans="1:13" s="220" customFormat="1" ht="18" hidden="1" customHeight="1">
      <c r="A151" s="586"/>
      <c r="B151" s="587">
        <f t="shared" si="6"/>
        <v>0</v>
      </c>
      <c r="C151" s="594">
        <v>137</v>
      </c>
      <c r="D151" s="1182"/>
      <c r="E151" s="1182"/>
      <c r="F151" s="1182"/>
      <c r="G151" s="182"/>
      <c r="H151" s="182"/>
      <c r="I151" s="1307"/>
      <c r="J151" s="1307"/>
      <c r="K151" s="596">
        <f t="shared" si="7"/>
        <v>0</v>
      </c>
      <c r="L151" s="584"/>
      <c r="M151" s="581"/>
    </row>
    <row r="152" spans="1:13" s="220" customFormat="1" ht="18" hidden="1" customHeight="1">
      <c r="A152" s="586"/>
      <c r="B152" s="587">
        <f t="shared" si="6"/>
        <v>0</v>
      </c>
      <c r="C152" s="594">
        <v>138</v>
      </c>
      <c r="D152" s="1182"/>
      <c r="E152" s="1182"/>
      <c r="F152" s="1182"/>
      <c r="G152" s="182"/>
      <c r="H152" s="182"/>
      <c r="I152" s="1307"/>
      <c r="J152" s="1307"/>
      <c r="K152" s="596">
        <f t="shared" si="7"/>
        <v>0</v>
      </c>
      <c r="L152" s="584"/>
      <c r="M152" s="581"/>
    </row>
    <row r="153" spans="1:13" s="220" customFormat="1" ht="18" hidden="1" customHeight="1">
      <c r="A153" s="586"/>
      <c r="B153" s="587">
        <f t="shared" si="6"/>
        <v>0</v>
      </c>
      <c r="C153" s="594">
        <v>139</v>
      </c>
      <c r="D153" s="1182"/>
      <c r="E153" s="1182"/>
      <c r="F153" s="1182"/>
      <c r="G153" s="182"/>
      <c r="H153" s="182"/>
      <c r="I153" s="1307"/>
      <c r="J153" s="1307"/>
      <c r="K153" s="596">
        <f t="shared" si="7"/>
        <v>0</v>
      </c>
      <c r="L153" s="584"/>
      <c r="M153" s="581"/>
    </row>
    <row r="154" spans="1:13" s="220" customFormat="1" ht="18" hidden="1" customHeight="1">
      <c r="A154" s="586"/>
      <c r="B154" s="587">
        <f t="shared" si="6"/>
        <v>0</v>
      </c>
      <c r="C154" s="594">
        <v>140</v>
      </c>
      <c r="D154" s="1182"/>
      <c r="E154" s="1182"/>
      <c r="F154" s="1182"/>
      <c r="G154" s="182"/>
      <c r="H154" s="182"/>
      <c r="I154" s="1307"/>
      <c r="J154" s="1307"/>
      <c r="K154" s="596">
        <f t="shared" si="7"/>
        <v>0</v>
      </c>
      <c r="L154" s="584"/>
      <c r="M154" s="581"/>
    </row>
    <row r="155" spans="1:13" s="220" customFormat="1" ht="18" hidden="1" customHeight="1">
      <c r="A155" s="586"/>
      <c r="B155" s="587">
        <f t="shared" si="6"/>
        <v>0</v>
      </c>
      <c r="C155" s="594">
        <v>141</v>
      </c>
      <c r="D155" s="1182"/>
      <c r="E155" s="1182"/>
      <c r="F155" s="1182"/>
      <c r="G155" s="182"/>
      <c r="H155" s="182"/>
      <c r="I155" s="1307"/>
      <c r="J155" s="1307"/>
      <c r="K155" s="596">
        <f t="shared" si="7"/>
        <v>0</v>
      </c>
      <c r="L155" s="584"/>
      <c r="M155" s="581"/>
    </row>
    <row r="156" spans="1:13" s="220" customFormat="1" ht="18" hidden="1" customHeight="1">
      <c r="A156" s="586"/>
      <c r="B156" s="587">
        <f t="shared" si="6"/>
        <v>0</v>
      </c>
      <c r="C156" s="594">
        <v>142</v>
      </c>
      <c r="D156" s="1182"/>
      <c r="E156" s="1182"/>
      <c r="F156" s="1182"/>
      <c r="G156" s="182"/>
      <c r="H156" s="182"/>
      <c r="I156" s="1307"/>
      <c r="J156" s="1307"/>
      <c r="K156" s="596">
        <f t="shared" si="7"/>
        <v>0</v>
      </c>
      <c r="L156" s="584"/>
      <c r="M156" s="581"/>
    </row>
    <row r="157" spans="1:13" s="220" customFormat="1" ht="18" hidden="1" customHeight="1">
      <c r="A157" s="586"/>
      <c r="B157" s="587">
        <f t="shared" si="6"/>
        <v>0</v>
      </c>
      <c r="C157" s="594">
        <v>143</v>
      </c>
      <c r="D157" s="1182"/>
      <c r="E157" s="1182"/>
      <c r="F157" s="1182"/>
      <c r="G157" s="182"/>
      <c r="H157" s="182"/>
      <c r="I157" s="1307"/>
      <c r="J157" s="1307"/>
      <c r="K157" s="596">
        <f t="shared" si="7"/>
        <v>0</v>
      </c>
      <c r="L157" s="584"/>
      <c r="M157" s="581"/>
    </row>
    <row r="158" spans="1:13" s="220" customFormat="1" ht="18" hidden="1" customHeight="1">
      <c r="A158" s="586"/>
      <c r="B158" s="587">
        <f t="shared" si="6"/>
        <v>0</v>
      </c>
      <c r="C158" s="594">
        <v>144</v>
      </c>
      <c r="D158" s="1182"/>
      <c r="E158" s="1182"/>
      <c r="F158" s="1182"/>
      <c r="G158" s="182"/>
      <c r="H158" s="182"/>
      <c r="I158" s="1307"/>
      <c r="J158" s="1307"/>
      <c r="K158" s="596">
        <f t="shared" si="7"/>
        <v>0</v>
      </c>
      <c r="L158" s="584"/>
      <c r="M158" s="581"/>
    </row>
    <row r="159" spans="1:13" s="220" customFormat="1" ht="18" hidden="1" customHeight="1">
      <c r="A159" s="586"/>
      <c r="B159" s="587">
        <f t="shared" si="6"/>
        <v>0</v>
      </c>
      <c r="C159" s="594">
        <v>145</v>
      </c>
      <c r="D159" s="1182"/>
      <c r="E159" s="1182"/>
      <c r="F159" s="1182"/>
      <c r="G159" s="182"/>
      <c r="H159" s="182"/>
      <c r="I159" s="1307"/>
      <c r="J159" s="1307"/>
      <c r="K159" s="596">
        <f t="shared" si="7"/>
        <v>0</v>
      </c>
      <c r="L159" s="584"/>
      <c r="M159" s="581"/>
    </row>
    <row r="160" spans="1:13" s="220" customFormat="1" ht="18" hidden="1" customHeight="1">
      <c r="A160" s="586"/>
      <c r="B160" s="587">
        <f t="shared" si="6"/>
        <v>0</v>
      </c>
      <c r="C160" s="594">
        <v>146</v>
      </c>
      <c r="D160" s="1182"/>
      <c r="E160" s="1182"/>
      <c r="F160" s="1182"/>
      <c r="G160" s="182"/>
      <c r="H160" s="182"/>
      <c r="I160" s="1307"/>
      <c r="J160" s="1307"/>
      <c r="K160" s="596">
        <f t="shared" si="7"/>
        <v>0</v>
      </c>
      <c r="L160" s="584"/>
      <c r="M160" s="581"/>
    </row>
    <row r="161" spans="1:13" s="220" customFormat="1" ht="18" hidden="1" customHeight="1">
      <c r="A161" s="586"/>
      <c r="B161" s="587">
        <f t="shared" si="6"/>
        <v>0</v>
      </c>
      <c r="C161" s="594">
        <v>147</v>
      </c>
      <c r="D161" s="1182"/>
      <c r="E161" s="1182"/>
      <c r="F161" s="1182"/>
      <c r="G161" s="182"/>
      <c r="H161" s="182"/>
      <c r="I161" s="1307"/>
      <c r="J161" s="1307"/>
      <c r="K161" s="596">
        <f t="shared" si="7"/>
        <v>0</v>
      </c>
      <c r="L161" s="584"/>
      <c r="M161" s="581"/>
    </row>
    <row r="162" spans="1:13" s="220" customFormat="1" ht="18" hidden="1" customHeight="1">
      <c r="A162" s="586"/>
      <c r="B162" s="587">
        <f t="shared" si="6"/>
        <v>0</v>
      </c>
      <c r="C162" s="594">
        <v>148</v>
      </c>
      <c r="D162" s="1182"/>
      <c r="E162" s="1182"/>
      <c r="F162" s="1182"/>
      <c r="G162" s="182"/>
      <c r="H162" s="182"/>
      <c r="I162" s="1307"/>
      <c r="J162" s="1307"/>
      <c r="K162" s="596">
        <f t="shared" si="7"/>
        <v>0</v>
      </c>
      <c r="L162" s="584"/>
      <c r="M162" s="581"/>
    </row>
    <row r="163" spans="1:13" s="220" customFormat="1" ht="18" hidden="1" customHeight="1">
      <c r="A163" s="586"/>
      <c r="B163" s="587">
        <f t="shared" si="6"/>
        <v>0</v>
      </c>
      <c r="C163" s="594">
        <v>149</v>
      </c>
      <c r="D163" s="1182"/>
      <c r="E163" s="1182"/>
      <c r="F163" s="1182"/>
      <c r="G163" s="182"/>
      <c r="H163" s="182"/>
      <c r="I163" s="1307"/>
      <c r="J163" s="1307"/>
      <c r="K163" s="596">
        <f t="shared" si="7"/>
        <v>0</v>
      </c>
      <c r="L163" s="584"/>
      <c r="M163" s="581"/>
    </row>
    <row r="164" spans="1:13" s="220" customFormat="1" ht="18" hidden="1" customHeight="1">
      <c r="A164" s="586"/>
      <c r="B164" s="587">
        <f t="shared" si="6"/>
        <v>0</v>
      </c>
      <c r="C164" s="594">
        <v>150</v>
      </c>
      <c r="D164" s="1182"/>
      <c r="E164" s="1182"/>
      <c r="F164" s="1182"/>
      <c r="G164" s="182"/>
      <c r="H164" s="182"/>
      <c r="I164" s="1307"/>
      <c r="J164" s="1307"/>
      <c r="K164" s="596">
        <f t="shared" si="7"/>
        <v>0</v>
      </c>
      <c r="L164" s="584"/>
      <c r="M164" s="581"/>
    </row>
    <row r="165" spans="1:13" s="220" customFormat="1" ht="18" hidden="1" customHeight="1">
      <c r="A165" s="586"/>
      <c r="B165" s="587">
        <f t="shared" si="6"/>
        <v>0</v>
      </c>
      <c r="C165" s="594">
        <v>151</v>
      </c>
      <c r="D165" s="1182"/>
      <c r="E165" s="1182"/>
      <c r="F165" s="1182"/>
      <c r="G165" s="182"/>
      <c r="H165" s="182"/>
      <c r="I165" s="1307"/>
      <c r="J165" s="1307"/>
      <c r="K165" s="596">
        <f t="shared" si="7"/>
        <v>0</v>
      </c>
      <c r="L165" s="584"/>
      <c r="M165" s="581"/>
    </row>
    <row r="166" spans="1:13" s="220" customFormat="1" ht="18" hidden="1" customHeight="1">
      <c r="A166" s="586"/>
      <c r="B166" s="587">
        <f t="shared" si="6"/>
        <v>0</v>
      </c>
      <c r="C166" s="594">
        <v>152</v>
      </c>
      <c r="D166" s="1182"/>
      <c r="E166" s="1182"/>
      <c r="F166" s="1182"/>
      <c r="G166" s="182"/>
      <c r="H166" s="182"/>
      <c r="I166" s="1307"/>
      <c r="J166" s="1307"/>
      <c r="K166" s="596">
        <f t="shared" si="7"/>
        <v>0</v>
      </c>
      <c r="L166" s="584"/>
      <c r="M166" s="581"/>
    </row>
    <row r="167" spans="1:13" s="220" customFormat="1" ht="18" hidden="1" customHeight="1">
      <c r="A167" s="586"/>
      <c r="B167" s="587">
        <f t="shared" si="6"/>
        <v>0</v>
      </c>
      <c r="C167" s="594">
        <v>153</v>
      </c>
      <c r="D167" s="1182"/>
      <c r="E167" s="1182"/>
      <c r="F167" s="1182"/>
      <c r="G167" s="182"/>
      <c r="H167" s="182"/>
      <c r="I167" s="1307"/>
      <c r="J167" s="1307"/>
      <c r="K167" s="596">
        <f t="shared" si="7"/>
        <v>0</v>
      </c>
      <c r="L167" s="584"/>
      <c r="M167" s="581"/>
    </row>
    <row r="168" spans="1:13" s="220" customFormat="1" ht="18" hidden="1" customHeight="1">
      <c r="A168" s="586"/>
      <c r="B168" s="587">
        <f t="shared" si="6"/>
        <v>0</v>
      </c>
      <c r="C168" s="594">
        <v>154</v>
      </c>
      <c r="D168" s="1182"/>
      <c r="E168" s="1182"/>
      <c r="F168" s="1182"/>
      <c r="G168" s="182"/>
      <c r="H168" s="182"/>
      <c r="I168" s="1307"/>
      <c r="J168" s="1307"/>
      <c r="K168" s="596">
        <f t="shared" si="7"/>
        <v>0</v>
      </c>
      <c r="L168" s="584"/>
      <c r="M168" s="581"/>
    </row>
    <row r="169" spans="1:13" s="220" customFormat="1" ht="18" hidden="1" customHeight="1">
      <c r="A169" s="586"/>
      <c r="B169" s="587">
        <f t="shared" si="6"/>
        <v>0</v>
      </c>
      <c r="C169" s="594">
        <v>155</v>
      </c>
      <c r="D169" s="1182"/>
      <c r="E169" s="1182"/>
      <c r="F169" s="1182"/>
      <c r="G169" s="182"/>
      <c r="H169" s="182"/>
      <c r="I169" s="1307"/>
      <c r="J169" s="1307"/>
      <c r="K169" s="596">
        <f t="shared" si="7"/>
        <v>0</v>
      </c>
      <c r="L169" s="584"/>
      <c r="M169" s="581"/>
    </row>
    <row r="170" spans="1:13" s="220" customFormat="1" ht="18" hidden="1" customHeight="1">
      <c r="A170" s="586"/>
      <c r="B170" s="587">
        <f t="shared" si="6"/>
        <v>0</v>
      </c>
      <c r="C170" s="594">
        <v>156</v>
      </c>
      <c r="D170" s="1182"/>
      <c r="E170" s="1182"/>
      <c r="F170" s="1182"/>
      <c r="G170" s="182"/>
      <c r="H170" s="182"/>
      <c r="I170" s="1307"/>
      <c r="J170" s="1307"/>
      <c r="K170" s="596">
        <f t="shared" si="7"/>
        <v>0</v>
      </c>
      <c r="L170" s="584"/>
      <c r="M170" s="581"/>
    </row>
    <row r="171" spans="1:13" s="220" customFormat="1" ht="18" hidden="1" customHeight="1">
      <c r="A171" s="586"/>
      <c r="B171" s="587">
        <f t="shared" si="6"/>
        <v>0</v>
      </c>
      <c r="C171" s="594">
        <v>157</v>
      </c>
      <c r="D171" s="1182"/>
      <c r="E171" s="1182"/>
      <c r="F171" s="1182"/>
      <c r="G171" s="182"/>
      <c r="H171" s="182"/>
      <c r="I171" s="1307"/>
      <c r="J171" s="1307"/>
      <c r="K171" s="596">
        <f t="shared" si="7"/>
        <v>0</v>
      </c>
      <c r="L171" s="584"/>
      <c r="M171" s="581"/>
    </row>
    <row r="172" spans="1:13" s="220" customFormat="1" ht="18" hidden="1" customHeight="1">
      <c r="A172" s="586"/>
      <c r="B172" s="587">
        <f t="shared" si="6"/>
        <v>0</v>
      </c>
      <c r="C172" s="594">
        <v>158</v>
      </c>
      <c r="D172" s="1182"/>
      <c r="E172" s="1182"/>
      <c r="F172" s="1182"/>
      <c r="G172" s="182"/>
      <c r="H172" s="182"/>
      <c r="I172" s="1307"/>
      <c r="J172" s="1307"/>
      <c r="K172" s="596">
        <f t="shared" si="7"/>
        <v>0</v>
      </c>
      <c r="L172" s="584"/>
      <c r="M172" s="581"/>
    </row>
    <row r="173" spans="1:13" s="220" customFormat="1" ht="18" hidden="1" customHeight="1">
      <c r="A173" s="586"/>
      <c r="B173" s="587">
        <f t="shared" si="6"/>
        <v>0</v>
      </c>
      <c r="C173" s="594">
        <v>159</v>
      </c>
      <c r="D173" s="1182"/>
      <c r="E173" s="1182"/>
      <c r="F173" s="1182"/>
      <c r="G173" s="182"/>
      <c r="H173" s="182"/>
      <c r="I173" s="1307"/>
      <c r="J173" s="1307"/>
      <c r="K173" s="596">
        <f t="shared" si="7"/>
        <v>0</v>
      </c>
      <c r="L173" s="584"/>
      <c r="M173" s="581"/>
    </row>
    <row r="174" spans="1:13" s="220" customFormat="1" ht="18" hidden="1" customHeight="1">
      <c r="A174" s="586"/>
      <c r="B174" s="587">
        <f t="shared" si="6"/>
        <v>0</v>
      </c>
      <c r="C174" s="594">
        <v>160</v>
      </c>
      <c r="D174" s="1182"/>
      <c r="E174" s="1182"/>
      <c r="F174" s="1182"/>
      <c r="G174" s="182"/>
      <c r="H174" s="182"/>
      <c r="I174" s="1307"/>
      <c r="J174" s="1307"/>
      <c r="K174" s="596">
        <f t="shared" si="7"/>
        <v>0</v>
      </c>
      <c r="L174" s="584"/>
      <c r="M174" s="581"/>
    </row>
    <row r="175" spans="1:13" s="220" customFormat="1" ht="18" hidden="1" customHeight="1">
      <c r="A175" s="586"/>
      <c r="B175" s="587">
        <f t="shared" si="6"/>
        <v>0</v>
      </c>
      <c r="C175" s="594">
        <v>161</v>
      </c>
      <c r="D175" s="1182"/>
      <c r="E175" s="1182"/>
      <c r="F175" s="1182"/>
      <c r="G175" s="182"/>
      <c r="H175" s="182"/>
      <c r="I175" s="1307"/>
      <c r="J175" s="1307"/>
      <c r="K175" s="596">
        <f t="shared" si="7"/>
        <v>0</v>
      </c>
      <c r="L175" s="584"/>
      <c r="M175" s="581"/>
    </row>
    <row r="176" spans="1:13" s="220" customFormat="1" ht="18" hidden="1" customHeight="1">
      <c r="A176" s="586"/>
      <c r="B176" s="587">
        <f t="shared" si="6"/>
        <v>0</v>
      </c>
      <c r="C176" s="594">
        <v>162</v>
      </c>
      <c r="D176" s="1182"/>
      <c r="E176" s="1182"/>
      <c r="F176" s="1182"/>
      <c r="G176" s="182"/>
      <c r="H176" s="182"/>
      <c r="I176" s="1307"/>
      <c r="J176" s="1307"/>
      <c r="K176" s="596">
        <f t="shared" si="7"/>
        <v>0</v>
      </c>
      <c r="L176" s="584"/>
      <c r="M176" s="581"/>
    </row>
    <row r="177" spans="1:13" s="220" customFormat="1" ht="18" hidden="1" customHeight="1">
      <c r="A177" s="586"/>
      <c r="B177" s="587">
        <f t="shared" ref="B177:B208" si="8">IFERROR(K177/$K$265,0)</f>
        <v>0</v>
      </c>
      <c r="C177" s="594">
        <v>163</v>
      </c>
      <c r="D177" s="1182"/>
      <c r="E177" s="1182"/>
      <c r="F177" s="1182"/>
      <c r="G177" s="182"/>
      <c r="H177" s="182"/>
      <c r="I177" s="1307"/>
      <c r="J177" s="1307"/>
      <c r="K177" s="596">
        <f t="shared" si="7"/>
        <v>0</v>
      </c>
      <c r="L177" s="584"/>
      <c r="M177" s="581"/>
    </row>
    <row r="178" spans="1:13" s="220" customFormat="1" ht="18" hidden="1" customHeight="1">
      <c r="A178" s="586"/>
      <c r="B178" s="587">
        <f t="shared" si="8"/>
        <v>0</v>
      </c>
      <c r="C178" s="594">
        <v>164</v>
      </c>
      <c r="D178" s="1182"/>
      <c r="E178" s="1182"/>
      <c r="F178" s="1182"/>
      <c r="G178" s="182"/>
      <c r="H178" s="182"/>
      <c r="I178" s="1307"/>
      <c r="J178" s="1307"/>
      <c r="K178" s="596">
        <f t="shared" si="7"/>
        <v>0</v>
      </c>
      <c r="L178" s="584"/>
      <c r="M178" s="581"/>
    </row>
    <row r="179" spans="1:13" s="220" customFormat="1" ht="18" hidden="1" customHeight="1">
      <c r="A179" s="586"/>
      <c r="B179" s="587">
        <f t="shared" si="8"/>
        <v>0</v>
      </c>
      <c r="C179" s="594">
        <v>165</v>
      </c>
      <c r="D179" s="1182"/>
      <c r="E179" s="1182"/>
      <c r="F179" s="1182"/>
      <c r="G179" s="182"/>
      <c r="H179" s="182"/>
      <c r="I179" s="1307"/>
      <c r="J179" s="1307"/>
      <c r="K179" s="596">
        <f t="shared" si="7"/>
        <v>0</v>
      </c>
      <c r="L179" s="584"/>
      <c r="M179" s="581"/>
    </row>
    <row r="180" spans="1:13" s="220" customFormat="1" ht="18" hidden="1" customHeight="1">
      <c r="A180" s="586"/>
      <c r="B180" s="587">
        <f t="shared" si="8"/>
        <v>0</v>
      </c>
      <c r="C180" s="594">
        <v>166</v>
      </c>
      <c r="D180" s="1182"/>
      <c r="E180" s="1182"/>
      <c r="F180" s="1182"/>
      <c r="G180" s="182"/>
      <c r="H180" s="182"/>
      <c r="I180" s="1307"/>
      <c r="J180" s="1307"/>
      <c r="K180" s="596">
        <f t="shared" si="7"/>
        <v>0</v>
      </c>
      <c r="L180" s="584"/>
      <c r="M180" s="581"/>
    </row>
    <row r="181" spans="1:13" s="220" customFormat="1" ht="18" hidden="1" customHeight="1">
      <c r="A181" s="586"/>
      <c r="B181" s="587">
        <f t="shared" si="8"/>
        <v>0</v>
      </c>
      <c r="C181" s="594">
        <v>167</v>
      </c>
      <c r="D181" s="1182"/>
      <c r="E181" s="1182"/>
      <c r="F181" s="1182"/>
      <c r="G181" s="182"/>
      <c r="H181" s="182"/>
      <c r="I181" s="1307"/>
      <c r="J181" s="1307"/>
      <c r="K181" s="596">
        <f t="shared" si="7"/>
        <v>0</v>
      </c>
      <c r="L181" s="584"/>
      <c r="M181" s="581"/>
    </row>
    <row r="182" spans="1:13" s="220" customFormat="1" ht="18" hidden="1" customHeight="1">
      <c r="A182" s="586"/>
      <c r="B182" s="587">
        <f t="shared" si="8"/>
        <v>0</v>
      </c>
      <c r="C182" s="594">
        <v>168</v>
      </c>
      <c r="D182" s="1182"/>
      <c r="E182" s="1182"/>
      <c r="F182" s="1182"/>
      <c r="G182" s="182"/>
      <c r="H182" s="182"/>
      <c r="I182" s="1307"/>
      <c r="J182" s="1307"/>
      <c r="K182" s="596">
        <f t="shared" si="7"/>
        <v>0</v>
      </c>
      <c r="L182" s="584"/>
      <c r="M182" s="581"/>
    </row>
    <row r="183" spans="1:13" s="220" customFormat="1" ht="18" hidden="1" customHeight="1">
      <c r="A183" s="586"/>
      <c r="B183" s="587">
        <f t="shared" si="8"/>
        <v>0</v>
      </c>
      <c r="C183" s="594">
        <v>169</v>
      </c>
      <c r="D183" s="1182"/>
      <c r="E183" s="1182"/>
      <c r="F183" s="1182"/>
      <c r="G183" s="182"/>
      <c r="H183" s="182"/>
      <c r="I183" s="1307"/>
      <c r="J183" s="1307"/>
      <c r="K183" s="596">
        <f t="shared" si="7"/>
        <v>0</v>
      </c>
      <c r="L183" s="584"/>
      <c r="M183" s="581"/>
    </row>
    <row r="184" spans="1:13" s="220" customFormat="1" ht="18" hidden="1" customHeight="1">
      <c r="A184" s="586"/>
      <c r="B184" s="587">
        <f t="shared" si="8"/>
        <v>0</v>
      </c>
      <c r="C184" s="594">
        <v>170</v>
      </c>
      <c r="D184" s="1182"/>
      <c r="E184" s="1182"/>
      <c r="F184" s="1182"/>
      <c r="G184" s="182"/>
      <c r="H184" s="182"/>
      <c r="I184" s="1307"/>
      <c r="J184" s="1307"/>
      <c r="K184" s="596">
        <f t="shared" si="7"/>
        <v>0</v>
      </c>
      <c r="L184" s="584"/>
      <c r="M184" s="581"/>
    </row>
    <row r="185" spans="1:13" s="220" customFormat="1" ht="18" hidden="1" customHeight="1">
      <c r="A185" s="586"/>
      <c r="B185" s="587">
        <f t="shared" si="8"/>
        <v>0</v>
      </c>
      <c r="C185" s="594">
        <v>171</v>
      </c>
      <c r="D185" s="1182"/>
      <c r="E185" s="1182"/>
      <c r="F185" s="1182"/>
      <c r="G185" s="182"/>
      <c r="H185" s="182"/>
      <c r="I185" s="1307"/>
      <c r="J185" s="1307"/>
      <c r="K185" s="596">
        <f t="shared" si="7"/>
        <v>0</v>
      </c>
      <c r="L185" s="584"/>
      <c r="M185" s="581"/>
    </row>
    <row r="186" spans="1:13" s="220" customFormat="1" ht="18" hidden="1" customHeight="1">
      <c r="A186" s="586"/>
      <c r="B186" s="587">
        <f t="shared" si="8"/>
        <v>0</v>
      </c>
      <c r="C186" s="594">
        <v>172</v>
      </c>
      <c r="D186" s="1182"/>
      <c r="E186" s="1182"/>
      <c r="F186" s="1182"/>
      <c r="G186" s="182"/>
      <c r="H186" s="182"/>
      <c r="I186" s="1307"/>
      <c r="J186" s="1307"/>
      <c r="K186" s="596">
        <f t="shared" si="7"/>
        <v>0</v>
      </c>
      <c r="L186" s="584"/>
      <c r="M186" s="581"/>
    </row>
    <row r="187" spans="1:13" s="220" customFormat="1" ht="18" hidden="1" customHeight="1">
      <c r="A187" s="586"/>
      <c r="B187" s="587">
        <f t="shared" si="8"/>
        <v>0</v>
      </c>
      <c r="C187" s="594">
        <v>173</v>
      </c>
      <c r="D187" s="1182"/>
      <c r="E187" s="1182"/>
      <c r="F187" s="1182"/>
      <c r="G187" s="182"/>
      <c r="H187" s="182"/>
      <c r="I187" s="1307"/>
      <c r="J187" s="1307"/>
      <c r="K187" s="596">
        <f t="shared" si="7"/>
        <v>0</v>
      </c>
      <c r="L187" s="584"/>
      <c r="M187" s="581"/>
    </row>
    <row r="188" spans="1:13" s="220" customFormat="1" ht="18" hidden="1" customHeight="1">
      <c r="A188" s="586"/>
      <c r="B188" s="587">
        <f t="shared" si="8"/>
        <v>0</v>
      </c>
      <c r="C188" s="594">
        <v>174</v>
      </c>
      <c r="D188" s="1182"/>
      <c r="E188" s="1182"/>
      <c r="F188" s="1182"/>
      <c r="G188" s="182"/>
      <c r="H188" s="182"/>
      <c r="I188" s="1307"/>
      <c r="J188" s="1307"/>
      <c r="K188" s="596">
        <f t="shared" si="7"/>
        <v>0</v>
      </c>
      <c r="L188" s="584"/>
      <c r="M188" s="581"/>
    </row>
    <row r="189" spans="1:13" s="220" customFormat="1" ht="18" hidden="1" customHeight="1">
      <c r="A189" s="586"/>
      <c r="B189" s="587">
        <f t="shared" si="8"/>
        <v>0</v>
      </c>
      <c r="C189" s="594">
        <v>175</v>
      </c>
      <c r="D189" s="1182"/>
      <c r="E189" s="1182"/>
      <c r="F189" s="1182"/>
      <c r="G189" s="182"/>
      <c r="H189" s="182"/>
      <c r="I189" s="1307"/>
      <c r="J189" s="1307"/>
      <c r="K189" s="596">
        <f t="shared" si="7"/>
        <v>0</v>
      </c>
      <c r="L189" s="584"/>
      <c r="M189" s="581"/>
    </row>
    <row r="190" spans="1:13" s="220" customFormat="1" ht="18" hidden="1" customHeight="1">
      <c r="A190" s="586"/>
      <c r="B190" s="587">
        <f t="shared" si="8"/>
        <v>0</v>
      </c>
      <c r="C190" s="594">
        <v>176</v>
      </c>
      <c r="D190" s="1182"/>
      <c r="E190" s="1182"/>
      <c r="F190" s="1182"/>
      <c r="G190" s="182"/>
      <c r="H190" s="182"/>
      <c r="I190" s="1307"/>
      <c r="J190" s="1307"/>
      <c r="K190" s="596">
        <f t="shared" si="7"/>
        <v>0</v>
      </c>
      <c r="L190" s="584"/>
      <c r="M190" s="581"/>
    </row>
    <row r="191" spans="1:13" s="220" customFormat="1" ht="18" hidden="1" customHeight="1">
      <c r="A191" s="586"/>
      <c r="B191" s="587">
        <f t="shared" si="8"/>
        <v>0</v>
      </c>
      <c r="C191" s="594">
        <v>177</v>
      </c>
      <c r="D191" s="1182"/>
      <c r="E191" s="1182"/>
      <c r="F191" s="1182"/>
      <c r="G191" s="182"/>
      <c r="H191" s="182"/>
      <c r="I191" s="1307"/>
      <c r="J191" s="1307"/>
      <c r="K191" s="596">
        <f t="shared" si="7"/>
        <v>0</v>
      </c>
      <c r="L191" s="584"/>
      <c r="M191" s="581"/>
    </row>
    <row r="192" spans="1:13" s="220" customFormat="1" ht="18" hidden="1" customHeight="1">
      <c r="A192" s="586"/>
      <c r="B192" s="587">
        <f t="shared" si="8"/>
        <v>0</v>
      </c>
      <c r="C192" s="594">
        <v>178</v>
      </c>
      <c r="D192" s="1182"/>
      <c r="E192" s="1182"/>
      <c r="F192" s="1182"/>
      <c r="G192" s="182"/>
      <c r="H192" s="182"/>
      <c r="I192" s="1307"/>
      <c r="J192" s="1307"/>
      <c r="K192" s="596">
        <f t="shared" si="7"/>
        <v>0</v>
      </c>
      <c r="L192" s="584"/>
      <c r="M192" s="581"/>
    </row>
    <row r="193" spans="1:13" s="220" customFormat="1" ht="18" hidden="1" customHeight="1">
      <c r="A193" s="586"/>
      <c r="B193" s="587">
        <f t="shared" si="8"/>
        <v>0</v>
      </c>
      <c r="C193" s="594">
        <v>179</v>
      </c>
      <c r="D193" s="1182"/>
      <c r="E193" s="1182"/>
      <c r="F193" s="1182"/>
      <c r="G193" s="182"/>
      <c r="H193" s="182"/>
      <c r="I193" s="1307"/>
      <c r="J193" s="1307"/>
      <c r="K193" s="596">
        <f t="shared" si="7"/>
        <v>0</v>
      </c>
      <c r="L193" s="584"/>
      <c r="M193" s="581"/>
    </row>
    <row r="194" spans="1:13" s="220" customFormat="1" ht="18" hidden="1" customHeight="1">
      <c r="A194" s="586"/>
      <c r="B194" s="587">
        <f t="shared" si="8"/>
        <v>0</v>
      </c>
      <c r="C194" s="594">
        <v>180</v>
      </c>
      <c r="D194" s="1182"/>
      <c r="E194" s="1182"/>
      <c r="F194" s="1182"/>
      <c r="G194" s="182"/>
      <c r="H194" s="182"/>
      <c r="I194" s="1307"/>
      <c r="J194" s="1307"/>
      <c r="K194" s="596">
        <f t="shared" si="7"/>
        <v>0</v>
      </c>
      <c r="L194" s="584"/>
      <c r="M194" s="581"/>
    </row>
    <row r="195" spans="1:13" s="220" customFormat="1" ht="18" hidden="1" customHeight="1">
      <c r="A195" s="586"/>
      <c r="B195" s="587">
        <f t="shared" si="8"/>
        <v>0</v>
      </c>
      <c r="C195" s="594">
        <v>181</v>
      </c>
      <c r="D195" s="1182"/>
      <c r="E195" s="1182"/>
      <c r="F195" s="1182"/>
      <c r="G195" s="182"/>
      <c r="H195" s="182"/>
      <c r="I195" s="1307"/>
      <c r="J195" s="1307"/>
      <c r="K195" s="596">
        <f t="shared" si="7"/>
        <v>0</v>
      </c>
      <c r="L195" s="584"/>
      <c r="M195" s="581"/>
    </row>
    <row r="196" spans="1:13" s="220" customFormat="1" ht="18" hidden="1" customHeight="1">
      <c r="A196" s="586"/>
      <c r="B196" s="587">
        <f t="shared" si="8"/>
        <v>0</v>
      </c>
      <c r="C196" s="594">
        <v>182</v>
      </c>
      <c r="D196" s="1182"/>
      <c r="E196" s="1182"/>
      <c r="F196" s="1182"/>
      <c r="G196" s="182"/>
      <c r="H196" s="182"/>
      <c r="I196" s="1307"/>
      <c r="J196" s="1307"/>
      <c r="K196" s="596">
        <f t="shared" si="7"/>
        <v>0</v>
      </c>
      <c r="L196" s="584"/>
      <c r="M196" s="581"/>
    </row>
    <row r="197" spans="1:13" s="220" customFormat="1" ht="18" hidden="1" customHeight="1">
      <c r="A197" s="586"/>
      <c r="B197" s="587">
        <f t="shared" si="8"/>
        <v>0</v>
      </c>
      <c r="C197" s="594">
        <v>183</v>
      </c>
      <c r="D197" s="1182"/>
      <c r="E197" s="1182"/>
      <c r="F197" s="1182"/>
      <c r="G197" s="182"/>
      <c r="H197" s="182"/>
      <c r="I197" s="1307"/>
      <c r="J197" s="1307"/>
      <c r="K197" s="596">
        <f t="shared" si="7"/>
        <v>0</v>
      </c>
      <c r="L197" s="584"/>
      <c r="M197" s="581"/>
    </row>
    <row r="198" spans="1:13" s="220" customFormat="1" ht="18" hidden="1" customHeight="1">
      <c r="A198" s="586"/>
      <c r="B198" s="587">
        <f t="shared" si="8"/>
        <v>0</v>
      </c>
      <c r="C198" s="594">
        <v>184</v>
      </c>
      <c r="D198" s="1182"/>
      <c r="E198" s="1182"/>
      <c r="F198" s="1182"/>
      <c r="G198" s="182"/>
      <c r="H198" s="182"/>
      <c r="I198" s="1307"/>
      <c r="J198" s="1307"/>
      <c r="K198" s="596">
        <f t="shared" si="7"/>
        <v>0</v>
      </c>
      <c r="L198" s="584"/>
      <c r="M198" s="581"/>
    </row>
    <row r="199" spans="1:13" s="220" customFormat="1" ht="18" hidden="1" customHeight="1">
      <c r="A199" s="586"/>
      <c r="B199" s="587">
        <f t="shared" si="8"/>
        <v>0</v>
      </c>
      <c r="C199" s="594">
        <v>185</v>
      </c>
      <c r="D199" s="1182"/>
      <c r="E199" s="1182"/>
      <c r="F199" s="1182"/>
      <c r="G199" s="182"/>
      <c r="H199" s="182"/>
      <c r="I199" s="1307"/>
      <c r="J199" s="1307"/>
      <c r="K199" s="596">
        <f t="shared" si="7"/>
        <v>0</v>
      </c>
      <c r="L199" s="584"/>
      <c r="M199" s="581"/>
    </row>
    <row r="200" spans="1:13" s="220" customFormat="1" ht="18" hidden="1" customHeight="1">
      <c r="A200" s="586"/>
      <c r="B200" s="587">
        <f t="shared" si="8"/>
        <v>0</v>
      </c>
      <c r="C200" s="594">
        <v>186</v>
      </c>
      <c r="D200" s="1182"/>
      <c r="E200" s="1182"/>
      <c r="F200" s="1182"/>
      <c r="G200" s="182"/>
      <c r="H200" s="182"/>
      <c r="I200" s="1307"/>
      <c r="J200" s="1307"/>
      <c r="K200" s="596">
        <f t="shared" si="7"/>
        <v>0</v>
      </c>
      <c r="L200" s="584"/>
      <c r="M200" s="581"/>
    </row>
    <row r="201" spans="1:13" s="220" customFormat="1" ht="18" hidden="1" customHeight="1">
      <c r="A201" s="586"/>
      <c r="B201" s="587">
        <f t="shared" si="8"/>
        <v>0</v>
      </c>
      <c r="C201" s="594">
        <v>187</v>
      </c>
      <c r="D201" s="1182"/>
      <c r="E201" s="1182"/>
      <c r="F201" s="1182"/>
      <c r="G201" s="182"/>
      <c r="H201" s="182"/>
      <c r="I201" s="1307"/>
      <c r="J201" s="1307"/>
      <c r="K201" s="596">
        <f t="shared" si="7"/>
        <v>0</v>
      </c>
      <c r="L201" s="584"/>
      <c r="M201" s="581"/>
    </row>
    <row r="202" spans="1:13" s="220" customFormat="1" ht="18" hidden="1" customHeight="1">
      <c r="A202" s="586"/>
      <c r="B202" s="587">
        <f t="shared" si="8"/>
        <v>0</v>
      </c>
      <c r="C202" s="594">
        <v>188</v>
      </c>
      <c r="D202" s="1182"/>
      <c r="E202" s="1182"/>
      <c r="F202" s="1182"/>
      <c r="G202" s="182"/>
      <c r="H202" s="182"/>
      <c r="I202" s="1307"/>
      <c r="J202" s="1307"/>
      <c r="K202" s="596">
        <f t="shared" si="7"/>
        <v>0</v>
      </c>
      <c r="L202" s="584"/>
      <c r="M202" s="581"/>
    </row>
    <row r="203" spans="1:13" s="220" customFormat="1" ht="18" hidden="1" customHeight="1">
      <c r="A203" s="586"/>
      <c r="B203" s="587">
        <f t="shared" si="8"/>
        <v>0</v>
      </c>
      <c r="C203" s="594">
        <v>189</v>
      </c>
      <c r="D203" s="1182"/>
      <c r="E203" s="1182"/>
      <c r="F203" s="1182"/>
      <c r="G203" s="182"/>
      <c r="H203" s="182"/>
      <c r="I203" s="1307"/>
      <c r="J203" s="1307"/>
      <c r="K203" s="596">
        <f t="shared" si="7"/>
        <v>0</v>
      </c>
      <c r="L203" s="584"/>
      <c r="M203" s="581"/>
    </row>
    <row r="204" spans="1:13" s="220" customFormat="1" ht="18" hidden="1" customHeight="1">
      <c r="A204" s="586"/>
      <c r="B204" s="587">
        <f t="shared" si="8"/>
        <v>0</v>
      </c>
      <c r="C204" s="594">
        <v>190</v>
      </c>
      <c r="D204" s="1182"/>
      <c r="E204" s="1182"/>
      <c r="F204" s="1182"/>
      <c r="G204" s="182"/>
      <c r="H204" s="182"/>
      <c r="I204" s="1307"/>
      <c r="J204" s="1307"/>
      <c r="K204" s="596">
        <f t="shared" si="7"/>
        <v>0</v>
      </c>
      <c r="L204" s="584"/>
      <c r="M204" s="581"/>
    </row>
    <row r="205" spans="1:13" s="220" customFormat="1" ht="18" hidden="1" customHeight="1">
      <c r="A205" s="586"/>
      <c r="B205" s="587">
        <f t="shared" si="8"/>
        <v>0</v>
      </c>
      <c r="C205" s="594">
        <v>191</v>
      </c>
      <c r="D205" s="1182"/>
      <c r="E205" s="1182"/>
      <c r="F205" s="1182"/>
      <c r="G205" s="182"/>
      <c r="H205" s="182"/>
      <c r="I205" s="1307"/>
      <c r="J205" s="1307"/>
      <c r="K205" s="596">
        <f t="shared" si="7"/>
        <v>0</v>
      </c>
      <c r="L205" s="584"/>
      <c r="M205" s="581"/>
    </row>
    <row r="206" spans="1:13" s="220" customFormat="1" ht="18" hidden="1" customHeight="1">
      <c r="A206" s="586"/>
      <c r="B206" s="587">
        <f t="shared" si="8"/>
        <v>0</v>
      </c>
      <c r="C206" s="594">
        <v>192</v>
      </c>
      <c r="D206" s="1182"/>
      <c r="E206" s="1182"/>
      <c r="F206" s="1182"/>
      <c r="G206" s="182"/>
      <c r="H206" s="182"/>
      <c r="I206" s="1307"/>
      <c r="J206" s="1307"/>
      <c r="K206" s="596">
        <f t="shared" si="7"/>
        <v>0</v>
      </c>
      <c r="L206" s="584"/>
      <c r="M206" s="581"/>
    </row>
    <row r="207" spans="1:13" s="220" customFormat="1" ht="18" hidden="1" customHeight="1">
      <c r="A207" s="586"/>
      <c r="B207" s="587">
        <f t="shared" si="8"/>
        <v>0</v>
      </c>
      <c r="C207" s="594">
        <v>193</v>
      </c>
      <c r="D207" s="1182"/>
      <c r="E207" s="1182"/>
      <c r="F207" s="1182"/>
      <c r="G207" s="182"/>
      <c r="H207" s="182"/>
      <c r="I207" s="1307"/>
      <c r="J207" s="1307"/>
      <c r="K207" s="596">
        <f t="shared" si="7"/>
        <v>0</v>
      </c>
      <c r="L207" s="584"/>
      <c r="M207" s="581"/>
    </row>
    <row r="208" spans="1:13" s="220" customFormat="1" ht="18" hidden="1" customHeight="1">
      <c r="A208" s="586"/>
      <c r="B208" s="587">
        <f t="shared" si="8"/>
        <v>0</v>
      </c>
      <c r="C208" s="594">
        <v>194</v>
      </c>
      <c r="D208" s="1182"/>
      <c r="E208" s="1182"/>
      <c r="F208" s="1182"/>
      <c r="G208" s="182"/>
      <c r="H208" s="182"/>
      <c r="I208" s="1307"/>
      <c r="J208" s="1307"/>
      <c r="K208" s="596">
        <f t="shared" si="7"/>
        <v>0</v>
      </c>
      <c r="L208" s="584"/>
      <c r="M208" s="581"/>
    </row>
    <row r="209" spans="1:13" s="220" customFormat="1" ht="18" hidden="1" customHeight="1">
      <c r="A209" s="586"/>
      <c r="B209" s="587">
        <f t="shared" ref="B209:B245" si="9">IFERROR(K209/$K$265,0)</f>
        <v>0</v>
      </c>
      <c r="C209" s="594">
        <v>195</v>
      </c>
      <c r="D209" s="1182"/>
      <c r="E209" s="1182"/>
      <c r="F209" s="1182"/>
      <c r="G209" s="182"/>
      <c r="H209" s="182"/>
      <c r="I209" s="1307"/>
      <c r="J209" s="1307"/>
      <c r="K209" s="596">
        <f t="shared" si="1"/>
        <v>0</v>
      </c>
      <c r="L209" s="584"/>
      <c r="M209" s="581"/>
    </row>
    <row r="210" spans="1:13" s="220" customFormat="1" ht="18" hidden="1" customHeight="1">
      <c r="A210" s="586"/>
      <c r="B210" s="587">
        <f t="shared" si="9"/>
        <v>0</v>
      </c>
      <c r="C210" s="594">
        <v>196</v>
      </c>
      <c r="D210" s="1182"/>
      <c r="E210" s="1182"/>
      <c r="F210" s="1182"/>
      <c r="G210" s="182"/>
      <c r="H210" s="182"/>
      <c r="I210" s="1307"/>
      <c r="J210" s="1307"/>
      <c r="K210" s="596">
        <f t="shared" si="1"/>
        <v>0</v>
      </c>
      <c r="L210" s="584"/>
      <c r="M210" s="581"/>
    </row>
    <row r="211" spans="1:13" s="220" customFormat="1" ht="18" hidden="1" customHeight="1">
      <c r="A211" s="586"/>
      <c r="B211" s="587">
        <f t="shared" si="9"/>
        <v>0</v>
      </c>
      <c r="C211" s="594">
        <v>197</v>
      </c>
      <c r="D211" s="1182"/>
      <c r="E211" s="1182"/>
      <c r="F211" s="1182"/>
      <c r="G211" s="182"/>
      <c r="H211" s="182"/>
      <c r="I211" s="1307"/>
      <c r="J211" s="1307"/>
      <c r="K211" s="596">
        <f t="shared" si="1"/>
        <v>0</v>
      </c>
      <c r="L211" s="584"/>
      <c r="M211" s="581"/>
    </row>
    <row r="212" spans="1:13" s="220" customFormat="1" ht="18" hidden="1" customHeight="1">
      <c r="A212" s="586"/>
      <c r="B212" s="587">
        <f t="shared" si="9"/>
        <v>0</v>
      </c>
      <c r="C212" s="594">
        <v>198</v>
      </c>
      <c r="D212" s="1182"/>
      <c r="E212" s="1182"/>
      <c r="F212" s="1182"/>
      <c r="G212" s="182"/>
      <c r="H212" s="182"/>
      <c r="I212" s="1307"/>
      <c r="J212" s="1307"/>
      <c r="K212" s="596">
        <f t="shared" si="1"/>
        <v>0</v>
      </c>
      <c r="L212" s="584"/>
      <c r="M212" s="581"/>
    </row>
    <row r="213" spans="1:13" s="220" customFormat="1" ht="18" hidden="1" customHeight="1">
      <c r="A213" s="586"/>
      <c r="B213" s="587">
        <f t="shared" si="9"/>
        <v>0</v>
      </c>
      <c r="C213" s="594">
        <v>199</v>
      </c>
      <c r="D213" s="1182"/>
      <c r="E213" s="1182"/>
      <c r="F213" s="1182"/>
      <c r="G213" s="182"/>
      <c r="H213" s="182"/>
      <c r="I213" s="1307"/>
      <c r="J213" s="1307"/>
      <c r="K213" s="596">
        <f t="shared" si="1"/>
        <v>0</v>
      </c>
      <c r="L213" s="584"/>
      <c r="M213" s="581"/>
    </row>
    <row r="214" spans="1:13" s="220" customFormat="1" ht="18" hidden="1" customHeight="1">
      <c r="A214" s="586"/>
      <c r="B214" s="587">
        <f t="shared" si="9"/>
        <v>0</v>
      </c>
      <c r="C214" s="594">
        <v>200</v>
      </c>
      <c r="D214" s="1182"/>
      <c r="E214" s="1182"/>
      <c r="F214" s="1182"/>
      <c r="G214" s="182"/>
      <c r="H214" s="182"/>
      <c r="I214" s="1307"/>
      <c r="J214" s="1307"/>
      <c r="K214" s="596">
        <f t="shared" si="1"/>
        <v>0</v>
      </c>
      <c r="L214" s="584"/>
      <c r="M214" s="581"/>
    </row>
    <row r="215" spans="1:13" s="220" customFormat="1" ht="18" hidden="1" customHeight="1">
      <c r="A215" s="586"/>
      <c r="B215" s="587">
        <f t="shared" si="9"/>
        <v>0</v>
      </c>
      <c r="C215" s="594">
        <v>201</v>
      </c>
      <c r="D215" s="1182"/>
      <c r="E215" s="1182"/>
      <c r="F215" s="1182"/>
      <c r="G215" s="182"/>
      <c r="H215" s="182"/>
      <c r="I215" s="1307"/>
      <c r="J215" s="1307"/>
      <c r="K215" s="596">
        <f t="shared" si="1"/>
        <v>0</v>
      </c>
      <c r="L215" s="584"/>
      <c r="M215" s="581"/>
    </row>
    <row r="216" spans="1:13" s="220" customFormat="1" ht="18" hidden="1" customHeight="1">
      <c r="A216" s="586"/>
      <c r="B216" s="587">
        <f t="shared" si="9"/>
        <v>0</v>
      </c>
      <c r="C216" s="594">
        <v>202</v>
      </c>
      <c r="D216" s="1182"/>
      <c r="E216" s="1182"/>
      <c r="F216" s="1182"/>
      <c r="G216" s="182"/>
      <c r="H216" s="182"/>
      <c r="I216" s="1307"/>
      <c r="J216" s="1307"/>
      <c r="K216" s="596">
        <f t="shared" si="1"/>
        <v>0</v>
      </c>
      <c r="L216" s="584"/>
      <c r="M216" s="581"/>
    </row>
    <row r="217" spans="1:13" s="220" customFormat="1" ht="18" hidden="1" customHeight="1">
      <c r="A217" s="586"/>
      <c r="B217" s="587">
        <f t="shared" si="9"/>
        <v>0</v>
      </c>
      <c r="C217" s="594">
        <v>203</v>
      </c>
      <c r="D217" s="1182"/>
      <c r="E217" s="1182"/>
      <c r="F217" s="1182"/>
      <c r="G217" s="182"/>
      <c r="H217" s="182"/>
      <c r="I217" s="1307"/>
      <c r="J217" s="1307"/>
      <c r="K217" s="596">
        <f t="shared" si="1"/>
        <v>0</v>
      </c>
      <c r="L217" s="584"/>
      <c r="M217" s="581"/>
    </row>
    <row r="218" spans="1:13" s="220" customFormat="1" ht="18" hidden="1" customHeight="1">
      <c r="A218" s="586"/>
      <c r="B218" s="587">
        <f t="shared" si="9"/>
        <v>0</v>
      </c>
      <c r="C218" s="594">
        <v>204</v>
      </c>
      <c r="D218" s="1182"/>
      <c r="E218" s="1182"/>
      <c r="F218" s="1182"/>
      <c r="G218" s="182"/>
      <c r="H218" s="182"/>
      <c r="I218" s="1307"/>
      <c r="J218" s="1307"/>
      <c r="K218" s="596">
        <f t="shared" si="1"/>
        <v>0</v>
      </c>
      <c r="L218" s="584"/>
      <c r="M218" s="581"/>
    </row>
    <row r="219" spans="1:13" s="220" customFormat="1" ht="18" hidden="1" customHeight="1">
      <c r="A219" s="586"/>
      <c r="B219" s="587">
        <f t="shared" si="9"/>
        <v>0</v>
      </c>
      <c r="C219" s="594">
        <v>205</v>
      </c>
      <c r="D219" s="1182"/>
      <c r="E219" s="1182"/>
      <c r="F219" s="1182"/>
      <c r="G219" s="182"/>
      <c r="H219" s="182"/>
      <c r="I219" s="1307"/>
      <c r="J219" s="1307"/>
      <c r="K219" s="596">
        <f t="shared" si="1"/>
        <v>0</v>
      </c>
      <c r="L219" s="584"/>
      <c r="M219" s="581"/>
    </row>
    <row r="220" spans="1:13" s="220" customFormat="1" ht="18" hidden="1" customHeight="1">
      <c r="A220" s="586"/>
      <c r="B220" s="587">
        <f t="shared" si="9"/>
        <v>0</v>
      </c>
      <c r="C220" s="594">
        <v>206</v>
      </c>
      <c r="D220" s="1182"/>
      <c r="E220" s="1182"/>
      <c r="F220" s="1182"/>
      <c r="G220" s="182"/>
      <c r="H220" s="182"/>
      <c r="I220" s="1307"/>
      <c r="J220" s="1307"/>
      <c r="K220" s="596">
        <f t="shared" si="1"/>
        <v>0</v>
      </c>
      <c r="L220" s="584"/>
      <c r="M220" s="581"/>
    </row>
    <row r="221" spans="1:13" s="220" customFormat="1" ht="18" hidden="1" customHeight="1">
      <c r="A221" s="586"/>
      <c r="B221" s="587">
        <f t="shared" si="9"/>
        <v>0</v>
      </c>
      <c r="C221" s="594">
        <v>207</v>
      </c>
      <c r="D221" s="1182"/>
      <c r="E221" s="1182"/>
      <c r="F221" s="1182"/>
      <c r="G221" s="182"/>
      <c r="H221" s="182"/>
      <c r="I221" s="1307"/>
      <c r="J221" s="1307"/>
      <c r="K221" s="596">
        <f t="shared" si="1"/>
        <v>0</v>
      </c>
      <c r="L221" s="584"/>
      <c r="M221" s="581"/>
    </row>
    <row r="222" spans="1:13" s="220" customFormat="1" ht="18" hidden="1" customHeight="1">
      <c r="A222" s="586"/>
      <c r="B222" s="587">
        <f t="shared" si="9"/>
        <v>0</v>
      </c>
      <c r="C222" s="594">
        <v>208</v>
      </c>
      <c r="D222" s="1182"/>
      <c r="E222" s="1182"/>
      <c r="F222" s="1182"/>
      <c r="G222" s="182"/>
      <c r="H222" s="182"/>
      <c r="I222" s="1307"/>
      <c r="J222" s="1307"/>
      <c r="K222" s="596">
        <f t="shared" si="1"/>
        <v>0</v>
      </c>
      <c r="L222" s="584"/>
      <c r="M222" s="581"/>
    </row>
    <row r="223" spans="1:13" s="220" customFormat="1" ht="18" hidden="1" customHeight="1">
      <c r="A223" s="586"/>
      <c r="B223" s="587">
        <f t="shared" si="9"/>
        <v>0</v>
      </c>
      <c r="C223" s="594">
        <v>209</v>
      </c>
      <c r="D223" s="1182"/>
      <c r="E223" s="1182"/>
      <c r="F223" s="1182"/>
      <c r="G223" s="182"/>
      <c r="H223" s="182"/>
      <c r="I223" s="1307"/>
      <c r="J223" s="1307"/>
      <c r="K223" s="596">
        <f t="shared" si="1"/>
        <v>0</v>
      </c>
      <c r="L223" s="584"/>
      <c r="M223" s="581"/>
    </row>
    <row r="224" spans="1:13" s="220" customFormat="1" ht="18" hidden="1" customHeight="1">
      <c r="A224" s="586"/>
      <c r="B224" s="587">
        <f t="shared" si="9"/>
        <v>0</v>
      </c>
      <c r="C224" s="594">
        <v>210</v>
      </c>
      <c r="D224" s="1182"/>
      <c r="E224" s="1182"/>
      <c r="F224" s="1182"/>
      <c r="G224" s="182"/>
      <c r="H224" s="182"/>
      <c r="I224" s="1307"/>
      <c r="J224" s="1307"/>
      <c r="K224" s="596">
        <f t="shared" si="1"/>
        <v>0</v>
      </c>
      <c r="L224" s="584"/>
      <c r="M224" s="581"/>
    </row>
    <row r="225" spans="1:13" s="220" customFormat="1" ht="18" hidden="1" customHeight="1">
      <c r="A225" s="586"/>
      <c r="B225" s="587">
        <f t="shared" si="9"/>
        <v>0</v>
      </c>
      <c r="C225" s="594">
        <v>211</v>
      </c>
      <c r="D225" s="1182"/>
      <c r="E225" s="1182"/>
      <c r="F225" s="1182"/>
      <c r="G225" s="182"/>
      <c r="H225" s="182"/>
      <c r="I225" s="1307"/>
      <c r="J225" s="1307"/>
      <c r="K225" s="596">
        <f t="shared" si="1"/>
        <v>0</v>
      </c>
      <c r="L225" s="584"/>
      <c r="M225" s="581"/>
    </row>
    <row r="226" spans="1:13" s="220" customFormat="1" ht="18" hidden="1" customHeight="1">
      <c r="A226" s="586"/>
      <c r="B226" s="587">
        <f t="shared" si="9"/>
        <v>0</v>
      </c>
      <c r="C226" s="594">
        <v>212</v>
      </c>
      <c r="D226" s="1182"/>
      <c r="E226" s="1182"/>
      <c r="F226" s="1182"/>
      <c r="G226" s="182"/>
      <c r="H226" s="182"/>
      <c r="I226" s="1307"/>
      <c r="J226" s="1307"/>
      <c r="K226" s="596">
        <f t="shared" si="1"/>
        <v>0</v>
      </c>
      <c r="L226" s="584"/>
      <c r="M226" s="581"/>
    </row>
    <row r="227" spans="1:13" s="220" customFormat="1" ht="18" hidden="1" customHeight="1">
      <c r="A227" s="586"/>
      <c r="B227" s="587">
        <f t="shared" si="9"/>
        <v>0</v>
      </c>
      <c r="C227" s="594">
        <v>213</v>
      </c>
      <c r="D227" s="1182"/>
      <c r="E227" s="1182"/>
      <c r="F227" s="1182"/>
      <c r="G227" s="182"/>
      <c r="H227" s="182"/>
      <c r="I227" s="1307"/>
      <c r="J227" s="1307"/>
      <c r="K227" s="596">
        <f t="shared" si="1"/>
        <v>0</v>
      </c>
      <c r="L227" s="584"/>
      <c r="M227" s="581"/>
    </row>
    <row r="228" spans="1:13" s="220" customFormat="1" ht="18" hidden="1" customHeight="1">
      <c r="A228" s="586"/>
      <c r="B228" s="587">
        <f t="shared" si="9"/>
        <v>0</v>
      </c>
      <c r="C228" s="594">
        <v>214</v>
      </c>
      <c r="D228" s="1182"/>
      <c r="E228" s="1182"/>
      <c r="F228" s="1182"/>
      <c r="G228" s="182"/>
      <c r="H228" s="182"/>
      <c r="I228" s="1307"/>
      <c r="J228" s="1307"/>
      <c r="K228" s="596">
        <f t="shared" si="1"/>
        <v>0</v>
      </c>
      <c r="L228" s="584"/>
      <c r="M228" s="581"/>
    </row>
    <row r="229" spans="1:13" s="220" customFormat="1" ht="18" hidden="1" customHeight="1">
      <c r="A229" s="586"/>
      <c r="B229" s="587">
        <f t="shared" si="9"/>
        <v>0</v>
      </c>
      <c r="C229" s="594">
        <v>215</v>
      </c>
      <c r="D229" s="1182"/>
      <c r="E229" s="1182"/>
      <c r="F229" s="1182"/>
      <c r="G229" s="182"/>
      <c r="H229" s="182"/>
      <c r="I229" s="1307"/>
      <c r="J229" s="1307"/>
      <c r="K229" s="596">
        <f t="shared" si="1"/>
        <v>0</v>
      </c>
      <c r="L229" s="584"/>
      <c r="M229" s="581"/>
    </row>
    <row r="230" spans="1:13" s="220" customFormat="1" ht="18" hidden="1" customHeight="1">
      <c r="A230" s="586"/>
      <c r="B230" s="587">
        <f t="shared" si="9"/>
        <v>0</v>
      </c>
      <c r="C230" s="594">
        <v>216</v>
      </c>
      <c r="D230" s="1182"/>
      <c r="E230" s="1182"/>
      <c r="F230" s="1182"/>
      <c r="G230" s="182"/>
      <c r="H230" s="182"/>
      <c r="I230" s="1307"/>
      <c r="J230" s="1307"/>
      <c r="K230" s="596">
        <f t="shared" si="1"/>
        <v>0</v>
      </c>
      <c r="L230" s="584"/>
      <c r="M230" s="581"/>
    </row>
    <row r="231" spans="1:13" s="220" customFormat="1" ht="18" hidden="1" customHeight="1">
      <c r="A231" s="586"/>
      <c r="B231" s="587">
        <f t="shared" si="9"/>
        <v>0</v>
      </c>
      <c r="C231" s="594">
        <v>217</v>
      </c>
      <c r="D231" s="1182"/>
      <c r="E231" s="1182"/>
      <c r="F231" s="1182"/>
      <c r="G231" s="182"/>
      <c r="H231" s="182"/>
      <c r="I231" s="1307"/>
      <c r="J231" s="1307"/>
      <c r="K231" s="596">
        <f t="shared" si="1"/>
        <v>0</v>
      </c>
      <c r="L231" s="584"/>
      <c r="M231" s="581"/>
    </row>
    <row r="232" spans="1:13" s="220" customFormat="1" ht="18" hidden="1" customHeight="1">
      <c r="A232" s="586"/>
      <c r="B232" s="587">
        <f t="shared" si="9"/>
        <v>0</v>
      </c>
      <c r="C232" s="594">
        <v>218</v>
      </c>
      <c r="D232" s="1182"/>
      <c r="E232" s="1182"/>
      <c r="F232" s="1182"/>
      <c r="G232" s="182"/>
      <c r="H232" s="182"/>
      <c r="I232" s="1307"/>
      <c r="J232" s="1307"/>
      <c r="K232" s="596">
        <f t="shared" si="1"/>
        <v>0</v>
      </c>
      <c r="L232" s="584"/>
      <c r="M232" s="581"/>
    </row>
    <row r="233" spans="1:13" s="220" customFormat="1" ht="18" hidden="1" customHeight="1">
      <c r="A233" s="586"/>
      <c r="B233" s="587">
        <f t="shared" si="9"/>
        <v>0</v>
      </c>
      <c r="C233" s="594">
        <v>219</v>
      </c>
      <c r="D233" s="1182"/>
      <c r="E233" s="1182"/>
      <c r="F233" s="1182"/>
      <c r="G233" s="182"/>
      <c r="H233" s="182"/>
      <c r="I233" s="1307"/>
      <c r="J233" s="1307"/>
      <c r="K233" s="596">
        <f t="shared" si="1"/>
        <v>0</v>
      </c>
      <c r="L233" s="584"/>
      <c r="M233" s="581"/>
    </row>
    <row r="234" spans="1:13" s="220" customFormat="1" ht="18" hidden="1" customHeight="1">
      <c r="A234" s="586"/>
      <c r="B234" s="587">
        <f t="shared" si="9"/>
        <v>0</v>
      </c>
      <c r="C234" s="594">
        <v>220</v>
      </c>
      <c r="D234" s="1182"/>
      <c r="E234" s="1182"/>
      <c r="F234" s="1182"/>
      <c r="G234" s="182"/>
      <c r="H234" s="182"/>
      <c r="I234" s="1307"/>
      <c r="J234" s="1307"/>
      <c r="K234" s="596">
        <f t="shared" si="1"/>
        <v>0</v>
      </c>
      <c r="L234" s="584"/>
      <c r="M234" s="581"/>
    </row>
    <row r="235" spans="1:13" s="220" customFormat="1" ht="18" hidden="1" customHeight="1">
      <c r="A235" s="586"/>
      <c r="B235" s="587">
        <f t="shared" si="9"/>
        <v>0</v>
      </c>
      <c r="C235" s="594">
        <v>221</v>
      </c>
      <c r="D235" s="1182"/>
      <c r="E235" s="1182"/>
      <c r="F235" s="1182"/>
      <c r="G235" s="182"/>
      <c r="H235" s="182"/>
      <c r="I235" s="1307"/>
      <c r="J235" s="1307"/>
      <c r="K235" s="596">
        <f t="shared" si="1"/>
        <v>0</v>
      </c>
      <c r="L235" s="584"/>
      <c r="M235" s="581"/>
    </row>
    <row r="236" spans="1:13" s="220" customFormat="1" ht="18" hidden="1" customHeight="1">
      <c r="A236" s="586"/>
      <c r="B236" s="587">
        <f t="shared" si="9"/>
        <v>0</v>
      </c>
      <c r="C236" s="594">
        <v>222</v>
      </c>
      <c r="D236" s="1182"/>
      <c r="E236" s="1182"/>
      <c r="F236" s="1182"/>
      <c r="G236" s="182"/>
      <c r="H236" s="182"/>
      <c r="I236" s="1307"/>
      <c r="J236" s="1307"/>
      <c r="K236" s="596">
        <f t="shared" si="1"/>
        <v>0</v>
      </c>
      <c r="L236" s="584"/>
      <c r="M236" s="581"/>
    </row>
    <row r="237" spans="1:13" s="220" customFormat="1" ht="18" hidden="1" customHeight="1">
      <c r="A237" s="586"/>
      <c r="B237" s="587">
        <f t="shared" si="9"/>
        <v>0</v>
      </c>
      <c r="C237" s="594">
        <v>223</v>
      </c>
      <c r="D237" s="1182"/>
      <c r="E237" s="1182"/>
      <c r="F237" s="1182"/>
      <c r="G237" s="182"/>
      <c r="H237" s="182"/>
      <c r="I237" s="1307"/>
      <c r="J237" s="1307"/>
      <c r="K237" s="596">
        <f t="shared" si="1"/>
        <v>0</v>
      </c>
      <c r="L237" s="584"/>
      <c r="M237" s="581"/>
    </row>
    <row r="238" spans="1:13" s="220" customFormat="1" ht="18" hidden="1" customHeight="1">
      <c r="A238" s="586"/>
      <c r="B238" s="587">
        <f t="shared" si="9"/>
        <v>0</v>
      </c>
      <c r="C238" s="594">
        <v>224</v>
      </c>
      <c r="D238" s="1182"/>
      <c r="E238" s="1182"/>
      <c r="F238" s="1182"/>
      <c r="G238" s="182"/>
      <c r="H238" s="182"/>
      <c r="I238" s="1307"/>
      <c r="J238" s="1307"/>
      <c r="K238" s="596">
        <f t="shared" si="1"/>
        <v>0</v>
      </c>
      <c r="L238" s="584"/>
      <c r="M238" s="581"/>
    </row>
    <row r="239" spans="1:13" s="220" customFormat="1" ht="18" hidden="1" customHeight="1">
      <c r="A239" s="586"/>
      <c r="B239" s="587">
        <f t="shared" si="9"/>
        <v>0</v>
      </c>
      <c r="C239" s="594">
        <v>225</v>
      </c>
      <c r="D239" s="1182"/>
      <c r="E239" s="1182"/>
      <c r="F239" s="1182"/>
      <c r="G239" s="182"/>
      <c r="H239" s="182"/>
      <c r="I239" s="1307"/>
      <c r="J239" s="1307"/>
      <c r="K239" s="596">
        <f t="shared" ref="K239:K264" si="10">H239*I239</f>
        <v>0</v>
      </c>
      <c r="L239" s="584"/>
      <c r="M239" s="581"/>
    </row>
    <row r="240" spans="1:13" s="220" customFormat="1" ht="18" hidden="1" customHeight="1">
      <c r="A240" s="586"/>
      <c r="B240" s="587">
        <f t="shared" si="9"/>
        <v>0</v>
      </c>
      <c r="C240" s="594">
        <v>226</v>
      </c>
      <c r="D240" s="1182"/>
      <c r="E240" s="1182"/>
      <c r="F240" s="1182"/>
      <c r="G240" s="182"/>
      <c r="H240" s="182"/>
      <c r="I240" s="1307"/>
      <c r="J240" s="1307"/>
      <c r="K240" s="596">
        <f t="shared" si="10"/>
        <v>0</v>
      </c>
      <c r="L240" s="584"/>
      <c r="M240" s="581"/>
    </row>
    <row r="241" spans="1:13" s="220" customFormat="1" ht="18" hidden="1" customHeight="1">
      <c r="A241" s="586"/>
      <c r="B241" s="587">
        <f t="shared" si="9"/>
        <v>0</v>
      </c>
      <c r="C241" s="594">
        <v>227</v>
      </c>
      <c r="D241" s="1182"/>
      <c r="E241" s="1182"/>
      <c r="F241" s="1182"/>
      <c r="G241" s="182"/>
      <c r="H241" s="182"/>
      <c r="I241" s="1307"/>
      <c r="J241" s="1307"/>
      <c r="K241" s="596">
        <f t="shared" si="10"/>
        <v>0</v>
      </c>
      <c r="L241" s="584"/>
      <c r="M241" s="581"/>
    </row>
    <row r="242" spans="1:13" s="220" customFormat="1" ht="18" hidden="1" customHeight="1">
      <c r="A242" s="586"/>
      <c r="B242" s="587">
        <f t="shared" si="9"/>
        <v>0</v>
      </c>
      <c r="C242" s="594">
        <v>228</v>
      </c>
      <c r="D242" s="1182"/>
      <c r="E242" s="1182"/>
      <c r="F242" s="1182"/>
      <c r="G242" s="182"/>
      <c r="H242" s="182"/>
      <c r="I242" s="1307"/>
      <c r="J242" s="1307"/>
      <c r="K242" s="596">
        <f t="shared" si="10"/>
        <v>0</v>
      </c>
      <c r="L242" s="584"/>
      <c r="M242" s="581"/>
    </row>
    <row r="243" spans="1:13" s="220" customFormat="1" ht="18" hidden="1" customHeight="1">
      <c r="A243" s="586"/>
      <c r="B243" s="587">
        <f t="shared" si="9"/>
        <v>0</v>
      </c>
      <c r="C243" s="594">
        <v>229</v>
      </c>
      <c r="D243" s="1182"/>
      <c r="E243" s="1182"/>
      <c r="F243" s="1182"/>
      <c r="G243" s="182"/>
      <c r="H243" s="182"/>
      <c r="I243" s="1307"/>
      <c r="J243" s="1307"/>
      <c r="K243" s="596">
        <f t="shared" si="10"/>
        <v>0</v>
      </c>
      <c r="L243" s="584"/>
      <c r="M243" s="581"/>
    </row>
    <row r="244" spans="1:13" s="220" customFormat="1" ht="18" hidden="1" customHeight="1">
      <c r="A244" s="586"/>
      <c r="B244" s="587">
        <f t="shared" si="9"/>
        <v>0</v>
      </c>
      <c r="C244" s="594">
        <v>230</v>
      </c>
      <c r="D244" s="1182"/>
      <c r="E244" s="1182"/>
      <c r="F244" s="1182"/>
      <c r="G244" s="182"/>
      <c r="H244" s="182"/>
      <c r="I244" s="1307"/>
      <c r="J244" s="1307"/>
      <c r="K244" s="596">
        <f t="shared" si="10"/>
        <v>0</v>
      </c>
      <c r="L244" s="584"/>
      <c r="M244" s="581"/>
    </row>
    <row r="245" spans="1:13" s="220" customFormat="1" ht="18" hidden="1" customHeight="1">
      <c r="A245" s="586"/>
      <c r="B245" s="587">
        <f t="shared" si="9"/>
        <v>0</v>
      </c>
      <c r="C245" s="594">
        <v>231</v>
      </c>
      <c r="D245" s="1182"/>
      <c r="E245" s="1182"/>
      <c r="F245" s="1182"/>
      <c r="G245" s="182"/>
      <c r="H245" s="182"/>
      <c r="I245" s="1307"/>
      <c r="J245" s="1307"/>
      <c r="K245" s="596">
        <f t="shared" si="10"/>
        <v>0</v>
      </c>
      <c r="L245" s="584"/>
      <c r="M245" s="581"/>
    </row>
    <row r="246" spans="1:13" s="220" customFormat="1" ht="18" hidden="1" customHeight="1">
      <c r="A246" s="586"/>
      <c r="B246" s="587">
        <f t="shared" ref="B246:B253" si="11">IFERROR(K246/$K$265,0)</f>
        <v>0</v>
      </c>
      <c r="C246" s="594">
        <v>232</v>
      </c>
      <c r="D246" s="1182"/>
      <c r="E246" s="1182"/>
      <c r="F246" s="1182"/>
      <c r="G246" s="182"/>
      <c r="H246" s="182"/>
      <c r="I246" s="1307"/>
      <c r="J246" s="1307"/>
      <c r="K246" s="596">
        <f t="shared" ref="K246:K253" si="12">H246*I246</f>
        <v>0</v>
      </c>
      <c r="L246" s="584"/>
      <c r="M246" s="581"/>
    </row>
    <row r="247" spans="1:13" s="220" customFormat="1" ht="18" hidden="1" customHeight="1">
      <c r="A247" s="586"/>
      <c r="B247" s="587">
        <f t="shared" si="11"/>
        <v>0</v>
      </c>
      <c r="C247" s="594">
        <v>233</v>
      </c>
      <c r="D247" s="1182"/>
      <c r="E247" s="1182"/>
      <c r="F247" s="1182"/>
      <c r="G247" s="182"/>
      <c r="H247" s="182"/>
      <c r="I247" s="1307"/>
      <c r="J247" s="1307"/>
      <c r="K247" s="596">
        <f t="shared" si="12"/>
        <v>0</v>
      </c>
      <c r="L247" s="584"/>
      <c r="M247" s="581"/>
    </row>
    <row r="248" spans="1:13" s="220" customFormat="1" ht="18" hidden="1" customHeight="1">
      <c r="A248" s="586"/>
      <c r="B248" s="587">
        <f t="shared" si="11"/>
        <v>0</v>
      </c>
      <c r="C248" s="594">
        <v>234</v>
      </c>
      <c r="D248" s="1182"/>
      <c r="E248" s="1182"/>
      <c r="F248" s="1182"/>
      <c r="G248" s="182"/>
      <c r="H248" s="182"/>
      <c r="I248" s="1307"/>
      <c r="J248" s="1307"/>
      <c r="K248" s="596">
        <f t="shared" si="12"/>
        <v>0</v>
      </c>
      <c r="L248" s="584"/>
      <c r="M248" s="581"/>
    </row>
    <row r="249" spans="1:13" s="220" customFormat="1" ht="18" hidden="1" customHeight="1">
      <c r="A249" s="586"/>
      <c r="B249" s="587">
        <f t="shared" si="11"/>
        <v>0</v>
      </c>
      <c r="C249" s="594">
        <v>235</v>
      </c>
      <c r="D249" s="1182"/>
      <c r="E249" s="1182"/>
      <c r="F249" s="1182"/>
      <c r="G249" s="182"/>
      <c r="H249" s="182"/>
      <c r="I249" s="1307"/>
      <c r="J249" s="1307"/>
      <c r="K249" s="596">
        <f t="shared" si="12"/>
        <v>0</v>
      </c>
      <c r="L249" s="584"/>
      <c r="M249" s="581"/>
    </row>
    <row r="250" spans="1:13" s="220" customFormat="1" ht="18" hidden="1" customHeight="1">
      <c r="A250" s="586"/>
      <c r="B250" s="587">
        <f t="shared" si="11"/>
        <v>0</v>
      </c>
      <c r="C250" s="594">
        <v>236</v>
      </c>
      <c r="D250" s="1182"/>
      <c r="E250" s="1182"/>
      <c r="F250" s="1182"/>
      <c r="G250" s="182"/>
      <c r="H250" s="182"/>
      <c r="I250" s="1307"/>
      <c r="J250" s="1307"/>
      <c r="K250" s="596">
        <f t="shared" si="12"/>
        <v>0</v>
      </c>
      <c r="L250" s="584"/>
      <c r="M250" s="581"/>
    </row>
    <row r="251" spans="1:13" s="220" customFormat="1" ht="18" hidden="1" customHeight="1">
      <c r="A251" s="586"/>
      <c r="B251" s="587">
        <f t="shared" si="11"/>
        <v>0</v>
      </c>
      <c r="C251" s="594">
        <v>237</v>
      </c>
      <c r="D251" s="1182"/>
      <c r="E251" s="1182"/>
      <c r="F251" s="1182"/>
      <c r="G251" s="182"/>
      <c r="H251" s="182"/>
      <c r="I251" s="1307"/>
      <c r="J251" s="1307"/>
      <c r="K251" s="596">
        <f t="shared" si="12"/>
        <v>0</v>
      </c>
      <c r="L251" s="584"/>
      <c r="M251" s="581"/>
    </row>
    <row r="252" spans="1:13" s="220" customFormat="1" ht="18" hidden="1" customHeight="1">
      <c r="A252" s="586"/>
      <c r="B252" s="587">
        <f t="shared" si="11"/>
        <v>0</v>
      </c>
      <c r="C252" s="594">
        <v>238</v>
      </c>
      <c r="D252" s="1182"/>
      <c r="E252" s="1182"/>
      <c r="F252" s="1182"/>
      <c r="G252" s="182"/>
      <c r="H252" s="182"/>
      <c r="I252" s="1307"/>
      <c r="J252" s="1307"/>
      <c r="K252" s="596">
        <f t="shared" si="12"/>
        <v>0</v>
      </c>
      <c r="L252" s="584"/>
      <c r="M252" s="581"/>
    </row>
    <row r="253" spans="1:13" s="220" customFormat="1" ht="18" hidden="1" customHeight="1">
      <c r="A253" s="586"/>
      <c r="B253" s="587">
        <f t="shared" si="11"/>
        <v>0</v>
      </c>
      <c r="C253" s="594">
        <v>239</v>
      </c>
      <c r="D253" s="1182"/>
      <c r="E253" s="1182"/>
      <c r="F253" s="1182"/>
      <c r="G253" s="182"/>
      <c r="H253" s="182"/>
      <c r="I253" s="1307"/>
      <c r="J253" s="1307"/>
      <c r="K253" s="596">
        <f t="shared" si="12"/>
        <v>0</v>
      </c>
      <c r="L253" s="584"/>
      <c r="M253" s="581"/>
    </row>
    <row r="254" spans="1:13" s="220" customFormat="1" ht="18" hidden="1" customHeight="1">
      <c r="A254" s="586"/>
      <c r="B254" s="587">
        <f t="shared" ref="B254:B264" si="13">IFERROR(K254/$K$265,0)</f>
        <v>0</v>
      </c>
      <c r="C254" s="594">
        <v>240</v>
      </c>
      <c r="D254" s="1182"/>
      <c r="E254" s="1182"/>
      <c r="F254" s="1182"/>
      <c r="G254" s="182"/>
      <c r="H254" s="182"/>
      <c r="I254" s="1307"/>
      <c r="J254" s="1307"/>
      <c r="K254" s="596">
        <f t="shared" si="10"/>
        <v>0</v>
      </c>
      <c r="L254" s="584"/>
      <c r="M254" s="581"/>
    </row>
    <row r="255" spans="1:13" s="220" customFormat="1" ht="18" hidden="1" customHeight="1">
      <c r="A255" s="586"/>
      <c r="B255" s="587">
        <f t="shared" si="13"/>
        <v>0</v>
      </c>
      <c r="C255" s="594">
        <v>241</v>
      </c>
      <c r="D255" s="1182"/>
      <c r="E255" s="1182"/>
      <c r="F255" s="1182"/>
      <c r="G255" s="182"/>
      <c r="H255" s="182"/>
      <c r="I255" s="1307"/>
      <c r="J255" s="1307"/>
      <c r="K255" s="596">
        <f t="shared" si="10"/>
        <v>0</v>
      </c>
      <c r="L255" s="584"/>
      <c r="M255" s="581"/>
    </row>
    <row r="256" spans="1:13" s="220" customFormat="1" ht="18" hidden="1" customHeight="1">
      <c r="A256" s="586"/>
      <c r="B256" s="587">
        <f t="shared" si="13"/>
        <v>0</v>
      </c>
      <c r="C256" s="594">
        <v>242</v>
      </c>
      <c r="D256" s="1182"/>
      <c r="E256" s="1182"/>
      <c r="F256" s="1182"/>
      <c r="G256" s="182"/>
      <c r="H256" s="182"/>
      <c r="I256" s="1307"/>
      <c r="J256" s="1307"/>
      <c r="K256" s="596">
        <f>H256*I256</f>
        <v>0</v>
      </c>
      <c r="L256" s="584"/>
      <c r="M256" s="581"/>
    </row>
    <row r="257" spans="1:16" s="220" customFormat="1" ht="18" hidden="1" customHeight="1">
      <c r="A257" s="586"/>
      <c r="B257" s="587">
        <f t="shared" si="13"/>
        <v>0</v>
      </c>
      <c r="C257" s="594">
        <v>243</v>
      </c>
      <c r="D257" s="1182"/>
      <c r="E257" s="1182"/>
      <c r="F257" s="1182"/>
      <c r="G257" s="182"/>
      <c r="H257" s="182"/>
      <c r="I257" s="1307"/>
      <c r="J257" s="1307"/>
      <c r="K257" s="596">
        <f t="shared" si="10"/>
        <v>0</v>
      </c>
      <c r="L257" s="584"/>
      <c r="M257" s="581"/>
    </row>
    <row r="258" spans="1:16" s="220" customFormat="1" ht="18" hidden="1" customHeight="1">
      <c r="A258" s="586"/>
      <c r="B258" s="587">
        <f t="shared" si="13"/>
        <v>0</v>
      </c>
      <c r="C258" s="594">
        <v>244</v>
      </c>
      <c r="D258" s="1182"/>
      <c r="E258" s="1182"/>
      <c r="F258" s="1182"/>
      <c r="G258" s="182"/>
      <c r="H258" s="182"/>
      <c r="I258" s="1307"/>
      <c r="J258" s="1307"/>
      <c r="K258" s="596">
        <f t="shared" si="10"/>
        <v>0</v>
      </c>
      <c r="L258" s="584"/>
      <c r="M258" s="581"/>
    </row>
    <row r="259" spans="1:16" s="220" customFormat="1" ht="18" hidden="1" customHeight="1">
      <c r="A259" s="586"/>
      <c r="B259" s="587">
        <f t="shared" si="13"/>
        <v>0</v>
      </c>
      <c r="C259" s="594">
        <v>245</v>
      </c>
      <c r="D259" s="1182"/>
      <c r="E259" s="1182"/>
      <c r="F259" s="1182"/>
      <c r="G259" s="182"/>
      <c r="H259" s="182"/>
      <c r="I259" s="1307"/>
      <c r="J259" s="1307"/>
      <c r="K259" s="596">
        <f t="shared" si="10"/>
        <v>0</v>
      </c>
      <c r="L259" s="584"/>
      <c r="M259" s="581"/>
    </row>
    <row r="260" spans="1:16" s="220" customFormat="1" ht="18" hidden="1" customHeight="1">
      <c r="A260" s="586"/>
      <c r="B260" s="587">
        <f t="shared" si="13"/>
        <v>0</v>
      </c>
      <c r="C260" s="594">
        <v>246</v>
      </c>
      <c r="D260" s="1182"/>
      <c r="E260" s="1182"/>
      <c r="F260" s="1182"/>
      <c r="G260" s="182"/>
      <c r="H260" s="182"/>
      <c r="I260" s="1307"/>
      <c r="J260" s="1307"/>
      <c r="K260" s="596">
        <f t="shared" si="10"/>
        <v>0</v>
      </c>
      <c r="L260" s="584"/>
      <c r="M260" s="581"/>
    </row>
    <row r="261" spans="1:16" s="220" customFormat="1" ht="18" hidden="1" customHeight="1">
      <c r="A261" s="586"/>
      <c r="B261" s="587">
        <f t="shared" si="13"/>
        <v>0</v>
      </c>
      <c r="C261" s="594">
        <v>247</v>
      </c>
      <c r="D261" s="1182"/>
      <c r="E261" s="1182"/>
      <c r="F261" s="1182"/>
      <c r="G261" s="182"/>
      <c r="H261" s="182"/>
      <c r="I261" s="1307"/>
      <c r="J261" s="1307"/>
      <c r="K261" s="596">
        <f t="shared" si="10"/>
        <v>0</v>
      </c>
      <c r="L261" s="584"/>
      <c r="M261" s="581"/>
    </row>
    <row r="262" spans="1:16" s="220" customFormat="1" ht="18" hidden="1" customHeight="1">
      <c r="A262" s="586"/>
      <c r="B262" s="587">
        <f t="shared" si="13"/>
        <v>0</v>
      </c>
      <c r="C262" s="594">
        <v>248</v>
      </c>
      <c r="D262" s="1182"/>
      <c r="E262" s="1182"/>
      <c r="F262" s="1182"/>
      <c r="G262" s="182"/>
      <c r="H262" s="182"/>
      <c r="I262" s="1307"/>
      <c r="J262" s="1307"/>
      <c r="K262" s="596">
        <f t="shared" si="10"/>
        <v>0</v>
      </c>
      <c r="L262" s="584"/>
      <c r="M262" s="581"/>
    </row>
    <row r="263" spans="1:16" s="220" customFormat="1" ht="18" hidden="1" customHeight="1">
      <c r="A263" s="586"/>
      <c r="B263" s="587">
        <f t="shared" si="13"/>
        <v>0</v>
      </c>
      <c r="C263" s="594">
        <v>249</v>
      </c>
      <c r="D263" s="1182"/>
      <c r="E263" s="1182"/>
      <c r="F263" s="1182"/>
      <c r="G263" s="182"/>
      <c r="H263" s="182"/>
      <c r="I263" s="1307"/>
      <c r="J263" s="1307"/>
      <c r="K263" s="596">
        <f>H263*I263</f>
        <v>0</v>
      </c>
      <c r="L263" s="584"/>
      <c r="M263" s="581"/>
    </row>
    <row r="264" spans="1:16" s="220" customFormat="1" ht="18" hidden="1" customHeight="1">
      <c r="A264" s="586"/>
      <c r="B264" s="587">
        <f t="shared" si="13"/>
        <v>0</v>
      </c>
      <c r="C264" s="594">
        <v>250</v>
      </c>
      <c r="D264" s="1182"/>
      <c r="E264" s="1182"/>
      <c r="F264" s="1182"/>
      <c r="G264" s="182"/>
      <c r="H264" s="182"/>
      <c r="I264" s="1307"/>
      <c r="J264" s="1307"/>
      <c r="K264" s="596">
        <f t="shared" si="10"/>
        <v>0</v>
      </c>
      <c r="L264" s="584"/>
      <c r="M264" s="581"/>
    </row>
    <row r="265" spans="1:16" s="220" customFormat="1" ht="18" customHeight="1" thickBot="1">
      <c r="A265" s="586"/>
      <c r="B265" s="587"/>
      <c r="C265" s="1305" t="s">
        <v>517</v>
      </c>
      <c r="D265" s="1306"/>
      <c r="E265" s="1306"/>
      <c r="F265" s="1306"/>
      <c r="G265" s="1306"/>
      <c r="H265" s="1306"/>
      <c r="I265" s="1306"/>
      <c r="J265" s="1306"/>
      <c r="K265" s="597">
        <f>SUM(K15:K264)</f>
        <v>0</v>
      </c>
      <c r="L265" s="585"/>
      <c r="M265" s="583"/>
    </row>
    <row r="266" spans="1:16" s="220" customFormat="1" ht="18" customHeight="1" thickBot="1">
      <c r="A266" s="586"/>
      <c r="B266" s="587"/>
      <c r="G266" s="222"/>
      <c r="H266" s="222"/>
      <c r="L266" s="579"/>
    </row>
    <row r="267" spans="1:16" s="220" customFormat="1" ht="53.25" customHeight="1" thickBot="1">
      <c r="A267" s="586"/>
      <c r="B267" s="587"/>
      <c r="C267" s="1302" t="s">
        <v>518</v>
      </c>
      <c r="D267" s="1303"/>
      <c r="E267" s="1303"/>
      <c r="F267" s="1303"/>
      <c r="G267" s="1303"/>
      <c r="H267" s="1303"/>
      <c r="I267" s="1303"/>
      <c r="J267" s="1303"/>
      <c r="K267" s="1303"/>
      <c r="L267" s="1303"/>
      <c r="M267" s="1303"/>
      <c r="N267" s="1303"/>
      <c r="O267" s="1303"/>
      <c r="P267" s="1304"/>
    </row>
    <row r="268" spans="1:16" s="220" customFormat="1" ht="18" customHeight="1">
      <c r="A268" s="586"/>
      <c r="B268" s="587"/>
      <c r="G268" s="222"/>
      <c r="H268" s="222"/>
      <c r="L268" s="579"/>
    </row>
    <row r="269" spans="1:16" s="220" customFormat="1" ht="18" customHeight="1">
      <c r="A269" s="588"/>
      <c r="B269" s="586"/>
      <c r="C269" s="1314" t="s">
        <v>519</v>
      </c>
      <c r="D269" s="1315"/>
      <c r="E269" s="1315"/>
      <c r="F269" s="1315"/>
      <c r="G269" s="1315"/>
      <c r="H269" s="1315"/>
      <c r="I269" s="1315"/>
      <c r="J269" s="1315"/>
      <c r="K269" s="1315"/>
      <c r="L269" s="1315"/>
      <c r="M269" s="1315"/>
      <c r="N269" s="1315"/>
      <c r="O269" s="1315"/>
      <c r="P269" s="1316"/>
    </row>
    <row r="270" spans="1:16" s="220" customFormat="1" ht="54.75" customHeight="1">
      <c r="A270" s="589" t="s">
        <v>520</v>
      </c>
      <c r="B270" s="830" t="s">
        <v>521</v>
      </c>
      <c r="C270" s="598" t="s">
        <v>516</v>
      </c>
      <c r="D270" s="1297" t="s">
        <v>391</v>
      </c>
      <c r="E270" s="1297"/>
      <c r="F270" s="1297"/>
      <c r="G270" s="598" t="s">
        <v>122</v>
      </c>
      <c r="H270" s="598" t="s">
        <v>394</v>
      </c>
      <c r="I270" s="1297" t="s">
        <v>405</v>
      </c>
      <c r="J270" s="1297"/>
      <c r="K270" s="598" t="s">
        <v>397</v>
      </c>
      <c r="L270" s="592"/>
      <c r="M270" s="598" t="s">
        <v>522</v>
      </c>
      <c r="N270" s="598" t="s">
        <v>523</v>
      </c>
      <c r="O270" s="598" t="s">
        <v>524</v>
      </c>
      <c r="P270" s="598" t="s">
        <v>525</v>
      </c>
    </row>
    <row r="271" spans="1:16" s="220" customFormat="1" ht="18" customHeight="1">
      <c r="A271" s="591" t="str">
        <f>P271</f>
        <v/>
      </c>
      <c r="B271" s="590">
        <f>LARGE($B$15:$B$264,1)</f>
        <v>0</v>
      </c>
      <c r="C271" s="599" t="str">
        <f>IFERROR(IF(B271=0,"",VLOOKUP(B271,$B$15:$J$264,2,FALSE)),"")</f>
        <v/>
      </c>
      <c r="D271" s="1295" t="str">
        <f>IFERROR(IF(B271=0,"",VLOOKUP(B271,$B$15:$J$264,3,FALSE)),"")</f>
        <v/>
      </c>
      <c r="E271" s="1295"/>
      <c r="F271" s="1295"/>
      <c r="G271" s="599" t="str">
        <f>IFERROR(IF(B271=0,"",VLOOKUP(B271,$B$15:$J$264,6,FALSE)),"")</f>
        <v/>
      </c>
      <c r="H271" s="599" t="str">
        <f>IFERROR(IF(B271=0,"",VLOOKUP(B271,$B$15:$J$264,7,FALSE)),"")</f>
        <v/>
      </c>
      <c r="I271" s="1296" t="str">
        <f>IF(B271=0,"",VLOOKUP(B271,$B$15:$J$264,8,FALSE))</f>
        <v/>
      </c>
      <c r="J271" s="1296"/>
      <c r="K271" s="600" t="str">
        <f>IF(B271=0,"",H271*I271)</f>
        <v/>
      </c>
      <c r="L271" s="591" t="str">
        <f>O271</f>
        <v/>
      </c>
      <c r="M271" s="601" t="str">
        <f>IF(B271=0,"",B271)</f>
        <v/>
      </c>
      <c r="N271" s="601" t="str">
        <f>IF(B271=0,"",M271)</f>
        <v/>
      </c>
      <c r="O271" s="599" t="str">
        <f>IF(B271=0,"",(IF(N271&lt;80%,"Si","No")))</f>
        <v/>
      </c>
      <c r="P271" s="601" t="str">
        <f>IF(B271=0,"",(IF(M271=$M$521,"Si",(IF(M271&gt;$M$521,"Si","No")))))</f>
        <v/>
      </c>
    </row>
    <row r="272" spans="1:16" s="220" customFormat="1" ht="18" customHeight="1">
      <c r="A272" s="591" t="str">
        <f>P272</f>
        <v/>
      </c>
      <c r="B272" s="590">
        <f>LARGE($B$15:$B$264,2)</f>
        <v>0</v>
      </c>
      <c r="C272" s="599" t="str">
        <f t="shared" ref="C272:C335" si="14">IFERROR(IF(B272=0,"",VLOOKUP(B272,$B$15:$J$264,2,FALSE)),"")</f>
        <v/>
      </c>
      <c r="D272" s="1295" t="str">
        <f t="shared" ref="D272:D335" si="15">IFERROR(IF(B272=0,"",VLOOKUP(B272,$B$15:$J$264,3,FALSE)),"")</f>
        <v/>
      </c>
      <c r="E272" s="1295"/>
      <c r="F272" s="1295"/>
      <c r="G272" s="599" t="str">
        <f t="shared" ref="G272:G335" si="16">IFERROR(IF(B272=0,"",VLOOKUP(B272,$B$15:$J$264,6,FALSE)),"")</f>
        <v/>
      </c>
      <c r="H272" s="599" t="str">
        <f t="shared" ref="H272:H335" si="17">IFERROR(IF(B272=0,"",VLOOKUP(B272,$B$15:$J$264,7,FALSE)),"")</f>
        <v/>
      </c>
      <c r="I272" s="1296" t="str">
        <f t="shared" ref="I272:I335" si="18">IF(B272=0,"",VLOOKUP(B272,$B$15:$J$264,8,FALSE))</f>
        <v/>
      </c>
      <c r="J272" s="1296"/>
      <c r="K272" s="600" t="str">
        <f t="shared" ref="K272:K335" si="19">IF(B272=0,"",H272*I272)</f>
        <v/>
      </c>
      <c r="L272" s="591" t="str">
        <f t="shared" ref="L272:L335" si="20">O272</f>
        <v/>
      </c>
      <c r="M272" s="601" t="str">
        <f>IF(B272=0,"",B272)</f>
        <v/>
      </c>
      <c r="N272" s="601" t="str">
        <f>IF(B272=0,"",M272+N271)</f>
        <v/>
      </c>
      <c r="O272" s="599" t="str">
        <f t="shared" ref="O272:O335" si="21">IF(B272=0,"",(IF(N272&lt;80%,"Si","No")))</f>
        <v/>
      </c>
      <c r="P272" s="601" t="str">
        <f t="shared" ref="P272:P335" si="22">IF(B272=0,"",(IF(M272=$M$521,"Si",(IF(M272&gt;$M$521,"Si","No")))))</f>
        <v/>
      </c>
    </row>
    <row r="273" spans="1:16" s="220" customFormat="1" ht="18" customHeight="1">
      <c r="A273" s="591" t="str">
        <f t="shared" ref="A273:A335" si="23">P273</f>
        <v/>
      </c>
      <c r="B273" s="590">
        <f>LARGE($B$15:$B$264,3)</f>
        <v>0</v>
      </c>
      <c r="C273" s="599" t="str">
        <f t="shared" si="14"/>
        <v/>
      </c>
      <c r="D273" s="1295" t="str">
        <f t="shared" si="15"/>
        <v/>
      </c>
      <c r="E273" s="1295"/>
      <c r="F273" s="1295"/>
      <c r="G273" s="599" t="str">
        <f t="shared" si="16"/>
        <v/>
      </c>
      <c r="H273" s="599" t="str">
        <f t="shared" si="17"/>
        <v/>
      </c>
      <c r="I273" s="1296" t="str">
        <f t="shared" si="18"/>
        <v/>
      </c>
      <c r="J273" s="1296"/>
      <c r="K273" s="600" t="str">
        <f t="shared" si="19"/>
        <v/>
      </c>
      <c r="L273" s="591" t="str">
        <f t="shared" si="20"/>
        <v/>
      </c>
      <c r="M273" s="601" t="str">
        <f t="shared" ref="M273:M335" si="24">IF(B273=0,"",B273)</f>
        <v/>
      </c>
      <c r="N273" s="601" t="str">
        <f t="shared" ref="N273:N336" si="25">IF(B273=0,"",M273+N272)</f>
        <v/>
      </c>
      <c r="O273" s="599" t="str">
        <f t="shared" si="21"/>
        <v/>
      </c>
      <c r="P273" s="601" t="str">
        <f t="shared" si="22"/>
        <v/>
      </c>
    </row>
    <row r="274" spans="1:16" s="220" customFormat="1" ht="18" customHeight="1">
      <c r="A274" s="591" t="str">
        <f t="shared" si="23"/>
        <v/>
      </c>
      <c r="B274" s="590">
        <f>LARGE($B$15:$B$264,4)</f>
        <v>0</v>
      </c>
      <c r="C274" s="599" t="str">
        <f t="shared" si="14"/>
        <v/>
      </c>
      <c r="D274" s="1295" t="str">
        <f t="shared" si="15"/>
        <v/>
      </c>
      <c r="E274" s="1295"/>
      <c r="F274" s="1295"/>
      <c r="G274" s="599" t="str">
        <f t="shared" si="16"/>
        <v/>
      </c>
      <c r="H274" s="599" t="str">
        <f t="shared" si="17"/>
        <v/>
      </c>
      <c r="I274" s="1296" t="str">
        <f t="shared" si="18"/>
        <v/>
      </c>
      <c r="J274" s="1296"/>
      <c r="K274" s="600" t="str">
        <f t="shared" si="19"/>
        <v/>
      </c>
      <c r="L274" s="591" t="str">
        <f t="shared" si="20"/>
        <v/>
      </c>
      <c r="M274" s="601" t="str">
        <f t="shared" si="24"/>
        <v/>
      </c>
      <c r="N274" s="601" t="str">
        <f t="shared" si="25"/>
        <v/>
      </c>
      <c r="O274" s="599" t="str">
        <f t="shared" si="21"/>
        <v/>
      </c>
      <c r="P274" s="601" t="str">
        <f t="shared" si="22"/>
        <v/>
      </c>
    </row>
    <row r="275" spans="1:16" s="220" customFormat="1" ht="18" customHeight="1">
      <c r="A275" s="591" t="str">
        <f t="shared" si="23"/>
        <v/>
      </c>
      <c r="B275" s="590">
        <f>LARGE($B$15:$B$264,5)</f>
        <v>0</v>
      </c>
      <c r="C275" s="599" t="str">
        <f t="shared" si="14"/>
        <v/>
      </c>
      <c r="D275" s="1295" t="str">
        <f t="shared" si="15"/>
        <v/>
      </c>
      <c r="E275" s="1295"/>
      <c r="F275" s="1295"/>
      <c r="G275" s="599" t="str">
        <f t="shared" si="16"/>
        <v/>
      </c>
      <c r="H275" s="599" t="str">
        <f t="shared" si="17"/>
        <v/>
      </c>
      <c r="I275" s="1296" t="str">
        <f t="shared" si="18"/>
        <v/>
      </c>
      <c r="J275" s="1296"/>
      <c r="K275" s="600" t="str">
        <f t="shared" si="19"/>
        <v/>
      </c>
      <c r="L275" s="591" t="str">
        <f t="shared" si="20"/>
        <v/>
      </c>
      <c r="M275" s="601" t="str">
        <f t="shared" si="24"/>
        <v/>
      </c>
      <c r="N275" s="601" t="str">
        <f t="shared" si="25"/>
        <v/>
      </c>
      <c r="O275" s="599" t="str">
        <f t="shared" si="21"/>
        <v/>
      </c>
      <c r="P275" s="601" t="str">
        <f t="shared" si="22"/>
        <v/>
      </c>
    </row>
    <row r="276" spans="1:16" s="220" customFormat="1" ht="18" hidden="1" customHeight="1">
      <c r="A276" s="591" t="str">
        <f t="shared" si="23"/>
        <v/>
      </c>
      <c r="B276" s="590">
        <f>LARGE($B$15:$B$264,6)</f>
        <v>0</v>
      </c>
      <c r="C276" s="599" t="str">
        <f t="shared" si="14"/>
        <v/>
      </c>
      <c r="D276" s="1295" t="str">
        <f t="shared" si="15"/>
        <v/>
      </c>
      <c r="E276" s="1295"/>
      <c r="F276" s="1295"/>
      <c r="G276" s="599" t="str">
        <f t="shared" si="16"/>
        <v/>
      </c>
      <c r="H276" s="599" t="str">
        <f t="shared" si="17"/>
        <v/>
      </c>
      <c r="I276" s="1296" t="str">
        <f t="shared" si="18"/>
        <v/>
      </c>
      <c r="J276" s="1296"/>
      <c r="K276" s="600" t="str">
        <f t="shared" si="19"/>
        <v/>
      </c>
      <c r="L276" s="591" t="str">
        <f t="shared" si="20"/>
        <v/>
      </c>
      <c r="M276" s="601" t="str">
        <f t="shared" si="24"/>
        <v/>
      </c>
      <c r="N276" s="601" t="str">
        <f t="shared" si="25"/>
        <v/>
      </c>
      <c r="O276" s="599" t="str">
        <f t="shared" si="21"/>
        <v/>
      </c>
      <c r="P276" s="601" t="str">
        <f t="shared" si="22"/>
        <v/>
      </c>
    </row>
    <row r="277" spans="1:16" s="220" customFormat="1" ht="18" hidden="1" customHeight="1">
      <c r="A277" s="591" t="str">
        <f t="shared" si="23"/>
        <v/>
      </c>
      <c r="B277" s="590">
        <f>LARGE($B$15:$B$264,7)</f>
        <v>0</v>
      </c>
      <c r="C277" s="599" t="str">
        <f t="shared" si="14"/>
        <v/>
      </c>
      <c r="D277" s="1295" t="str">
        <f t="shared" si="15"/>
        <v/>
      </c>
      <c r="E277" s="1295"/>
      <c r="F277" s="1295"/>
      <c r="G277" s="599" t="str">
        <f t="shared" si="16"/>
        <v/>
      </c>
      <c r="H277" s="599" t="str">
        <f t="shared" si="17"/>
        <v/>
      </c>
      <c r="I277" s="1296" t="str">
        <f t="shared" si="18"/>
        <v/>
      </c>
      <c r="J277" s="1296"/>
      <c r="K277" s="600" t="str">
        <f t="shared" si="19"/>
        <v/>
      </c>
      <c r="L277" s="591" t="str">
        <f t="shared" si="20"/>
        <v/>
      </c>
      <c r="M277" s="601" t="str">
        <f t="shared" si="24"/>
        <v/>
      </c>
      <c r="N277" s="601" t="str">
        <f t="shared" si="25"/>
        <v/>
      </c>
      <c r="O277" s="599" t="str">
        <f t="shared" si="21"/>
        <v/>
      </c>
      <c r="P277" s="601" t="str">
        <f t="shared" si="22"/>
        <v/>
      </c>
    </row>
    <row r="278" spans="1:16" s="220" customFormat="1" ht="18" hidden="1" customHeight="1">
      <c r="A278" s="591" t="str">
        <f t="shared" si="23"/>
        <v/>
      </c>
      <c r="B278" s="590">
        <f>LARGE($B$15:$B$264,8)</f>
        <v>0</v>
      </c>
      <c r="C278" s="599" t="str">
        <f t="shared" si="14"/>
        <v/>
      </c>
      <c r="D278" s="1295" t="str">
        <f t="shared" si="15"/>
        <v/>
      </c>
      <c r="E278" s="1295"/>
      <c r="F278" s="1295"/>
      <c r="G278" s="599" t="str">
        <f t="shared" si="16"/>
        <v/>
      </c>
      <c r="H278" s="599" t="str">
        <f t="shared" si="17"/>
        <v/>
      </c>
      <c r="I278" s="1296" t="str">
        <f t="shared" si="18"/>
        <v/>
      </c>
      <c r="J278" s="1296"/>
      <c r="K278" s="600" t="str">
        <f t="shared" si="19"/>
        <v/>
      </c>
      <c r="L278" s="591" t="str">
        <f t="shared" si="20"/>
        <v/>
      </c>
      <c r="M278" s="601" t="str">
        <f t="shared" si="24"/>
        <v/>
      </c>
      <c r="N278" s="601" t="str">
        <f t="shared" si="25"/>
        <v/>
      </c>
      <c r="O278" s="599" t="str">
        <f t="shared" si="21"/>
        <v/>
      </c>
      <c r="P278" s="601" t="str">
        <f t="shared" si="22"/>
        <v/>
      </c>
    </row>
    <row r="279" spans="1:16" s="220" customFormat="1" ht="18" hidden="1" customHeight="1">
      <c r="A279" s="591" t="str">
        <f t="shared" si="23"/>
        <v/>
      </c>
      <c r="B279" s="590">
        <f>LARGE($B$15:$B$264,9)</f>
        <v>0</v>
      </c>
      <c r="C279" s="599" t="str">
        <f t="shared" si="14"/>
        <v/>
      </c>
      <c r="D279" s="1295" t="str">
        <f t="shared" si="15"/>
        <v/>
      </c>
      <c r="E279" s="1295"/>
      <c r="F279" s="1295"/>
      <c r="G279" s="599" t="str">
        <f t="shared" si="16"/>
        <v/>
      </c>
      <c r="H279" s="599" t="str">
        <f t="shared" si="17"/>
        <v/>
      </c>
      <c r="I279" s="1296" t="str">
        <f t="shared" si="18"/>
        <v/>
      </c>
      <c r="J279" s="1296"/>
      <c r="K279" s="600" t="str">
        <f t="shared" si="19"/>
        <v/>
      </c>
      <c r="L279" s="591" t="str">
        <f t="shared" si="20"/>
        <v/>
      </c>
      <c r="M279" s="601" t="str">
        <f t="shared" si="24"/>
        <v/>
      </c>
      <c r="N279" s="601" t="str">
        <f t="shared" si="25"/>
        <v/>
      </c>
      <c r="O279" s="599" t="str">
        <f t="shared" si="21"/>
        <v/>
      </c>
      <c r="P279" s="601" t="str">
        <f t="shared" si="22"/>
        <v/>
      </c>
    </row>
    <row r="280" spans="1:16" s="220" customFormat="1" ht="18" hidden="1" customHeight="1">
      <c r="A280" s="591" t="str">
        <f t="shared" si="23"/>
        <v/>
      </c>
      <c r="B280" s="590">
        <f>LARGE($B$15:$B$264,10)</f>
        <v>0</v>
      </c>
      <c r="C280" s="599" t="str">
        <f t="shared" si="14"/>
        <v/>
      </c>
      <c r="D280" s="1295" t="str">
        <f t="shared" si="15"/>
        <v/>
      </c>
      <c r="E280" s="1295"/>
      <c r="F280" s="1295"/>
      <c r="G280" s="599" t="str">
        <f t="shared" si="16"/>
        <v/>
      </c>
      <c r="H280" s="599" t="str">
        <f t="shared" si="17"/>
        <v/>
      </c>
      <c r="I280" s="1296" t="str">
        <f t="shared" si="18"/>
        <v/>
      </c>
      <c r="J280" s="1296"/>
      <c r="K280" s="600" t="str">
        <f t="shared" si="19"/>
        <v/>
      </c>
      <c r="L280" s="591" t="str">
        <f t="shared" si="20"/>
        <v/>
      </c>
      <c r="M280" s="601" t="str">
        <f t="shared" si="24"/>
        <v/>
      </c>
      <c r="N280" s="601" t="str">
        <f t="shared" si="25"/>
        <v/>
      </c>
      <c r="O280" s="599" t="str">
        <f t="shared" si="21"/>
        <v/>
      </c>
      <c r="P280" s="601" t="str">
        <f t="shared" si="22"/>
        <v/>
      </c>
    </row>
    <row r="281" spans="1:16" s="220" customFormat="1" ht="18" hidden="1" customHeight="1">
      <c r="A281" s="591" t="str">
        <f t="shared" si="23"/>
        <v/>
      </c>
      <c r="B281" s="590">
        <f>LARGE($B$15:$B$264,11)</f>
        <v>0</v>
      </c>
      <c r="C281" s="599" t="str">
        <f t="shared" si="14"/>
        <v/>
      </c>
      <c r="D281" s="1295" t="str">
        <f t="shared" si="15"/>
        <v/>
      </c>
      <c r="E281" s="1295"/>
      <c r="F281" s="1295"/>
      <c r="G281" s="599" t="str">
        <f t="shared" si="16"/>
        <v/>
      </c>
      <c r="H281" s="599" t="str">
        <f t="shared" si="17"/>
        <v/>
      </c>
      <c r="I281" s="1296" t="str">
        <f t="shared" si="18"/>
        <v/>
      </c>
      <c r="J281" s="1296"/>
      <c r="K281" s="600" t="str">
        <f t="shared" si="19"/>
        <v/>
      </c>
      <c r="L281" s="591" t="str">
        <f t="shared" si="20"/>
        <v/>
      </c>
      <c r="M281" s="601" t="str">
        <f t="shared" si="24"/>
        <v/>
      </c>
      <c r="N281" s="601" t="str">
        <f t="shared" si="25"/>
        <v/>
      </c>
      <c r="O281" s="599" t="str">
        <f t="shared" si="21"/>
        <v/>
      </c>
      <c r="P281" s="601" t="str">
        <f t="shared" si="22"/>
        <v/>
      </c>
    </row>
    <row r="282" spans="1:16" s="220" customFormat="1" ht="18" hidden="1" customHeight="1">
      <c r="A282" s="591" t="str">
        <f t="shared" si="23"/>
        <v/>
      </c>
      <c r="B282" s="590">
        <f>LARGE($B$15:$B$264,12)</f>
        <v>0</v>
      </c>
      <c r="C282" s="599" t="str">
        <f t="shared" si="14"/>
        <v/>
      </c>
      <c r="D282" s="1295" t="str">
        <f t="shared" si="15"/>
        <v/>
      </c>
      <c r="E282" s="1295"/>
      <c r="F282" s="1295"/>
      <c r="G282" s="599" t="str">
        <f t="shared" si="16"/>
        <v/>
      </c>
      <c r="H282" s="599" t="str">
        <f t="shared" si="17"/>
        <v/>
      </c>
      <c r="I282" s="1296" t="str">
        <f t="shared" si="18"/>
        <v/>
      </c>
      <c r="J282" s="1296"/>
      <c r="K282" s="600" t="str">
        <f t="shared" si="19"/>
        <v/>
      </c>
      <c r="L282" s="591" t="str">
        <f t="shared" si="20"/>
        <v/>
      </c>
      <c r="M282" s="601" t="str">
        <f t="shared" si="24"/>
        <v/>
      </c>
      <c r="N282" s="601" t="str">
        <f t="shared" si="25"/>
        <v/>
      </c>
      <c r="O282" s="599" t="str">
        <f t="shared" si="21"/>
        <v/>
      </c>
      <c r="P282" s="601" t="str">
        <f t="shared" si="22"/>
        <v/>
      </c>
    </row>
    <row r="283" spans="1:16" s="220" customFormat="1" ht="18" hidden="1" customHeight="1">
      <c r="A283" s="591" t="str">
        <f t="shared" si="23"/>
        <v/>
      </c>
      <c r="B283" s="590">
        <f>LARGE($B$15:$B$264,13)</f>
        <v>0</v>
      </c>
      <c r="C283" s="599" t="str">
        <f t="shared" si="14"/>
        <v/>
      </c>
      <c r="D283" s="1295" t="str">
        <f t="shared" si="15"/>
        <v/>
      </c>
      <c r="E283" s="1295"/>
      <c r="F283" s="1295"/>
      <c r="G283" s="599" t="str">
        <f t="shared" si="16"/>
        <v/>
      </c>
      <c r="H283" s="599" t="str">
        <f t="shared" si="17"/>
        <v/>
      </c>
      <c r="I283" s="1296" t="str">
        <f t="shared" si="18"/>
        <v/>
      </c>
      <c r="J283" s="1296"/>
      <c r="K283" s="600" t="str">
        <f t="shared" si="19"/>
        <v/>
      </c>
      <c r="L283" s="591" t="str">
        <f t="shared" si="20"/>
        <v/>
      </c>
      <c r="M283" s="601" t="str">
        <f t="shared" si="24"/>
        <v/>
      </c>
      <c r="N283" s="601" t="str">
        <f t="shared" si="25"/>
        <v/>
      </c>
      <c r="O283" s="599" t="str">
        <f t="shared" si="21"/>
        <v/>
      </c>
      <c r="P283" s="601" t="str">
        <f t="shared" si="22"/>
        <v/>
      </c>
    </row>
    <row r="284" spans="1:16" s="220" customFormat="1" ht="18" hidden="1" customHeight="1">
      <c r="A284" s="591" t="str">
        <f t="shared" si="23"/>
        <v/>
      </c>
      <c r="B284" s="590">
        <f>LARGE($B$15:$B$264,14)</f>
        <v>0</v>
      </c>
      <c r="C284" s="599" t="str">
        <f t="shared" si="14"/>
        <v/>
      </c>
      <c r="D284" s="1295" t="str">
        <f t="shared" si="15"/>
        <v/>
      </c>
      <c r="E284" s="1295"/>
      <c r="F284" s="1295"/>
      <c r="G284" s="599" t="str">
        <f t="shared" si="16"/>
        <v/>
      </c>
      <c r="H284" s="599" t="str">
        <f t="shared" si="17"/>
        <v/>
      </c>
      <c r="I284" s="1296" t="str">
        <f t="shared" si="18"/>
        <v/>
      </c>
      <c r="J284" s="1296"/>
      <c r="K284" s="600" t="str">
        <f t="shared" si="19"/>
        <v/>
      </c>
      <c r="L284" s="591" t="str">
        <f t="shared" si="20"/>
        <v/>
      </c>
      <c r="M284" s="601" t="str">
        <f t="shared" si="24"/>
        <v/>
      </c>
      <c r="N284" s="601" t="str">
        <f t="shared" si="25"/>
        <v/>
      </c>
      <c r="O284" s="599" t="str">
        <f t="shared" si="21"/>
        <v/>
      </c>
      <c r="P284" s="601" t="str">
        <f t="shared" si="22"/>
        <v/>
      </c>
    </row>
    <row r="285" spans="1:16" s="220" customFormat="1" ht="18" hidden="1" customHeight="1">
      <c r="A285" s="591" t="str">
        <f t="shared" si="23"/>
        <v/>
      </c>
      <c r="B285" s="590">
        <f>LARGE($B$15:$B$264,15)</f>
        <v>0</v>
      </c>
      <c r="C285" s="599" t="str">
        <f t="shared" si="14"/>
        <v/>
      </c>
      <c r="D285" s="1295" t="str">
        <f t="shared" si="15"/>
        <v/>
      </c>
      <c r="E285" s="1295"/>
      <c r="F285" s="1295"/>
      <c r="G285" s="599" t="str">
        <f t="shared" si="16"/>
        <v/>
      </c>
      <c r="H285" s="599" t="str">
        <f t="shared" si="17"/>
        <v/>
      </c>
      <c r="I285" s="1296" t="str">
        <f t="shared" si="18"/>
        <v/>
      </c>
      <c r="J285" s="1296"/>
      <c r="K285" s="600" t="str">
        <f t="shared" si="19"/>
        <v/>
      </c>
      <c r="L285" s="591" t="str">
        <f t="shared" si="20"/>
        <v/>
      </c>
      <c r="M285" s="601" t="str">
        <f t="shared" si="24"/>
        <v/>
      </c>
      <c r="N285" s="601" t="str">
        <f t="shared" si="25"/>
        <v/>
      </c>
      <c r="O285" s="599" t="str">
        <f t="shared" si="21"/>
        <v/>
      </c>
      <c r="P285" s="601" t="str">
        <f t="shared" si="22"/>
        <v/>
      </c>
    </row>
    <row r="286" spans="1:16" s="220" customFormat="1" ht="18" hidden="1" customHeight="1">
      <c r="A286" s="591" t="str">
        <f t="shared" si="23"/>
        <v/>
      </c>
      <c r="B286" s="590">
        <f>LARGE($B$15:$B$264,16)</f>
        <v>0</v>
      </c>
      <c r="C286" s="599" t="str">
        <f t="shared" si="14"/>
        <v/>
      </c>
      <c r="D286" s="1295" t="str">
        <f t="shared" si="15"/>
        <v/>
      </c>
      <c r="E286" s="1295"/>
      <c r="F286" s="1295"/>
      <c r="G286" s="599" t="str">
        <f t="shared" si="16"/>
        <v/>
      </c>
      <c r="H286" s="599" t="str">
        <f t="shared" si="17"/>
        <v/>
      </c>
      <c r="I286" s="1296" t="str">
        <f t="shared" si="18"/>
        <v/>
      </c>
      <c r="J286" s="1296"/>
      <c r="K286" s="600" t="str">
        <f t="shared" si="19"/>
        <v/>
      </c>
      <c r="L286" s="591" t="str">
        <f t="shared" si="20"/>
        <v/>
      </c>
      <c r="M286" s="601" t="str">
        <f t="shared" si="24"/>
        <v/>
      </c>
      <c r="N286" s="601" t="str">
        <f t="shared" si="25"/>
        <v/>
      </c>
      <c r="O286" s="599" t="str">
        <f t="shared" si="21"/>
        <v/>
      </c>
      <c r="P286" s="601" t="str">
        <f t="shared" si="22"/>
        <v/>
      </c>
    </row>
    <row r="287" spans="1:16" s="220" customFormat="1" ht="18" hidden="1" customHeight="1">
      <c r="A287" s="591" t="str">
        <f t="shared" si="23"/>
        <v/>
      </c>
      <c r="B287" s="590">
        <f>LARGE($B$15:$B$264,17)</f>
        <v>0</v>
      </c>
      <c r="C287" s="599" t="str">
        <f t="shared" si="14"/>
        <v/>
      </c>
      <c r="D287" s="1295" t="str">
        <f t="shared" si="15"/>
        <v/>
      </c>
      <c r="E287" s="1295"/>
      <c r="F287" s="1295"/>
      <c r="G287" s="599" t="str">
        <f t="shared" si="16"/>
        <v/>
      </c>
      <c r="H287" s="599" t="str">
        <f t="shared" si="17"/>
        <v/>
      </c>
      <c r="I287" s="1296" t="str">
        <f t="shared" si="18"/>
        <v/>
      </c>
      <c r="J287" s="1296"/>
      <c r="K287" s="600" t="str">
        <f t="shared" si="19"/>
        <v/>
      </c>
      <c r="L287" s="591" t="str">
        <f t="shared" si="20"/>
        <v/>
      </c>
      <c r="M287" s="601" t="str">
        <f t="shared" si="24"/>
        <v/>
      </c>
      <c r="N287" s="601" t="str">
        <f t="shared" si="25"/>
        <v/>
      </c>
      <c r="O287" s="599" t="str">
        <f t="shared" si="21"/>
        <v/>
      </c>
      <c r="P287" s="601" t="str">
        <f t="shared" si="22"/>
        <v/>
      </c>
    </row>
    <row r="288" spans="1:16" s="220" customFormat="1" ht="18" hidden="1" customHeight="1">
      <c r="A288" s="591" t="str">
        <f t="shared" si="23"/>
        <v/>
      </c>
      <c r="B288" s="590">
        <f>LARGE($B$15:$B$264,18)</f>
        <v>0</v>
      </c>
      <c r="C288" s="599" t="str">
        <f t="shared" si="14"/>
        <v/>
      </c>
      <c r="D288" s="1295" t="str">
        <f t="shared" si="15"/>
        <v/>
      </c>
      <c r="E288" s="1295"/>
      <c r="F288" s="1295"/>
      <c r="G288" s="599" t="str">
        <f t="shared" si="16"/>
        <v/>
      </c>
      <c r="H288" s="599" t="str">
        <f t="shared" si="17"/>
        <v/>
      </c>
      <c r="I288" s="1296" t="str">
        <f t="shared" si="18"/>
        <v/>
      </c>
      <c r="J288" s="1296"/>
      <c r="K288" s="600" t="str">
        <f t="shared" si="19"/>
        <v/>
      </c>
      <c r="L288" s="591" t="str">
        <f t="shared" si="20"/>
        <v/>
      </c>
      <c r="M288" s="601" t="str">
        <f t="shared" si="24"/>
        <v/>
      </c>
      <c r="N288" s="601" t="str">
        <f t="shared" si="25"/>
        <v/>
      </c>
      <c r="O288" s="599" t="str">
        <f t="shared" si="21"/>
        <v/>
      </c>
      <c r="P288" s="601" t="str">
        <f t="shared" si="22"/>
        <v/>
      </c>
    </row>
    <row r="289" spans="1:16" s="220" customFormat="1" ht="18" hidden="1" customHeight="1">
      <c r="A289" s="591" t="str">
        <f t="shared" si="23"/>
        <v/>
      </c>
      <c r="B289" s="590">
        <f>LARGE($B$15:$B$264,19)</f>
        <v>0</v>
      </c>
      <c r="C289" s="599" t="str">
        <f t="shared" si="14"/>
        <v/>
      </c>
      <c r="D289" s="1295" t="str">
        <f t="shared" si="15"/>
        <v/>
      </c>
      <c r="E289" s="1295"/>
      <c r="F289" s="1295"/>
      <c r="G289" s="599" t="str">
        <f t="shared" si="16"/>
        <v/>
      </c>
      <c r="H289" s="599" t="str">
        <f t="shared" si="17"/>
        <v/>
      </c>
      <c r="I289" s="1296" t="str">
        <f t="shared" si="18"/>
        <v/>
      </c>
      <c r="J289" s="1296"/>
      <c r="K289" s="600" t="str">
        <f t="shared" si="19"/>
        <v/>
      </c>
      <c r="L289" s="591" t="str">
        <f t="shared" si="20"/>
        <v/>
      </c>
      <c r="M289" s="601" t="str">
        <f t="shared" si="24"/>
        <v/>
      </c>
      <c r="N289" s="601" t="str">
        <f t="shared" si="25"/>
        <v/>
      </c>
      <c r="O289" s="599" t="str">
        <f t="shared" si="21"/>
        <v/>
      </c>
      <c r="P289" s="601" t="str">
        <f t="shared" si="22"/>
        <v/>
      </c>
    </row>
    <row r="290" spans="1:16" s="220" customFormat="1" ht="18" hidden="1" customHeight="1">
      <c r="A290" s="591" t="str">
        <f t="shared" si="23"/>
        <v/>
      </c>
      <c r="B290" s="590">
        <f>LARGE($B$15:$B$264,20)</f>
        <v>0</v>
      </c>
      <c r="C290" s="599" t="str">
        <f t="shared" si="14"/>
        <v/>
      </c>
      <c r="D290" s="1295" t="str">
        <f t="shared" si="15"/>
        <v/>
      </c>
      <c r="E290" s="1295"/>
      <c r="F290" s="1295"/>
      <c r="G290" s="599" t="str">
        <f t="shared" si="16"/>
        <v/>
      </c>
      <c r="H290" s="599" t="str">
        <f t="shared" si="17"/>
        <v/>
      </c>
      <c r="I290" s="1296" t="str">
        <f t="shared" si="18"/>
        <v/>
      </c>
      <c r="J290" s="1296"/>
      <c r="K290" s="600" t="str">
        <f t="shared" si="19"/>
        <v/>
      </c>
      <c r="L290" s="591" t="str">
        <f t="shared" si="20"/>
        <v/>
      </c>
      <c r="M290" s="601" t="str">
        <f t="shared" si="24"/>
        <v/>
      </c>
      <c r="N290" s="601" t="str">
        <f t="shared" si="25"/>
        <v/>
      </c>
      <c r="O290" s="599" t="str">
        <f t="shared" si="21"/>
        <v/>
      </c>
      <c r="P290" s="601" t="str">
        <f t="shared" si="22"/>
        <v/>
      </c>
    </row>
    <row r="291" spans="1:16" s="220" customFormat="1" ht="18" hidden="1" customHeight="1">
      <c r="A291" s="591" t="str">
        <f t="shared" si="23"/>
        <v/>
      </c>
      <c r="B291" s="590">
        <f>LARGE($B$15:$B$264,21)</f>
        <v>0</v>
      </c>
      <c r="C291" s="599" t="str">
        <f t="shared" si="14"/>
        <v/>
      </c>
      <c r="D291" s="1295" t="str">
        <f t="shared" si="15"/>
        <v/>
      </c>
      <c r="E291" s="1295"/>
      <c r="F291" s="1295"/>
      <c r="G291" s="599" t="str">
        <f t="shared" si="16"/>
        <v/>
      </c>
      <c r="H291" s="599" t="str">
        <f t="shared" si="17"/>
        <v/>
      </c>
      <c r="I291" s="1296" t="str">
        <f t="shared" si="18"/>
        <v/>
      </c>
      <c r="J291" s="1296"/>
      <c r="K291" s="600" t="str">
        <f t="shared" si="19"/>
        <v/>
      </c>
      <c r="L291" s="591" t="str">
        <f t="shared" si="20"/>
        <v/>
      </c>
      <c r="M291" s="601" t="str">
        <f t="shared" si="24"/>
        <v/>
      </c>
      <c r="N291" s="601" t="str">
        <f t="shared" si="25"/>
        <v/>
      </c>
      <c r="O291" s="599" t="str">
        <f t="shared" si="21"/>
        <v/>
      </c>
      <c r="P291" s="601" t="str">
        <f t="shared" si="22"/>
        <v/>
      </c>
    </row>
    <row r="292" spans="1:16" s="220" customFormat="1" ht="18" hidden="1" customHeight="1">
      <c r="A292" s="591" t="str">
        <f t="shared" si="23"/>
        <v/>
      </c>
      <c r="B292" s="590">
        <f>LARGE($B$15:$B$264,22)</f>
        <v>0</v>
      </c>
      <c r="C292" s="599" t="str">
        <f t="shared" si="14"/>
        <v/>
      </c>
      <c r="D292" s="1295" t="str">
        <f t="shared" si="15"/>
        <v/>
      </c>
      <c r="E292" s="1295"/>
      <c r="F292" s="1295"/>
      <c r="G292" s="599" t="str">
        <f t="shared" si="16"/>
        <v/>
      </c>
      <c r="H292" s="599" t="str">
        <f t="shared" si="17"/>
        <v/>
      </c>
      <c r="I292" s="1296" t="str">
        <f t="shared" si="18"/>
        <v/>
      </c>
      <c r="J292" s="1296"/>
      <c r="K292" s="600" t="str">
        <f t="shared" si="19"/>
        <v/>
      </c>
      <c r="L292" s="591" t="str">
        <f t="shared" si="20"/>
        <v/>
      </c>
      <c r="M292" s="601" t="str">
        <f t="shared" si="24"/>
        <v/>
      </c>
      <c r="N292" s="601" t="str">
        <f t="shared" si="25"/>
        <v/>
      </c>
      <c r="O292" s="599" t="str">
        <f t="shared" si="21"/>
        <v/>
      </c>
      <c r="P292" s="601" t="str">
        <f t="shared" si="22"/>
        <v/>
      </c>
    </row>
    <row r="293" spans="1:16" s="220" customFormat="1" ht="18" hidden="1" customHeight="1">
      <c r="A293" s="591" t="str">
        <f t="shared" si="23"/>
        <v/>
      </c>
      <c r="B293" s="590">
        <f>LARGE($B$15:$B$264,23)</f>
        <v>0</v>
      </c>
      <c r="C293" s="599" t="str">
        <f t="shared" si="14"/>
        <v/>
      </c>
      <c r="D293" s="1295" t="str">
        <f t="shared" si="15"/>
        <v/>
      </c>
      <c r="E293" s="1295"/>
      <c r="F293" s="1295"/>
      <c r="G293" s="599" t="str">
        <f t="shared" si="16"/>
        <v/>
      </c>
      <c r="H293" s="599" t="str">
        <f t="shared" si="17"/>
        <v/>
      </c>
      <c r="I293" s="1296" t="str">
        <f t="shared" si="18"/>
        <v/>
      </c>
      <c r="J293" s="1296"/>
      <c r="K293" s="600" t="str">
        <f t="shared" si="19"/>
        <v/>
      </c>
      <c r="L293" s="591" t="str">
        <f t="shared" si="20"/>
        <v/>
      </c>
      <c r="M293" s="601" t="str">
        <f t="shared" si="24"/>
        <v/>
      </c>
      <c r="N293" s="601" t="str">
        <f t="shared" si="25"/>
        <v/>
      </c>
      <c r="O293" s="599" t="str">
        <f t="shared" si="21"/>
        <v/>
      </c>
      <c r="P293" s="601" t="str">
        <f t="shared" si="22"/>
        <v/>
      </c>
    </row>
    <row r="294" spans="1:16" s="220" customFormat="1" ht="18" hidden="1" customHeight="1">
      <c r="A294" s="591" t="str">
        <f t="shared" si="23"/>
        <v/>
      </c>
      <c r="B294" s="590">
        <f>LARGE($B$15:$B$264,24)</f>
        <v>0</v>
      </c>
      <c r="C294" s="599" t="str">
        <f t="shared" si="14"/>
        <v/>
      </c>
      <c r="D294" s="1295" t="str">
        <f t="shared" si="15"/>
        <v/>
      </c>
      <c r="E294" s="1295"/>
      <c r="F294" s="1295"/>
      <c r="G294" s="599" t="str">
        <f t="shared" si="16"/>
        <v/>
      </c>
      <c r="H294" s="599" t="str">
        <f t="shared" si="17"/>
        <v/>
      </c>
      <c r="I294" s="1296" t="str">
        <f t="shared" si="18"/>
        <v/>
      </c>
      <c r="J294" s="1296"/>
      <c r="K294" s="600" t="str">
        <f t="shared" si="19"/>
        <v/>
      </c>
      <c r="L294" s="591" t="str">
        <f t="shared" si="20"/>
        <v/>
      </c>
      <c r="M294" s="601" t="str">
        <f t="shared" si="24"/>
        <v/>
      </c>
      <c r="N294" s="601" t="str">
        <f t="shared" si="25"/>
        <v/>
      </c>
      <c r="O294" s="599" t="str">
        <f t="shared" si="21"/>
        <v/>
      </c>
      <c r="P294" s="601" t="str">
        <f t="shared" si="22"/>
        <v/>
      </c>
    </row>
    <row r="295" spans="1:16" s="220" customFormat="1" ht="18" hidden="1" customHeight="1">
      <c r="A295" s="591" t="str">
        <f t="shared" si="23"/>
        <v/>
      </c>
      <c r="B295" s="590">
        <f>LARGE($B$15:$B$264,25)</f>
        <v>0</v>
      </c>
      <c r="C295" s="599" t="str">
        <f t="shared" si="14"/>
        <v/>
      </c>
      <c r="D295" s="1295" t="str">
        <f t="shared" si="15"/>
        <v/>
      </c>
      <c r="E295" s="1295"/>
      <c r="F295" s="1295"/>
      <c r="G295" s="599" t="str">
        <f t="shared" si="16"/>
        <v/>
      </c>
      <c r="H295" s="599" t="str">
        <f t="shared" si="17"/>
        <v/>
      </c>
      <c r="I295" s="1296" t="str">
        <f t="shared" si="18"/>
        <v/>
      </c>
      <c r="J295" s="1296"/>
      <c r="K295" s="600" t="str">
        <f t="shared" si="19"/>
        <v/>
      </c>
      <c r="L295" s="591" t="str">
        <f t="shared" si="20"/>
        <v/>
      </c>
      <c r="M295" s="601" t="str">
        <f t="shared" si="24"/>
        <v/>
      </c>
      <c r="N295" s="601" t="str">
        <f t="shared" si="25"/>
        <v/>
      </c>
      <c r="O295" s="599" t="str">
        <f t="shared" si="21"/>
        <v/>
      </c>
      <c r="P295" s="601" t="str">
        <f t="shared" si="22"/>
        <v/>
      </c>
    </row>
    <row r="296" spans="1:16" s="220" customFormat="1" ht="18" hidden="1" customHeight="1">
      <c r="A296" s="591" t="str">
        <f t="shared" si="23"/>
        <v/>
      </c>
      <c r="B296" s="590">
        <f>LARGE($B$15:$B$264,26)</f>
        <v>0</v>
      </c>
      <c r="C296" s="599" t="str">
        <f t="shared" si="14"/>
        <v/>
      </c>
      <c r="D296" s="1295" t="str">
        <f t="shared" si="15"/>
        <v/>
      </c>
      <c r="E296" s="1295"/>
      <c r="F296" s="1295"/>
      <c r="G296" s="599" t="str">
        <f t="shared" si="16"/>
        <v/>
      </c>
      <c r="H296" s="599" t="str">
        <f t="shared" si="17"/>
        <v/>
      </c>
      <c r="I296" s="1296" t="str">
        <f t="shared" si="18"/>
        <v/>
      </c>
      <c r="J296" s="1296"/>
      <c r="K296" s="600" t="str">
        <f t="shared" si="19"/>
        <v/>
      </c>
      <c r="L296" s="591" t="str">
        <f t="shared" si="20"/>
        <v/>
      </c>
      <c r="M296" s="601" t="str">
        <f t="shared" si="24"/>
        <v/>
      </c>
      <c r="N296" s="601" t="str">
        <f t="shared" si="25"/>
        <v/>
      </c>
      <c r="O296" s="599" t="str">
        <f t="shared" si="21"/>
        <v/>
      </c>
      <c r="P296" s="601" t="str">
        <f t="shared" si="22"/>
        <v/>
      </c>
    </row>
    <row r="297" spans="1:16" s="220" customFormat="1" ht="18" hidden="1" customHeight="1">
      <c r="A297" s="591" t="str">
        <f t="shared" si="23"/>
        <v/>
      </c>
      <c r="B297" s="590">
        <f>LARGE($B$15:$B$264,27)</f>
        <v>0</v>
      </c>
      <c r="C297" s="599" t="str">
        <f t="shared" si="14"/>
        <v/>
      </c>
      <c r="D297" s="1295" t="str">
        <f t="shared" si="15"/>
        <v/>
      </c>
      <c r="E297" s="1295"/>
      <c r="F297" s="1295"/>
      <c r="G297" s="599" t="str">
        <f t="shared" si="16"/>
        <v/>
      </c>
      <c r="H297" s="599" t="str">
        <f t="shared" si="17"/>
        <v/>
      </c>
      <c r="I297" s="1296" t="str">
        <f t="shared" si="18"/>
        <v/>
      </c>
      <c r="J297" s="1296"/>
      <c r="K297" s="600" t="str">
        <f t="shared" si="19"/>
        <v/>
      </c>
      <c r="L297" s="591" t="str">
        <f t="shared" si="20"/>
        <v/>
      </c>
      <c r="M297" s="601" t="str">
        <f t="shared" si="24"/>
        <v/>
      </c>
      <c r="N297" s="601" t="str">
        <f t="shared" si="25"/>
        <v/>
      </c>
      <c r="O297" s="599" t="str">
        <f t="shared" si="21"/>
        <v/>
      </c>
      <c r="P297" s="601" t="str">
        <f t="shared" si="22"/>
        <v/>
      </c>
    </row>
    <row r="298" spans="1:16" s="220" customFormat="1" ht="18" hidden="1" customHeight="1">
      <c r="A298" s="591" t="str">
        <f t="shared" si="23"/>
        <v/>
      </c>
      <c r="B298" s="590">
        <f>LARGE($B$15:$B$264,28)</f>
        <v>0</v>
      </c>
      <c r="C298" s="599" t="str">
        <f t="shared" si="14"/>
        <v/>
      </c>
      <c r="D298" s="1295" t="str">
        <f t="shared" si="15"/>
        <v/>
      </c>
      <c r="E298" s="1295"/>
      <c r="F298" s="1295"/>
      <c r="G298" s="599" t="str">
        <f t="shared" si="16"/>
        <v/>
      </c>
      <c r="H298" s="599" t="str">
        <f t="shared" si="17"/>
        <v/>
      </c>
      <c r="I298" s="1296" t="str">
        <f t="shared" si="18"/>
        <v/>
      </c>
      <c r="J298" s="1296"/>
      <c r="K298" s="600" t="str">
        <f t="shared" si="19"/>
        <v/>
      </c>
      <c r="L298" s="591" t="str">
        <f t="shared" si="20"/>
        <v/>
      </c>
      <c r="M298" s="601" t="str">
        <f t="shared" si="24"/>
        <v/>
      </c>
      <c r="N298" s="601" t="str">
        <f t="shared" si="25"/>
        <v/>
      </c>
      <c r="O298" s="599" t="str">
        <f t="shared" si="21"/>
        <v/>
      </c>
      <c r="P298" s="601" t="str">
        <f t="shared" si="22"/>
        <v/>
      </c>
    </row>
    <row r="299" spans="1:16" s="220" customFormat="1" ht="18" hidden="1" customHeight="1">
      <c r="A299" s="591" t="str">
        <f t="shared" si="23"/>
        <v/>
      </c>
      <c r="B299" s="590">
        <f>LARGE($B$15:$B$264,29)</f>
        <v>0</v>
      </c>
      <c r="C299" s="599" t="str">
        <f t="shared" si="14"/>
        <v/>
      </c>
      <c r="D299" s="1295" t="str">
        <f t="shared" si="15"/>
        <v/>
      </c>
      <c r="E299" s="1295"/>
      <c r="F299" s="1295"/>
      <c r="G299" s="599" t="str">
        <f t="shared" si="16"/>
        <v/>
      </c>
      <c r="H299" s="599" t="str">
        <f t="shared" si="17"/>
        <v/>
      </c>
      <c r="I299" s="1296" t="str">
        <f t="shared" si="18"/>
        <v/>
      </c>
      <c r="J299" s="1296"/>
      <c r="K299" s="600" t="str">
        <f t="shared" si="19"/>
        <v/>
      </c>
      <c r="L299" s="591" t="str">
        <f t="shared" si="20"/>
        <v/>
      </c>
      <c r="M299" s="601" t="str">
        <f t="shared" si="24"/>
        <v/>
      </c>
      <c r="N299" s="601" t="str">
        <f t="shared" si="25"/>
        <v/>
      </c>
      <c r="O299" s="599" t="str">
        <f t="shared" si="21"/>
        <v/>
      </c>
      <c r="P299" s="601" t="str">
        <f t="shared" si="22"/>
        <v/>
      </c>
    </row>
    <row r="300" spans="1:16" s="220" customFormat="1" ht="18" hidden="1" customHeight="1">
      <c r="A300" s="591" t="str">
        <f t="shared" si="23"/>
        <v/>
      </c>
      <c r="B300" s="590">
        <f>LARGE($B$15:$B$264,30)</f>
        <v>0</v>
      </c>
      <c r="C300" s="599" t="str">
        <f t="shared" si="14"/>
        <v/>
      </c>
      <c r="D300" s="1295" t="str">
        <f t="shared" si="15"/>
        <v/>
      </c>
      <c r="E300" s="1295"/>
      <c r="F300" s="1295"/>
      <c r="G300" s="599" t="str">
        <f t="shared" si="16"/>
        <v/>
      </c>
      <c r="H300" s="599" t="str">
        <f t="shared" si="17"/>
        <v/>
      </c>
      <c r="I300" s="1296" t="str">
        <f t="shared" si="18"/>
        <v/>
      </c>
      <c r="J300" s="1296"/>
      <c r="K300" s="600" t="str">
        <f t="shared" si="19"/>
        <v/>
      </c>
      <c r="L300" s="591" t="str">
        <f t="shared" si="20"/>
        <v/>
      </c>
      <c r="M300" s="601" t="str">
        <f t="shared" si="24"/>
        <v/>
      </c>
      <c r="N300" s="601" t="str">
        <f t="shared" si="25"/>
        <v/>
      </c>
      <c r="O300" s="599" t="str">
        <f t="shared" si="21"/>
        <v/>
      </c>
      <c r="P300" s="601" t="str">
        <f t="shared" si="22"/>
        <v/>
      </c>
    </row>
    <row r="301" spans="1:16" s="220" customFormat="1" ht="18" hidden="1" customHeight="1">
      <c r="A301" s="591" t="str">
        <f t="shared" si="23"/>
        <v/>
      </c>
      <c r="B301" s="590">
        <f>LARGE($B$15:$B$264,31)</f>
        <v>0</v>
      </c>
      <c r="C301" s="599" t="str">
        <f t="shared" si="14"/>
        <v/>
      </c>
      <c r="D301" s="1295" t="str">
        <f t="shared" si="15"/>
        <v/>
      </c>
      <c r="E301" s="1295"/>
      <c r="F301" s="1295"/>
      <c r="G301" s="599" t="str">
        <f t="shared" si="16"/>
        <v/>
      </c>
      <c r="H301" s="599" t="str">
        <f t="shared" si="17"/>
        <v/>
      </c>
      <c r="I301" s="1296" t="str">
        <f t="shared" si="18"/>
        <v/>
      </c>
      <c r="J301" s="1296"/>
      <c r="K301" s="600" t="str">
        <f t="shared" si="19"/>
        <v/>
      </c>
      <c r="L301" s="591" t="str">
        <f t="shared" si="20"/>
        <v/>
      </c>
      <c r="M301" s="601" t="str">
        <f t="shared" si="24"/>
        <v/>
      </c>
      <c r="N301" s="601" t="str">
        <f t="shared" si="25"/>
        <v/>
      </c>
      <c r="O301" s="599" t="str">
        <f t="shared" si="21"/>
        <v/>
      </c>
      <c r="P301" s="601" t="str">
        <f t="shared" si="22"/>
        <v/>
      </c>
    </row>
    <row r="302" spans="1:16" s="220" customFormat="1" ht="18" hidden="1" customHeight="1">
      <c r="A302" s="591" t="str">
        <f t="shared" si="23"/>
        <v/>
      </c>
      <c r="B302" s="590">
        <f>LARGE($B$15:$B$264,32)</f>
        <v>0</v>
      </c>
      <c r="C302" s="599" t="str">
        <f t="shared" si="14"/>
        <v/>
      </c>
      <c r="D302" s="1295" t="str">
        <f t="shared" si="15"/>
        <v/>
      </c>
      <c r="E302" s="1295"/>
      <c r="F302" s="1295"/>
      <c r="G302" s="599" t="str">
        <f t="shared" si="16"/>
        <v/>
      </c>
      <c r="H302" s="599" t="str">
        <f t="shared" si="17"/>
        <v/>
      </c>
      <c r="I302" s="1296" t="str">
        <f t="shared" si="18"/>
        <v/>
      </c>
      <c r="J302" s="1296"/>
      <c r="K302" s="600" t="str">
        <f t="shared" si="19"/>
        <v/>
      </c>
      <c r="L302" s="591" t="str">
        <f t="shared" si="20"/>
        <v/>
      </c>
      <c r="M302" s="601" t="str">
        <f t="shared" si="24"/>
        <v/>
      </c>
      <c r="N302" s="601" t="str">
        <f t="shared" si="25"/>
        <v/>
      </c>
      <c r="O302" s="599" t="str">
        <f t="shared" si="21"/>
        <v/>
      </c>
      <c r="P302" s="601" t="str">
        <f t="shared" si="22"/>
        <v/>
      </c>
    </row>
    <row r="303" spans="1:16" s="220" customFormat="1" ht="18" hidden="1" customHeight="1">
      <c r="A303" s="591" t="str">
        <f t="shared" si="23"/>
        <v/>
      </c>
      <c r="B303" s="590">
        <f>LARGE($B$15:$B$264,33)</f>
        <v>0</v>
      </c>
      <c r="C303" s="599" t="str">
        <f t="shared" si="14"/>
        <v/>
      </c>
      <c r="D303" s="1295" t="str">
        <f t="shared" si="15"/>
        <v/>
      </c>
      <c r="E303" s="1295"/>
      <c r="F303" s="1295"/>
      <c r="G303" s="599" t="str">
        <f t="shared" si="16"/>
        <v/>
      </c>
      <c r="H303" s="599" t="str">
        <f t="shared" si="17"/>
        <v/>
      </c>
      <c r="I303" s="1296" t="str">
        <f t="shared" si="18"/>
        <v/>
      </c>
      <c r="J303" s="1296"/>
      <c r="K303" s="600" t="str">
        <f t="shared" si="19"/>
        <v/>
      </c>
      <c r="L303" s="591" t="str">
        <f t="shared" si="20"/>
        <v/>
      </c>
      <c r="M303" s="601" t="str">
        <f t="shared" si="24"/>
        <v/>
      </c>
      <c r="N303" s="601" t="str">
        <f t="shared" si="25"/>
        <v/>
      </c>
      <c r="O303" s="599" t="str">
        <f t="shared" si="21"/>
        <v/>
      </c>
      <c r="P303" s="601" t="str">
        <f t="shared" si="22"/>
        <v/>
      </c>
    </row>
    <row r="304" spans="1:16" s="220" customFormat="1" ht="18" hidden="1" customHeight="1">
      <c r="A304" s="591" t="str">
        <f t="shared" si="23"/>
        <v/>
      </c>
      <c r="B304" s="590">
        <f>LARGE($B$15:$B$264,34)</f>
        <v>0</v>
      </c>
      <c r="C304" s="599" t="str">
        <f t="shared" si="14"/>
        <v/>
      </c>
      <c r="D304" s="1295" t="str">
        <f t="shared" si="15"/>
        <v/>
      </c>
      <c r="E304" s="1295"/>
      <c r="F304" s="1295"/>
      <c r="G304" s="599" t="str">
        <f t="shared" si="16"/>
        <v/>
      </c>
      <c r="H304" s="599" t="str">
        <f t="shared" si="17"/>
        <v/>
      </c>
      <c r="I304" s="1296" t="str">
        <f t="shared" si="18"/>
        <v/>
      </c>
      <c r="J304" s="1296"/>
      <c r="K304" s="600" t="str">
        <f t="shared" si="19"/>
        <v/>
      </c>
      <c r="L304" s="591" t="str">
        <f t="shared" si="20"/>
        <v/>
      </c>
      <c r="M304" s="601" t="str">
        <f t="shared" si="24"/>
        <v/>
      </c>
      <c r="N304" s="601" t="str">
        <f t="shared" si="25"/>
        <v/>
      </c>
      <c r="O304" s="599" t="str">
        <f t="shared" si="21"/>
        <v/>
      </c>
      <c r="P304" s="601" t="str">
        <f t="shared" si="22"/>
        <v/>
      </c>
    </row>
    <row r="305" spans="1:16" s="220" customFormat="1" ht="18" hidden="1" customHeight="1">
      <c r="A305" s="591" t="str">
        <f t="shared" si="23"/>
        <v/>
      </c>
      <c r="B305" s="590">
        <f>LARGE($B$15:$B$264,35)</f>
        <v>0</v>
      </c>
      <c r="C305" s="599" t="str">
        <f t="shared" si="14"/>
        <v/>
      </c>
      <c r="D305" s="1295" t="str">
        <f t="shared" si="15"/>
        <v/>
      </c>
      <c r="E305" s="1295"/>
      <c r="F305" s="1295"/>
      <c r="G305" s="599" t="str">
        <f t="shared" si="16"/>
        <v/>
      </c>
      <c r="H305" s="599" t="str">
        <f t="shared" si="17"/>
        <v/>
      </c>
      <c r="I305" s="1296" t="str">
        <f t="shared" si="18"/>
        <v/>
      </c>
      <c r="J305" s="1296"/>
      <c r="K305" s="600" t="str">
        <f t="shared" si="19"/>
        <v/>
      </c>
      <c r="L305" s="591" t="str">
        <f t="shared" si="20"/>
        <v/>
      </c>
      <c r="M305" s="601" t="str">
        <f t="shared" si="24"/>
        <v/>
      </c>
      <c r="N305" s="601" t="str">
        <f t="shared" si="25"/>
        <v/>
      </c>
      <c r="O305" s="599" t="str">
        <f t="shared" si="21"/>
        <v/>
      </c>
      <c r="P305" s="601" t="str">
        <f t="shared" si="22"/>
        <v/>
      </c>
    </row>
    <row r="306" spans="1:16" s="220" customFormat="1" ht="18" hidden="1" customHeight="1">
      <c r="A306" s="591" t="str">
        <f t="shared" si="23"/>
        <v/>
      </c>
      <c r="B306" s="590">
        <f>LARGE($B$15:$B$264,36)</f>
        <v>0</v>
      </c>
      <c r="C306" s="599" t="str">
        <f t="shared" si="14"/>
        <v/>
      </c>
      <c r="D306" s="1295" t="str">
        <f t="shared" si="15"/>
        <v/>
      </c>
      <c r="E306" s="1295"/>
      <c r="F306" s="1295"/>
      <c r="G306" s="599" t="str">
        <f t="shared" si="16"/>
        <v/>
      </c>
      <c r="H306" s="599" t="str">
        <f t="shared" si="17"/>
        <v/>
      </c>
      <c r="I306" s="1296" t="str">
        <f t="shared" si="18"/>
        <v/>
      </c>
      <c r="J306" s="1296"/>
      <c r="K306" s="600" t="str">
        <f t="shared" si="19"/>
        <v/>
      </c>
      <c r="L306" s="591" t="str">
        <f t="shared" si="20"/>
        <v/>
      </c>
      <c r="M306" s="601" t="str">
        <f t="shared" si="24"/>
        <v/>
      </c>
      <c r="N306" s="601" t="str">
        <f t="shared" si="25"/>
        <v/>
      </c>
      <c r="O306" s="599" t="str">
        <f t="shared" si="21"/>
        <v/>
      </c>
      <c r="P306" s="601" t="str">
        <f t="shared" si="22"/>
        <v/>
      </c>
    </row>
    <row r="307" spans="1:16" s="220" customFormat="1" ht="18" hidden="1" customHeight="1">
      <c r="A307" s="591" t="str">
        <f t="shared" si="23"/>
        <v/>
      </c>
      <c r="B307" s="590">
        <f>LARGE($B$15:$B$264,37)</f>
        <v>0</v>
      </c>
      <c r="C307" s="599" t="str">
        <f t="shared" si="14"/>
        <v/>
      </c>
      <c r="D307" s="1295" t="str">
        <f t="shared" si="15"/>
        <v/>
      </c>
      <c r="E307" s="1295"/>
      <c r="F307" s="1295"/>
      <c r="G307" s="599" t="str">
        <f t="shared" si="16"/>
        <v/>
      </c>
      <c r="H307" s="599" t="str">
        <f t="shared" si="17"/>
        <v/>
      </c>
      <c r="I307" s="1296" t="str">
        <f t="shared" si="18"/>
        <v/>
      </c>
      <c r="J307" s="1296"/>
      <c r="K307" s="600" t="str">
        <f t="shared" si="19"/>
        <v/>
      </c>
      <c r="L307" s="591" t="str">
        <f t="shared" si="20"/>
        <v/>
      </c>
      <c r="M307" s="601" t="str">
        <f t="shared" si="24"/>
        <v/>
      </c>
      <c r="N307" s="601" t="str">
        <f t="shared" si="25"/>
        <v/>
      </c>
      <c r="O307" s="599" t="str">
        <f t="shared" si="21"/>
        <v/>
      </c>
      <c r="P307" s="601" t="str">
        <f t="shared" si="22"/>
        <v/>
      </c>
    </row>
    <row r="308" spans="1:16" s="220" customFormat="1" ht="18" hidden="1" customHeight="1">
      <c r="A308" s="591" t="str">
        <f t="shared" si="23"/>
        <v/>
      </c>
      <c r="B308" s="590">
        <f>LARGE($B$15:$B$264,38)</f>
        <v>0</v>
      </c>
      <c r="C308" s="599" t="str">
        <f t="shared" si="14"/>
        <v/>
      </c>
      <c r="D308" s="1295" t="str">
        <f t="shared" si="15"/>
        <v/>
      </c>
      <c r="E308" s="1295"/>
      <c r="F308" s="1295"/>
      <c r="G308" s="599" t="str">
        <f t="shared" si="16"/>
        <v/>
      </c>
      <c r="H308" s="599" t="str">
        <f t="shared" si="17"/>
        <v/>
      </c>
      <c r="I308" s="1296" t="str">
        <f t="shared" si="18"/>
        <v/>
      </c>
      <c r="J308" s="1296"/>
      <c r="K308" s="600" t="str">
        <f t="shared" si="19"/>
        <v/>
      </c>
      <c r="L308" s="591" t="str">
        <f t="shared" si="20"/>
        <v/>
      </c>
      <c r="M308" s="601" t="str">
        <f t="shared" si="24"/>
        <v/>
      </c>
      <c r="N308" s="601" t="str">
        <f t="shared" si="25"/>
        <v/>
      </c>
      <c r="O308" s="599" t="str">
        <f t="shared" si="21"/>
        <v/>
      </c>
      <c r="P308" s="601" t="str">
        <f t="shared" si="22"/>
        <v/>
      </c>
    </row>
    <row r="309" spans="1:16" s="220" customFormat="1" ht="18" hidden="1" customHeight="1">
      <c r="A309" s="591" t="str">
        <f t="shared" si="23"/>
        <v/>
      </c>
      <c r="B309" s="590">
        <f>LARGE($B$15:$B$264,39)</f>
        <v>0</v>
      </c>
      <c r="C309" s="599" t="str">
        <f t="shared" si="14"/>
        <v/>
      </c>
      <c r="D309" s="1295" t="str">
        <f t="shared" si="15"/>
        <v/>
      </c>
      <c r="E309" s="1295"/>
      <c r="F309" s="1295"/>
      <c r="G309" s="599" t="str">
        <f t="shared" si="16"/>
        <v/>
      </c>
      <c r="H309" s="599" t="str">
        <f t="shared" si="17"/>
        <v/>
      </c>
      <c r="I309" s="1296" t="str">
        <f t="shared" si="18"/>
        <v/>
      </c>
      <c r="J309" s="1296"/>
      <c r="K309" s="600" t="str">
        <f t="shared" si="19"/>
        <v/>
      </c>
      <c r="L309" s="591" t="str">
        <f t="shared" si="20"/>
        <v/>
      </c>
      <c r="M309" s="601" t="str">
        <f t="shared" si="24"/>
        <v/>
      </c>
      <c r="N309" s="601" t="str">
        <f t="shared" si="25"/>
        <v/>
      </c>
      <c r="O309" s="599" t="str">
        <f t="shared" si="21"/>
        <v/>
      </c>
      <c r="P309" s="601" t="str">
        <f t="shared" si="22"/>
        <v/>
      </c>
    </row>
    <row r="310" spans="1:16" s="220" customFormat="1" ht="18" hidden="1" customHeight="1">
      <c r="A310" s="591" t="str">
        <f t="shared" si="23"/>
        <v/>
      </c>
      <c r="B310" s="590">
        <f>LARGE($B$15:$B$264,40)</f>
        <v>0</v>
      </c>
      <c r="C310" s="599" t="str">
        <f t="shared" si="14"/>
        <v/>
      </c>
      <c r="D310" s="1295" t="str">
        <f t="shared" si="15"/>
        <v/>
      </c>
      <c r="E310" s="1295"/>
      <c r="F310" s="1295"/>
      <c r="G310" s="599" t="str">
        <f t="shared" si="16"/>
        <v/>
      </c>
      <c r="H310" s="599" t="str">
        <f t="shared" si="17"/>
        <v/>
      </c>
      <c r="I310" s="1296" t="str">
        <f t="shared" si="18"/>
        <v/>
      </c>
      <c r="J310" s="1296"/>
      <c r="K310" s="600" t="str">
        <f t="shared" si="19"/>
        <v/>
      </c>
      <c r="L310" s="591" t="str">
        <f t="shared" si="20"/>
        <v/>
      </c>
      <c r="M310" s="601" t="str">
        <f t="shared" si="24"/>
        <v/>
      </c>
      <c r="N310" s="601" t="str">
        <f t="shared" si="25"/>
        <v/>
      </c>
      <c r="O310" s="599" t="str">
        <f t="shared" si="21"/>
        <v/>
      </c>
      <c r="P310" s="601" t="str">
        <f t="shared" si="22"/>
        <v/>
      </c>
    </row>
    <row r="311" spans="1:16" s="220" customFormat="1" ht="18" hidden="1" customHeight="1">
      <c r="A311" s="591" t="str">
        <f t="shared" si="23"/>
        <v/>
      </c>
      <c r="B311" s="590">
        <f>LARGE($B$15:$B$264,41)</f>
        <v>0</v>
      </c>
      <c r="C311" s="599" t="str">
        <f t="shared" si="14"/>
        <v/>
      </c>
      <c r="D311" s="1295" t="str">
        <f t="shared" si="15"/>
        <v/>
      </c>
      <c r="E311" s="1295"/>
      <c r="F311" s="1295"/>
      <c r="G311" s="599" t="str">
        <f t="shared" si="16"/>
        <v/>
      </c>
      <c r="H311" s="599" t="str">
        <f t="shared" si="17"/>
        <v/>
      </c>
      <c r="I311" s="1296" t="str">
        <f t="shared" si="18"/>
        <v/>
      </c>
      <c r="J311" s="1296"/>
      <c r="K311" s="600" t="str">
        <f t="shared" si="19"/>
        <v/>
      </c>
      <c r="L311" s="591" t="str">
        <f t="shared" si="20"/>
        <v/>
      </c>
      <c r="M311" s="601" t="str">
        <f t="shared" si="24"/>
        <v/>
      </c>
      <c r="N311" s="601" t="str">
        <f t="shared" si="25"/>
        <v/>
      </c>
      <c r="O311" s="599" t="str">
        <f t="shared" si="21"/>
        <v/>
      </c>
      <c r="P311" s="601" t="str">
        <f t="shared" si="22"/>
        <v/>
      </c>
    </row>
    <row r="312" spans="1:16" s="220" customFormat="1" ht="18" hidden="1" customHeight="1">
      <c r="A312" s="591" t="str">
        <f t="shared" si="23"/>
        <v/>
      </c>
      <c r="B312" s="590">
        <f>LARGE($B$15:$B$264,42)</f>
        <v>0</v>
      </c>
      <c r="C312" s="599" t="str">
        <f t="shared" si="14"/>
        <v/>
      </c>
      <c r="D312" s="1295" t="str">
        <f t="shared" si="15"/>
        <v/>
      </c>
      <c r="E312" s="1295"/>
      <c r="F312" s="1295"/>
      <c r="G312" s="599" t="str">
        <f t="shared" si="16"/>
        <v/>
      </c>
      <c r="H312" s="599" t="str">
        <f t="shared" si="17"/>
        <v/>
      </c>
      <c r="I312" s="1296" t="str">
        <f t="shared" si="18"/>
        <v/>
      </c>
      <c r="J312" s="1296"/>
      <c r="K312" s="600" t="str">
        <f t="shared" si="19"/>
        <v/>
      </c>
      <c r="L312" s="591" t="str">
        <f t="shared" si="20"/>
        <v/>
      </c>
      <c r="M312" s="601" t="str">
        <f t="shared" si="24"/>
        <v/>
      </c>
      <c r="N312" s="601" t="str">
        <f t="shared" si="25"/>
        <v/>
      </c>
      <c r="O312" s="599" t="str">
        <f t="shared" si="21"/>
        <v/>
      </c>
      <c r="P312" s="601" t="str">
        <f t="shared" si="22"/>
        <v/>
      </c>
    </row>
    <row r="313" spans="1:16" s="220" customFormat="1" ht="18" hidden="1" customHeight="1">
      <c r="A313" s="591" t="str">
        <f t="shared" si="23"/>
        <v/>
      </c>
      <c r="B313" s="590">
        <f>LARGE($B$15:$B$264,43)</f>
        <v>0</v>
      </c>
      <c r="C313" s="599" t="str">
        <f t="shared" si="14"/>
        <v/>
      </c>
      <c r="D313" s="1295" t="str">
        <f t="shared" si="15"/>
        <v/>
      </c>
      <c r="E313" s="1295"/>
      <c r="F313" s="1295"/>
      <c r="G313" s="599" t="str">
        <f t="shared" si="16"/>
        <v/>
      </c>
      <c r="H313" s="599" t="str">
        <f t="shared" si="17"/>
        <v/>
      </c>
      <c r="I313" s="1296" t="str">
        <f t="shared" si="18"/>
        <v/>
      </c>
      <c r="J313" s="1296"/>
      <c r="K313" s="600" t="str">
        <f t="shared" si="19"/>
        <v/>
      </c>
      <c r="L313" s="591" t="str">
        <f t="shared" si="20"/>
        <v/>
      </c>
      <c r="M313" s="601" t="str">
        <f t="shared" si="24"/>
        <v/>
      </c>
      <c r="N313" s="601" t="str">
        <f t="shared" si="25"/>
        <v/>
      </c>
      <c r="O313" s="599" t="str">
        <f t="shared" si="21"/>
        <v/>
      </c>
      <c r="P313" s="601" t="str">
        <f t="shared" si="22"/>
        <v/>
      </c>
    </row>
    <row r="314" spans="1:16" s="220" customFormat="1" ht="18" hidden="1" customHeight="1">
      <c r="A314" s="591" t="str">
        <f t="shared" si="23"/>
        <v/>
      </c>
      <c r="B314" s="590">
        <f>LARGE($B$15:$B$264,44)</f>
        <v>0</v>
      </c>
      <c r="C314" s="599" t="str">
        <f t="shared" si="14"/>
        <v/>
      </c>
      <c r="D314" s="1295" t="str">
        <f t="shared" si="15"/>
        <v/>
      </c>
      <c r="E314" s="1295"/>
      <c r="F314" s="1295"/>
      <c r="G314" s="599" t="str">
        <f t="shared" si="16"/>
        <v/>
      </c>
      <c r="H314" s="599" t="str">
        <f t="shared" si="17"/>
        <v/>
      </c>
      <c r="I314" s="1296" t="str">
        <f t="shared" si="18"/>
        <v/>
      </c>
      <c r="J314" s="1296"/>
      <c r="K314" s="600" t="str">
        <f t="shared" si="19"/>
        <v/>
      </c>
      <c r="L314" s="591" t="str">
        <f t="shared" si="20"/>
        <v/>
      </c>
      <c r="M314" s="601" t="str">
        <f t="shared" si="24"/>
        <v/>
      </c>
      <c r="N314" s="601" t="str">
        <f t="shared" si="25"/>
        <v/>
      </c>
      <c r="O314" s="599" t="str">
        <f t="shared" si="21"/>
        <v/>
      </c>
      <c r="P314" s="601" t="str">
        <f t="shared" si="22"/>
        <v/>
      </c>
    </row>
    <row r="315" spans="1:16" s="220" customFormat="1" ht="18" hidden="1" customHeight="1">
      <c r="A315" s="591" t="str">
        <f t="shared" si="23"/>
        <v/>
      </c>
      <c r="B315" s="590">
        <f>LARGE($B$15:$B$264,45)</f>
        <v>0</v>
      </c>
      <c r="C315" s="599" t="str">
        <f t="shared" si="14"/>
        <v/>
      </c>
      <c r="D315" s="1295" t="str">
        <f t="shared" si="15"/>
        <v/>
      </c>
      <c r="E315" s="1295"/>
      <c r="F315" s="1295"/>
      <c r="G315" s="599" t="str">
        <f t="shared" si="16"/>
        <v/>
      </c>
      <c r="H315" s="599" t="str">
        <f t="shared" si="17"/>
        <v/>
      </c>
      <c r="I315" s="1296" t="str">
        <f t="shared" si="18"/>
        <v/>
      </c>
      <c r="J315" s="1296"/>
      <c r="K315" s="600" t="str">
        <f t="shared" si="19"/>
        <v/>
      </c>
      <c r="L315" s="591" t="str">
        <f t="shared" si="20"/>
        <v/>
      </c>
      <c r="M315" s="601" t="str">
        <f t="shared" si="24"/>
        <v/>
      </c>
      <c r="N315" s="601" t="str">
        <f t="shared" si="25"/>
        <v/>
      </c>
      <c r="O315" s="599" t="str">
        <f t="shared" si="21"/>
        <v/>
      </c>
      <c r="P315" s="601" t="str">
        <f t="shared" si="22"/>
        <v/>
      </c>
    </row>
    <row r="316" spans="1:16" s="220" customFormat="1" ht="18" hidden="1" customHeight="1">
      <c r="A316" s="591" t="str">
        <f t="shared" si="23"/>
        <v/>
      </c>
      <c r="B316" s="590">
        <f>LARGE($B$15:$B$264,46)</f>
        <v>0</v>
      </c>
      <c r="C316" s="599" t="str">
        <f t="shared" si="14"/>
        <v/>
      </c>
      <c r="D316" s="1295" t="str">
        <f t="shared" si="15"/>
        <v/>
      </c>
      <c r="E316" s="1295"/>
      <c r="F316" s="1295"/>
      <c r="G316" s="599" t="str">
        <f t="shared" si="16"/>
        <v/>
      </c>
      <c r="H316" s="599" t="str">
        <f t="shared" si="17"/>
        <v/>
      </c>
      <c r="I316" s="1296" t="str">
        <f t="shared" si="18"/>
        <v/>
      </c>
      <c r="J316" s="1296"/>
      <c r="K316" s="600" t="str">
        <f t="shared" si="19"/>
        <v/>
      </c>
      <c r="L316" s="591" t="str">
        <f t="shared" si="20"/>
        <v/>
      </c>
      <c r="M316" s="601" t="str">
        <f t="shared" si="24"/>
        <v/>
      </c>
      <c r="N316" s="601" t="str">
        <f t="shared" si="25"/>
        <v/>
      </c>
      <c r="O316" s="599" t="str">
        <f t="shared" si="21"/>
        <v/>
      </c>
      <c r="P316" s="601" t="str">
        <f t="shared" si="22"/>
        <v/>
      </c>
    </row>
    <row r="317" spans="1:16" s="220" customFormat="1" ht="18" hidden="1" customHeight="1">
      <c r="A317" s="591" t="str">
        <f t="shared" si="23"/>
        <v/>
      </c>
      <c r="B317" s="590">
        <f>LARGE($B$15:$B$264,47)</f>
        <v>0</v>
      </c>
      <c r="C317" s="599" t="str">
        <f t="shared" si="14"/>
        <v/>
      </c>
      <c r="D317" s="1295" t="str">
        <f t="shared" si="15"/>
        <v/>
      </c>
      <c r="E317" s="1295"/>
      <c r="F317" s="1295"/>
      <c r="G317" s="599" t="str">
        <f t="shared" si="16"/>
        <v/>
      </c>
      <c r="H317" s="599" t="str">
        <f t="shared" si="17"/>
        <v/>
      </c>
      <c r="I317" s="1296" t="str">
        <f t="shared" si="18"/>
        <v/>
      </c>
      <c r="J317" s="1296"/>
      <c r="K317" s="600" t="str">
        <f t="shared" si="19"/>
        <v/>
      </c>
      <c r="L317" s="591" t="str">
        <f t="shared" si="20"/>
        <v/>
      </c>
      <c r="M317" s="601" t="str">
        <f t="shared" si="24"/>
        <v/>
      </c>
      <c r="N317" s="601" t="str">
        <f t="shared" si="25"/>
        <v/>
      </c>
      <c r="O317" s="599" t="str">
        <f t="shared" si="21"/>
        <v/>
      </c>
      <c r="P317" s="601" t="str">
        <f t="shared" si="22"/>
        <v/>
      </c>
    </row>
    <row r="318" spans="1:16" s="220" customFormat="1" ht="18" hidden="1" customHeight="1">
      <c r="A318" s="591" t="str">
        <f t="shared" si="23"/>
        <v/>
      </c>
      <c r="B318" s="590">
        <f>LARGE($B$15:$B$264,48)</f>
        <v>0</v>
      </c>
      <c r="C318" s="599" t="str">
        <f t="shared" si="14"/>
        <v/>
      </c>
      <c r="D318" s="1295" t="str">
        <f t="shared" si="15"/>
        <v/>
      </c>
      <c r="E318" s="1295"/>
      <c r="F318" s="1295"/>
      <c r="G318" s="599" t="str">
        <f t="shared" si="16"/>
        <v/>
      </c>
      <c r="H318" s="599" t="str">
        <f t="shared" si="17"/>
        <v/>
      </c>
      <c r="I318" s="1296" t="str">
        <f t="shared" si="18"/>
        <v/>
      </c>
      <c r="J318" s="1296"/>
      <c r="K318" s="600" t="str">
        <f t="shared" si="19"/>
        <v/>
      </c>
      <c r="L318" s="591" t="str">
        <f t="shared" si="20"/>
        <v/>
      </c>
      <c r="M318" s="601" t="str">
        <f t="shared" si="24"/>
        <v/>
      </c>
      <c r="N318" s="601" t="str">
        <f t="shared" si="25"/>
        <v/>
      </c>
      <c r="O318" s="599" t="str">
        <f t="shared" si="21"/>
        <v/>
      </c>
      <c r="P318" s="601" t="str">
        <f t="shared" si="22"/>
        <v/>
      </c>
    </row>
    <row r="319" spans="1:16" s="220" customFormat="1" ht="18" hidden="1" customHeight="1">
      <c r="A319" s="591" t="str">
        <f t="shared" si="23"/>
        <v/>
      </c>
      <c r="B319" s="590">
        <f>LARGE($B$15:$B$264,49)</f>
        <v>0</v>
      </c>
      <c r="C319" s="599" t="str">
        <f t="shared" si="14"/>
        <v/>
      </c>
      <c r="D319" s="1295" t="str">
        <f t="shared" si="15"/>
        <v/>
      </c>
      <c r="E319" s="1295"/>
      <c r="F319" s="1295"/>
      <c r="G319" s="599" t="str">
        <f t="shared" si="16"/>
        <v/>
      </c>
      <c r="H319" s="599" t="str">
        <f t="shared" si="17"/>
        <v/>
      </c>
      <c r="I319" s="1296" t="str">
        <f t="shared" si="18"/>
        <v/>
      </c>
      <c r="J319" s="1296"/>
      <c r="K319" s="600" t="str">
        <f t="shared" si="19"/>
        <v/>
      </c>
      <c r="L319" s="591" t="str">
        <f t="shared" si="20"/>
        <v/>
      </c>
      <c r="M319" s="601" t="str">
        <f t="shared" si="24"/>
        <v/>
      </c>
      <c r="N319" s="601" t="str">
        <f t="shared" si="25"/>
        <v/>
      </c>
      <c r="O319" s="599" t="str">
        <f t="shared" si="21"/>
        <v/>
      </c>
      <c r="P319" s="601" t="str">
        <f t="shared" si="22"/>
        <v/>
      </c>
    </row>
    <row r="320" spans="1:16" s="220" customFormat="1" ht="18" hidden="1" customHeight="1">
      <c r="A320" s="591" t="str">
        <f t="shared" si="23"/>
        <v/>
      </c>
      <c r="B320" s="590">
        <f>LARGE($B$15:$B$264,50)</f>
        <v>0</v>
      </c>
      <c r="C320" s="599" t="str">
        <f t="shared" si="14"/>
        <v/>
      </c>
      <c r="D320" s="1295" t="str">
        <f t="shared" si="15"/>
        <v/>
      </c>
      <c r="E320" s="1295"/>
      <c r="F320" s="1295"/>
      <c r="G320" s="599" t="str">
        <f t="shared" si="16"/>
        <v/>
      </c>
      <c r="H320" s="599" t="str">
        <f t="shared" si="17"/>
        <v/>
      </c>
      <c r="I320" s="1296" t="str">
        <f t="shared" si="18"/>
        <v/>
      </c>
      <c r="J320" s="1296"/>
      <c r="K320" s="600" t="str">
        <f t="shared" si="19"/>
        <v/>
      </c>
      <c r="L320" s="591" t="str">
        <f t="shared" si="20"/>
        <v/>
      </c>
      <c r="M320" s="601" t="str">
        <f t="shared" si="24"/>
        <v/>
      </c>
      <c r="N320" s="601" t="str">
        <f t="shared" si="25"/>
        <v/>
      </c>
      <c r="O320" s="599" t="str">
        <f t="shared" si="21"/>
        <v/>
      </c>
      <c r="P320" s="601" t="str">
        <f t="shared" si="22"/>
        <v/>
      </c>
    </row>
    <row r="321" spans="1:16" s="220" customFormat="1" ht="18" hidden="1" customHeight="1">
      <c r="A321" s="591" t="str">
        <f t="shared" si="23"/>
        <v/>
      </c>
      <c r="B321" s="590">
        <f>LARGE($B$15:$B$264,51)</f>
        <v>0</v>
      </c>
      <c r="C321" s="599" t="str">
        <f t="shared" si="14"/>
        <v/>
      </c>
      <c r="D321" s="1295" t="str">
        <f t="shared" si="15"/>
        <v/>
      </c>
      <c r="E321" s="1295"/>
      <c r="F321" s="1295"/>
      <c r="G321" s="599" t="str">
        <f t="shared" si="16"/>
        <v/>
      </c>
      <c r="H321" s="599" t="str">
        <f t="shared" si="17"/>
        <v/>
      </c>
      <c r="I321" s="1296" t="str">
        <f t="shared" si="18"/>
        <v/>
      </c>
      <c r="J321" s="1296"/>
      <c r="K321" s="600" t="str">
        <f t="shared" si="19"/>
        <v/>
      </c>
      <c r="L321" s="591" t="str">
        <f t="shared" si="20"/>
        <v/>
      </c>
      <c r="M321" s="601" t="str">
        <f t="shared" si="24"/>
        <v/>
      </c>
      <c r="N321" s="601" t="str">
        <f t="shared" si="25"/>
        <v/>
      </c>
      <c r="O321" s="599" t="str">
        <f t="shared" si="21"/>
        <v/>
      </c>
      <c r="P321" s="601" t="str">
        <f t="shared" si="22"/>
        <v/>
      </c>
    </row>
    <row r="322" spans="1:16" s="220" customFormat="1" ht="18" hidden="1" customHeight="1">
      <c r="A322" s="591" t="str">
        <f t="shared" si="23"/>
        <v/>
      </c>
      <c r="B322" s="590">
        <f>LARGE($B$15:$B$264,52)</f>
        <v>0</v>
      </c>
      <c r="C322" s="599" t="str">
        <f t="shared" si="14"/>
        <v/>
      </c>
      <c r="D322" s="1295" t="str">
        <f t="shared" si="15"/>
        <v/>
      </c>
      <c r="E322" s="1295"/>
      <c r="F322" s="1295"/>
      <c r="G322" s="599" t="str">
        <f t="shared" si="16"/>
        <v/>
      </c>
      <c r="H322" s="599" t="str">
        <f t="shared" si="17"/>
        <v/>
      </c>
      <c r="I322" s="1296" t="str">
        <f t="shared" si="18"/>
        <v/>
      </c>
      <c r="J322" s="1296"/>
      <c r="K322" s="600" t="str">
        <f t="shared" si="19"/>
        <v/>
      </c>
      <c r="L322" s="591" t="str">
        <f t="shared" si="20"/>
        <v/>
      </c>
      <c r="M322" s="601" t="str">
        <f t="shared" si="24"/>
        <v/>
      </c>
      <c r="N322" s="601" t="str">
        <f t="shared" si="25"/>
        <v/>
      </c>
      <c r="O322" s="599" t="str">
        <f t="shared" si="21"/>
        <v/>
      </c>
      <c r="P322" s="601" t="str">
        <f t="shared" si="22"/>
        <v/>
      </c>
    </row>
    <row r="323" spans="1:16" s="220" customFormat="1" ht="18" hidden="1" customHeight="1">
      <c r="A323" s="591" t="str">
        <f t="shared" si="23"/>
        <v/>
      </c>
      <c r="B323" s="590">
        <f>LARGE($B$15:$B$264,53)</f>
        <v>0</v>
      </c>
      <c r="C323" s="599" t="str">
        <f t="shared" si="14"/>
        <v/>
      </c>
      <c r="D323" s="1295" t="str">
        <f t="shared" si="15"/>
        <v/>
      </c>
      <c r="E323" s="1295"/>
      <c r="F323" s="1295"/>
      <c r="G323" s="599" t="str">
        <f t="shared" si="16"/>
        <v/>
      </c>
      <c r="H323" s="599" t="str">
        <f t="shared" si="17"/>
        <v/>
      </c>
      <c r="I323" s="1296" t="str">
        <f t="shared" si="18"/>
        <v/>
      </c>
      <c r="J323" s="1296"/>
      <c r="K323" s="600" t="str">
        <f t="shared" si="19"/>
        <v/>
      </c>
      <c r="L323" s="591" t="str">
        <f t="shared" si="20"/>
        <v/>
      </c>
      <c r="M323" s="601" t="str">
        <f t="shared" si="24"/>
        <v/>
      </c>
      <c r="N323" s="601" t="str">
        <f t="shared" si="25"/>
        <v/>
      </c>
      <c r="O323" s="599" t="str">
        <f t="shared" si="21"/>
        <v/>
      </c>
      <c r="P323" s="601" t="str">
        <f t="shared" si="22"/>
        <v/>
      </c>
    </row>
    <row r="324" spans="1:16" s="220" customFormat="1" ht="18" hidden="1" customHeight="1">
      <c r="A324" s="591" t="str">
        <f t="shared" si="23"/>
        <v/>
      </c>
      <c r="B324" s="590">
        <f>LARGE($B$15:$B$264,54)</f>
        <v>0</v>
      </c>
      <c r="C324" s="599" t="str">
        <f t="shared" si="14"/>
        <v/>
      </c>
      <c r="D324" s="1295" t="str">
        <f t="shared" si="15"/>
        <v/>
      </c>
      <c r="E324" s="1295"/>
      <c r="F324" s="1295"/>
      <c r="G324" s="599" t="str">
        <f t="shared" si="16"/>
        <v/>
      </c>
      <c r="H324" s="599" t="str">
        <f t="shared" si="17"/>
        <v/>
      </c>
      <c r="I324" s="1296" t="str">
        <f t="shared" si="18"/>
        <v/>
      </c>
      <c r="J324" s="1296"/>
      <c r="K324" s="600" t="str">
        <f t="shared" si="19"/>
        <v/>
      </c>
      <c r="L324" s="591" t="str">
        <f t="shared" si="20"/>
        <v/>
      </c>
      <c r="M324" s="601" t="str">
        <f t="shared" si="24"/>
        <v/>
      </c>
      <c r="N324" s="601" t="str">
        <f t="shared" si="25"/>
        <v/>
      </c>
      <c r="O324" s="599" t="str">
        <f t="shared" si="21"/>
        <v/>
      </c>
      <c r="P324" s="601" t="str">
        <f t="shared" si="22"/>
        <v/>
      </c>
    </row>
    <row r="325" spans="1:16" s="220" customFormat="1" ht="18" hidden="1" customHeight="1">
      <c r="A325" s="591" t="str">
        <f t="shared" si="23"/>
        <v/>
      </c>
      <c r="B325" s="590">
        <f>LARGE($B$15:$B$264,55)</f>
        <v>0</v>
      </c>
      <c r="C325" s="599" t="str">
        <f t="shared" si="14"/>
        <v/>
      </c>
      <c r="D325" s="1295" t="str">
        <f t="shared" si="15"/>
        <v/>
      </c>
      <c r="E325" s="1295"/>
      <c r="F325" s="1295"/>
      <c r="G325" s="599" t="str">
        <f t="shared" si="16"/>
        <v/>
      </c>
      <c r="H325" s="599" t="str">
        <f t="shared" si="17"/>
        <v/>
      </c>
      <c r="I325" s="1296" t="str">
        <f t="shared" si="18"/>
        <v/>
      </c>
      <c r="J325" s="1296"/>
      <c r="K325" s="600" t="str">
        <f t="shared" si="19"/>
        <v/>
      </c>
      <c r="L325" s="591" t="str">
        <f t="shared" si="20"/>
        <v/>
      </c>
      <c r="M325" s="601" t="str">
        <f t="shared" si="24"/>
        <v/>
      </c>
      <c r="N325" s="601" t="str">
        <f t="shared" si="25"/>
        <v/>
      </c>
      <c r="O325" s="599" t="str">
        <f t="shared" si="21"/>
        <v/>
      </c>
      <c r="P325" s="601" t="str">
        <f t="shared" si="22"/>
        <v/>
      </c>
    </row>
    <row r="326" spans="1:16" s="220" customFormat="1" ht="18" hidden="1" customHeight="1">
      <c r="A326" s="591" t="str">
        <f t="shared" si="23"/>
        <v/>
      </c>
      <c r="B326" s="590">
        <f>LARGE($B$15:$B$264,56)</f>
        <v>0</v>
      </c>
      <c r="C326" s="599" t="str">
        <f t="shared" si="14"/>
        <v/>
      </c>
      <c r="D326" s="1295" t="str">
        <f t="shared" si="15"/>
        <v/>
      </c>
      <c r="E326" s="1295"/>
      <c r="F326" s="1295"/>
      <c r="G326" s="599" t="str">
        <f t="shared" si="16"/>
        <v/>
      </c>
      <c r="H326" s="599" t="str">
        <f t="shared" si="17"/>
        <v/>
      </c>
      <c r="I326" s="1296" t="str">
        <f t="shared" si="18"/>
        <v/>
      </c>
      <c r="J326" s="1296"/>
      <c r="K326" s="600" t="str">
        <f t="shared" si="19"/>
        <v/>
      </c>
      <c r="L326" s="591" t="str">
        <f t="shared" si="20"/>
        <v/>
      </c>
      <c r="M326" s="601" t="str">
        <f t="shared" si="24"/>
        <v/>
      </c>
      <c r="N326" s="601" t="str">
        <f t="shared" si="25"/>
        <v/>
      </c>
      <c r="O326" s="599" t="str">
        <f t="shared" si="21"/>
        <v/>
      </c>
      <c r="P326" s="601" t="str">
        <f t="shared" si="22"/>
        <v/>
      </c>
    </row>
    <row r="327" spans="1:16" s="220" customFormat="1" ht="18" hidden="1" customHeight="1">
      <c r="A327" s="591" t="str">
        <f t="shared" si="23"/>
        <v/>
      </c>
      <c r="B327" s="590">
        <f>LARGE($B$15:$B$264,57)</f>
        <v>0</v>
      </c>
      <c r="C327" s="599" t="str">
        <f t="shared" si="14"/>
        <v/>
      </c>
      <c r="D327" s="1295" t="str">
        <f t="shared" si="15"/>
        <v/>
      </c>
      <c r="E327" s="1295"/>
      <c r="F327" s="1295"/>
      <c r="G327" s="599" t="str">
        <f t="shared" si="16"/>
        <v/>
      </c>
      <c r="H327" s="599" t="str">
        <f t="shared" si="17"/>
        <v/>
      </c>
      <c r="I327" s="1296" t="str">
        <f t="shared" si="18"/>
        <v/>
      </c>
      <c r="J327" s="1296"/>
      <c r="K327" s="600" t="str">
        <f t="shared" si="19"/>
        <v/>
      </c>
      <c r="L327" s="591" t="str">
        <f t="shared" si="20"/>
        <v/>
      </c>
      <c r="M327" s="601" t="str">
        <f t="shared" si="24"/>
        <v/>
      </c>
      <c r="N327" s="601" t="str">
        <f t="shared" si="25"/>
        <v/>
      </c>
      <c r="O327" s="599" t="str">
        <f t="shared" si="21"/>
        <v/>
      </c>
      <c r="P327" s="601" t="str">
        <f t="shared" si="22"/>
        <v/>
      </c>
    </row>
    <row r="328" spans="1:16" s="220" customFormat="1" ht="18" hidden="1" customHeight="1">
      <c r="A328" s="591" t="str">
        <f t="shared" si="23"/>
        <v/>
      </c>
      <c r="B328" s="590">
        <f>LARGE($B$15:$B$264,58)</f>
        <v>0</v>
      </c>
      <c r="C328" s="599" t="str">
        <f t="shared" si="14"/>
        <v/>
      </c>
      <c r="D328" s="1295" t="str">
        <f t="shared" si="15"/>
        <v/>
      </c>
      <c r="E328" s="1295"/>
      <c r="F328" s="1295"/>
      <c r="G328" s="599" t="str">
        <f t="shared" si="16"/>
        <v/>
      </c>
      <c r="H328" s="599" t="str">
        <f t="shared" si="17"/>
        <v/>
      </c>
      <c r="I328" s="1296" t="str">
        <f t="shared" si="18"/>
        <v/>
      </c>
      <c r="J328" s="1296"/>
      <c r="K328" s="600" t="str">
        <f t="shared" si="19"/>
        <v/>
      </c>
      <c r="L328" s="591" t="str">
        <f t="shared" si="20"/>
        <v/>
      </c>
      <c r="M328" s="601" t="str">
        <f t="shared" si="24"/>
        <v/>
      </c>
      <c r="N328" s="601" t="str">
        <f t="shared" si="25"/>
        <v/>
      </c>
      <c r="O328" s="599" t="str">
        <f t="shared" si="21"/>
        <v/>
      </c>
      <c r="P328" s="601" t="str">
        <f t="shared" si="22"/>
        <v/>
      </c>
    </row>
    <row r="329" spans="1:16" s="220" customFormat="1" ht="18" hidden="1" customHeight="1">
      <c r="A329" s="591" t="str">
        <f t="shared" si="23"/>
        <v/>
      </c>
      <c r="B329" s="590">
        <f>LARGE($B$15:$B$264,59)</f>
        <v>0</v>
      </c>
      <c r="C329" s="599" t="str">
        <f t="shared" si="14"/>
        <v/>
      </c>
      <c r="D329" s="1295" t="str">
        <f t="shared" si="15"/>
        <v/>
      </c>
      <c r="E329" s="1295"/>
      <c r="F329" s="1295"/>
      <c r="G329" s="599" t="str">
        <f t="shared" si="16"/>
        <v/>
      </c>
      <c r="H329" s="599" t="str">
        <f t="shared" si="17"/>
        <v/>
      </c>
      <c r="I329" s="1296" t="str">
        <f t="shared" si="18"/>
        <v/>
      </c>
      <c r="J329" s="1296"/>
      <c r="K329" s="600" t="str">
        <f t="shared" si="19"/>
        <v/>
      </c>
      <c r="L329" s="591" t="str">
        <f t="shared" si="20"/>
        <v/>
      </c>
      <c r="M329" s="601" t="str">
        <f t="shared" si="24"/>
        <v/>
      </c>
      <c r="N329" s="601" t="str">
        <f t="shared" si="25"/>
        <v/>
      </c>
      <c r="O329" s="599" t="str">
        <f t="shared" si="21"/>
        <v/>
      </c>
      <c r="P329" s="601" t="str">
        <f t="shared" si="22"/>
        <v/>
      </c>
    </row>
    <row r="330" spans="1:16" s="220" customFormat="1" ht="18" hidden="1" customHeight="1">
      <c r="A330" s="591" t="str">
        <f t="shared" si="23"/>
        <v/>
      </c>
      <c r="B330" s="590">
        <f>LARGE($B$15:$B$264,60)</f>
        <v>0</v>
      </c>
      <c r="C330" s="599" t="str">
        <f t="shared" si="14"/>
        <v/>
      </c>
      <c r="D330" s="1295" t="str">
        <f t="shared" si="15"/>
        <v/>
      </c>
      <c r="E330" s="1295"/>
      <c r="F330" s="1295"/>
      <c r="G330" s="599" t="str">
        <f t="shared" si="16"/>
        <v/>
      </c>
      <c r="H330" s="599" t="str">
        <f t="shared" si="17"/>
        <v/>
      </c>
      <c r="I330" s="1296" t="str">
        <f t="shared" si="18"/>
        <v/>
      </c>
      <c r="J330" s="1296"/>
      <c r="K330" s="600" t="str">
        <f t="shared" si="19"/>
        <v/>
      </c>
      <c r="L330" s="591" t="str">
        <f t="shared" si="20"/>
        <v/>
      </c>
      <c r="M330" s="601" t="str">
        <f t="shared" si="24"/>
        <v/>
      </c>
      <c r="N330" s="601" t="str">
        <f t="shared" si="25"/>
        <v/>
      </c>
      <c r="O330" s="599" t="str">
        <f t="shared" si="21"/>
        <v/>
      </c>
      <c r="P330" s="601" t="str">
        <f t="shared" si="22"/>
        <v/>
      </c>
    </row>
    <row r="331" spans="1:16" s="220" customFormat="1" ht="18" hidden="1" customHeight="1">
      <c r="A331" s="591" t="str">
        <f t="shared" si="23"/>
        <v/>
      </c>
      <c r="B331" s="590">
        <f>LARGE($B$15:$B$264,61)</f>
        <v>0</v>
      </c>
      <c r="C331" s="599" t="str">
        <f t="shared" si="14"/>
        <v/>
      </c>
      <c r="D331" s="1295" t="str">
        <f t="shared" si="15"/>
        <v/>
      </c>
      <c r="E331" s="1295"/>
      <c r="F331" s="1295"/>
      <c r="G331" s="599" t="str">
        <f t="shared" si="16"/>
        <v/>
      </c>
      <c r="H331" s="599" t="str">
        <f t="shared" si="17"/>
        <v/>
      </c>
      <c r="I331" s="1296" t="str">
        <f t="shared" si="18"/>
        <v/>
      </c>
      <c r="J331" s="1296"/>
      <c r="K331" s="600" t="str">
        <f t="shared" si="19"/>
        <v/>
      </c>
      <c r="L331" s="591" t="str">
        <f t="shared" si="20"/>
        <v/>
      </c>
      <c r="M331" s="601" t="str">
        <f t="shared" si="24"/>
        <v/>
      </c>
      <c r="N331" s="601" t="str">
        <f t="shared" si="25"/>
        <v/>
      </c>
      <c r="O331" s="599" t="str">
        <f t="shared" si="21"/>
        <v/>
      </c>
      <c r="P331" s="601" t="str">
        <f t="shared" si="22"/>
        <v/>
      </c>
    </row>
    <row r="332" spans="1:16" s="220" customFormat="1" ht="18" hidden="1" customHeight="1">
      <c r="A332" s="591" t="str">
        <f t="shared" si="23"/>
        <v/>
      </c>
      <c r="B332" s="590">
        <f>LARGE($B$15:$B$264,62)</f>
        <v>0</v>
      </c>
      <c r="C332" s="599" t="str">
        <f t="shared" si="14"/>
        <v/>
      </c>
      <c r="D332" s="1295" t="str">
        <f t="shared" si="15"/>
        <v/>
      </c>
      <c r="E332" s="1295"/>
      <c r="F332" s="1295"/>
      <c r="G332" s="599" t="str">
        <f t="shared" si="16"/>
        <v/>
      </c>
      <c r="H332" s="599" t="str">
        <f t="shared" si="17"/>
        <v/>
      </c>
      <c r="I332" s="1296" t="str">
        <f t="shared" si="18"/>
        <v/>
      </c>
      <c r="J332" s="1296"/>
      <c r="K332" s="600" t="str">
        <f t="shared" si="19"/>
        <v/>
      </c>
      <c r="L332" s="591" t="str">
        <f t="shared" si="20"/>
        <v/>
      </c>
      <c r="M332" s="601" t="str">
        <f t="shared" si="24"/>
        <v/>
      </c>
      <c r="N332" s="601" t="str">
        <f t="shared" si="25"/>
        <v/>
      </c>
      <c r="O332" s="599" t="str">
        <f t="shared" si="21"/>
        <v/>
      </c>
      <c r="P332" s="601" t="str">
        <f t="shared" si="22"/>
        <v/>
      </c>
    </row>
    <row r="333" spans="1:16" s="220" customFormat="1" ht="18" hidden="1" customHeight="1">
      <c r="A333" s="591" t="str">
        <f t="shared" si="23"/>
        <v/>
      </c>
      <c r="B333" s="590">
        <f>LARGE($B$15:$B$264,63)</f>
        <v>0</v>
      </c>
      <c r="C333" s="599" t="str">
        <f t="shared" si="14"/>
        <v/>
      </c>
      <c r="D333" s="1295" t="str">
        <f t="shared" si="15"/>
        <v/>
      </c>
      <c r="E333" s="1295"/>
      <c r="F333" s="1295"/>
      <c r="G333" s="599" t="str">
        <f t="shared" si="16"/>
        <v/>
      </c>
      <c r="H333" s="599" t="str">
        <f t="shared" si="17"/>
        <v/>
      </c>
      <c r="I333" s="1296" t="str">
        <f t="shared" si="18"/>
        <v/>
      </c>
      <c r="J333" s="1296"/>
      <c r="K333" s="600" t="str">
        <f t="shared" si="19"/>
        <v/>
      </c>
      <c r="L333" s="591" t="str">
        <f t="shared" si="20"/>
        <v/>
      </c>
      <c r="M333" s="601" t="str">
        <f t="shared" si="24"/>
        <v/>
      </c>
      <c r="N333" s="601" t="str">
        <f t="shared" si="25"/>
        <v/>
      </c>
      <c r="O333" s="599" t="str">
        <f t="shared" si="21"/>
        <v/>
      </c>
      <c r="P333" s="601" t="str">
        <f t="shared" si="22"/>
        <v/>
      </c>
    </row>
    <row r="334" spans="1:16" s="220" customFormat="1" ht="18" hidden="1" customHeight="1">
      <c r="A334" s="591" t="str">
        <f t="shared" si="23"/>
        <v/>
      </c>
      <c r="B334" s="590">
        <f>LARGE($B$15:$B$264,64)</f>
        <v>0</v>
      </c>
      <c r="C334" s="599" t="str">
        <f t="shared" si="14"/>
        <v/>
      </c>
      <c r="D334" s="1295" t="str">
        <f t="shared" si="15"/>
        <v/>
      </c>
      <c r="E334" s="1295"/>
      <c r="F334" s="1295"/>
      <c r="G334" s="599" t="str">
        <f t="shared" si="16"/>
        <v/>
      </c>
      <c r="H334" s="599" t="str">
        <f t="shared" si="17"/>
        <v/>
      </c>
      <c r="I334" s="1296" t="str">
        <f t="shared" si="18"/>
        <v/>
      </c>
      <c r="J334" s="1296"/>
      <c r="K334" s="600" t="str">
        <f t="shared" si="19"/>
        <v/>
      </c>
      <c r="L334" s="591" t="str">
        <f t="shared" si="20"/>
        <v/>
      </c>
      <c r="M334" s="601" t="str">
        <f t="shared" si="24"/>
        <v/>
      </c>
      <c r="N334" s="601" t="str">
        <f t="shared" si="25"/>
        <v/>
      </c>
      <c r="O334" s="599" t="str">
        <f t="shared" si="21"/>
        <v/>
      </c>
      <c r="P334" s="601" t="str">
        <f t="shared" si="22"/>
        <v/>
      </c>
    </row>
    <row r="335" spans="1:16" s="220" customFormat="1" ht="18" hidden="1" customHeight="1">
      <c r="A335" s="591" t="str">
        <f t="shared" si="23"/>
        <v/>
      </c>
      <c r="B335" s="590">
        <f>LARGE($B$15:$B$264,65)</f>
        <v>0</v>
      </c>
      <c r="C335" s="599" t="str">
        <f t="shared" si="14"/>
        <v/>
      </c>
      <c r="D335" s="1295" t="str">
        <f t="shared" si="15"/>
        <v/>
      </c>
      <c r="E335" s="1295"/>
      <c r="F335" s="1295"/>
      <c r="G335" s="599" t="str">
        <f t="shared" si="16"/>
        <v/>
      </c>
      <c r="H335" s="599" t="str">
        <f t="shared" si="17"/>
        <v/>
      </c>
      <c r="I335" s="1296" t="str">
        <f t="shared" si="18"/>
        <v/>
      </c>
      <c r="J335" s="1296"/>
      <c r="K335" s="600" t="str">
        <f t="shared" si="19"/>
        <v/>
      </c>
      <c r="L335" s="591" t="str">
        <f t="shared" si="20"/>
        <v/>
      </c>
      <c r="M335" s="601" t="str">
        <f t="shared" si="24"/>
        <v/>
      </c>
      <c r="N335" s="601" t="str">
        <f t="shared" si="25"/>
        <v/>
      </c>
      <c r="O335" s="599" t="str">
        <f t="shared" si="21"/>
        <v/>
      </c>
      <c r="P335" s="601" t="str">
        <f t="shared" si="22"/>
        <v/>
      </c>
    </row>
    <row r="336" spans="1:16" s="220" customFormat="1" ht="18" hidden="1" customHeight="1">
      <c r="A336" s="591" t="str">
        <f t="shared" ref="A336:A399" si="26">P336</f>
        <v/>
      </c>
      <c r="B336" s="590">
        <f>LARGE($B$15:$B$264,66)</f>
        <v>0</v>
      </c>
      <c r="C336" s="599" t="str">
        <f t="shared" ref="C336:C399" si="27">IFERROR(IF(B336=0,"",VLOOKUP(B336,$B$15:$J$264,2,FALSE)),"")</f>
        <v/>
      </c>
      <c r="D336" s="1295" t="str">
        <f t="shared" ref="D336:D399" si="28">IFERROR(IF(B336=0,"",VLOOKUP(B336,$B$15:$J$264,3,FALSE)),"")</f>
        <v/>
      </c>
      <c r="E336" s="1295"/>
      <c r="F336" s="1295"/>
      <c r="G336" s="599" t="str">
        <f t="shared" ref="G336:G399" si="29">IFERROR(IF(B336=0,"",VLOOKUP(B336,$B$15:$J$264,6,FALSE)),"")</f>
        <v/>
      </c>
      <c r="H336" s="599" t="str">
        <f t="shared" ref="H336:H399" si="30">IFERROR(IF(B336=0,"",VLOOKUP(B336,$B$15:$J$264,7,FALSE)),"")</f>
        <v/>
      </c>
      <c r="I336" s="1296" t="str">
        <f t="shared" ref="I336:I399" si="31">IF(B336=0,"",VLOOKUP(B336,$B$15:$J$264,8,FALSE))</f>
        <v/>
      </c>
      <c r="J336" s="1296"/>
      <c r="K336" s="600" t="str">
        <f t="shared" ref="K336:K399" si="32">IF(B336=0,"",H336*I336)</f>
        <v/>
      </c>
      <c r="L336" s="591" t="str">
        <f t="shared" ref="L336:L399" si="33">O336</f>
        <v/>
      </c>
      <c r="M336" s="601" t="str">
        <f t="shared" ref="M336:M399" si="34">IF(B336=0,"",B336)</f>
        <v/>
      </c>
      <c r="N336" s="601" t="str">
        <f t="shared" si="25"/>
        <v/>
      </c>
      <c r="O336" s="599" t="str">
        <f t="shared" ref="O336:O399" si="35">IF(B336=0,"",(IF(N336&lt;80%,"Si","No")))</f>
        <v/>
      </c>
      <c r="P336" s="601" t="str">
        <f t="shared" ref="P336:P399" si="36">IF(B336=0,"",(IF(M336=$M$521,"Si",(IF(M336&gt;$M$521,"Si","No")))))</f>
        <v/>
      </c>
    </row>
    <row r="337" spans="1:16" s="220" customFormat="1" ht="18" hidden="1" customHeight="1">
      <c r="A337" s="591" t="str">
        <f t="shared" si="26"/>
        <v/>
      </c>
      <c r="B337" s="590">
        <f>LARGE($B$15:$B$264,67)</f>
        <v>0</v>
      </c>
      <c r="C337" s="599" t="str">
        <f t="shared" si="27"/>
        <v/>
      </c>
      <c r="D337" s="1295" t="str">
        <f t="shared" si="28"/>
        <v/>
      </c>
      <c r="E337" s="1295"/>
      <c r="F337" s="1295"/>
      <c r="G337" s="599" t="str">
        <f t="shared" si="29"/>
        <v/>
      </c>
      <c r="H337" s="599" t="str">
        <f t="shared" si="30"/>
        <v/>
      </c>
      <c r="I337" s="1296" t="str">
        <f t="shared" si="31"/>
        <v/>
      </c>
      <c r="J337" s="1296"/>
      <c r="K337" s="600" t="str">
        <f t="shared" si="32"/>
        <v/>
      </c>
      <c r="L337" s="591" t="str">
        <f t="shared" si="33"/>
        <v/>
      </c>
      <c r="M337" s="601" t="str">
        <f t="shared" si="34"/>
        <v/>
      </c>
      <c r="N337" s="601" t="str">
        <f t="shared" ref="N337:N400" si="37">IF(B337=0,"",M337+N336)</f>
        <v/>
      </c>
      <c r="O337" s="599" t="str">
        <f t="shared" si="35"/>
        <v/>
      </c>
      <c r="P337" s="601" t="str">
        <f t="shared" si="36"/>
        <v/>
      </c>
    </row>
    <row r="338" spans="1:16" s="220" customFormat="1" ht="18" hidden="1" customHeight="1">
      <c r="A338" s="591" t="str">
        <f t="shared" si="26"/>
        <v/>
      </c>
      <c r="B338" s="590">
        <f>LARGE($B$15:$B$264,68)</f>
        <v>0</v>
      </c>
      <c r="C338" s="599" t="str">
        <f t="shared" si="27"/>
        <v/>
      </c>
      <c r="D338" s="1295" t="str">
        <f t="shared" si="28"/>
        <v/>
      </c>
      <c r="E338" s="1295"/>
      <c r="F338" s="1295"/>
      <c r="G338" s="599" t="str">
        <f t="shared" si="29"/>
        <v/>
      </c>
      <c r="H338" s="599" t="str">
        <f t="shared" si="30"/>
        <v/>
      </c>
      <c r="I338" s="1296" t="str">
        <f t="shared" si="31"/>
        <v/>
      </c>
      <c r="J338" s="1296"/>
      <c r="K338" s="600" t="str">
        <f t="shared" si="32"/>
        <v/>
      </c>
      <c r="L338" s="591" t="str">
        <f t="shared" si="33"/>
        <v/>
      </c>
      <c r="M338" s="601" t="str">
        <f t="shared" si="34"/>
        <v/>
      </c>
      <c r="N338" s="601" t="str">
        <f t="shared" si="37"/>
        <v/>
      </c>
      <c r="O338" s="599" t="str">
        <f t="shared" si="35"/>
        <v/>
      </c>
      <c r="P338" s="601" t="str">
        <f t="shared" si="36"/>
        <v/>
      </c>
    </row>
    <row r="339" spans="1:16" s="220" customFormat="1" ht="18" hidden="1" customHeight="1">
      <c r="A339" s="591" t="str">
        <f t="shared" si="26"/>
        <v/>
      </c>
      <c r="B339" s="590">
        <f>LARGE($B$15:$B$264,69)</f>
        <v>0</v>
      </c>
      <c r="C339" s="599" t="str">
        <f t="shared" si="27"/>
        <v/>
      </c>
      <c r="D339" s="1295" t="str">
        <f t="shared" si="28"/>
        <v/>
      </c>
      <c r="E339" s="1295"/>
      <c r="F339" s="1295"/>
      <c r="G339" s="599" t="str">
        <f t="shared" si="29"/>
        <v/>
      </c>
      <c r="H339" s="599" t="str">
        <f t="shared" si="30"/>
        <v/>
      </c>
      <c r="I339" s="1296" t="str">
        <f t="shared" si="31"/>
        <v/>
      </c>
      <c r="J339" s="1296"/>
      <c r="K339" s="600" t="str">
        <f t="shared" si="32"/>
        <v/>
      </c>
      <c r="L339" s="591" t="str">
        <f t="shared" si="33"/>
        <v/>
      </c>
      <c r="M339" s="601" t="str">
        <f t="shared" si="34"/>
        <v/>
      </c>
      <c r="N339" s="601" t="str">
        <f t="shared" si="37"/>
        <v/>
      </c>
      <c r="O339" s="599" t="str">
        <f t="shared" si="35"/>
        <v/>
      </c>
      <c r="P339" s="601" t="str">
        <f t="shared" si="36"/>
        <v/>
      </c>
    </row>
    <row r="340" spans="1:16" s="220" customFormat="1" ht="18" hidden="1" customHeight="1">
      <c r="A340" s="591" t="str">
        <f t="shared" si="26"/>
        <v/>
      </c>
      <c r="B340" s="590">
        <f>LARGE($B$15:$B$264,70)</f>
        <v>0</v>
      </c>
      <c r="C340" s="599" t="str">
        <f t="shared" si="27"/>
        <v/>
      </c>
      <c r="D340" s="1295" t="str">
        <f t="shared" si="28"/>
        <v/>
      </c>
      <c r="E340" s="1295"/>
      <c r="F340" s="1295"/>
      <c r="G340" s="599" t="str">
        <f t="shared" si="29"/>
        <v/>
      </c>
      <c r="H340" s="599" t="str">
        <f t="shared" si="30"/>
        <v/>
      </c>
      <c r="I340" s="1296" t="str">
        <f t="shared" si="31"/>
        <v/>
      </c>
      <c r="J340" s="1296"/>
      <c r="K340" s="600" t="str">
        <f t="shared" si="32"/>
        <v/>
      </c>
      <c r="L340" s="591" t="str">
        <f t="shared" si="33"/>
        <v/>
      </c>
      <c r="M340" s="601" t="str">
        <f t="shared" si="34"/>
        <v/>
      </c>
      <c r="N340" s="601" t="str">
        <f t="shared" si="37"/>
        <v/>
      </c>
      <c r="O340" s="599" t="str">
        <f t="shared" si="35"/>
        <v/>
      </c>
      <c r="P340" s="601" t="str">
        <f t="shared" si="36"/>
        <v/>
      </c>
    </row>
    <row r="341" spans="1:16" s="220" customFormat="1" ht="18" hidden="1" customHeight="1">
      <c r="A341" s="591" t="str">
        <f t="shared" si="26"/>
        <v/>
      </c>
      <c r="B341" s="590">
        <f>LARGE($B$15:$B$264,71)</f>
        <v>0</v>
      </c>
      <c r="C341" s="599" t="str">
        <f t="shared" si="27"/>
        <v/>
      </c>
      <c r="D341" s="1295" t="str">
        <f t="shared" si="28"/>
        <v/>
      </c>
      <c r="E341" s="1295"/>
      <c r="F341" s="1295"/>
      <c r="G341" s="599" t="str">
        <f t="shared" si="29"/>
        <v/>
      </c>
      <c r="H341" s="599" t="str">
        <f t="shared" si="30"/>
        <v/>
      </c>
      <c r="I341" s="1296" t="str">
        <f t="shared" si="31"/>
        <v/>
      </c>
      <c r="J341" s="1296"/>
      <c r="K341" s="600" t="str">
        <f t="shared" si="32"/>
        <v/>
      </c>
      <c r="L341" s="591" t="str">
        <f t="shared" si="33"/>
        <v/>
      </c>
      <c r="M341" s="601" t="str">
        <f t="shared" si="34"/>
        <v/>
      </c>
      <c r="N341" s="601" t="str">
        <f t="shared" si="37"/>
        <v/>
      </c>
      <c r="O341" s="599" t="str">
        <f t="shared" si="35"/>
        <v/>
      </c>
      <c r="P341" s="601" t="str">
        <f t="shared" si="36"/>
        <v/>
      </c>
    </row>
    <row r="342" spans="1:16" s="220" customFormat="1" ht="18" hidden="1" customHeight="1">
      <c r="A342" s="591" t="str">
        <f t="shared" si="26"/>
        <v/>
      </c>
      <c r="B342" s="590">
        <f>LARGE($B$15:$B$264,72)</f>
        <v>0</v>
      </c>
      <c r="C342" s="599" t="str">
        <f t="shared" si="27"/>
        <v/>
      </c>
      <c r="D342" s="1295" t="str">
        <f t="shared" si="28"/>
        <v/>
      </c>
      <c r="E342" s="1295"/>
      <c r="F342" s="1295"/>
      <c r="G342" s="599" t="str">
        <f t="shared" si="29"/>
        <v/>
      </c>
      <c r="H342" s="599" t="str">
        <f t="shared" si="30"/>
        <v/>
      </c>
      <c r="I342" s="1296" t="str">
        <f t="shared" si="31"/>
        <v/>
      </c>
      <c r="J342" s="1296"/>
      <c r="K342" s="600" t="str">
        <f t="shared" si="32"/>
        <v/>
      </c>
      <c r="L342" s="591" t="str">
        <f t="shared" si="33"/>
        <v/>
      </c>
      <c r="M342" s="601" t="str">
        <f t="shared" si="34"/>
        <v/>
      </c>
      <c r="N342" s="601" t="str">
        <f t="shared" si="37"/>
        <v/>
      </c>
      <c r="O342" s="599" t="str">
        <f t="shared" si="35"/>
        <v/>
      </c>
      <c r="P342" s="601" t="str">
        <f t="shared" si="36"/>
        <v/>
      </c>
    </row>
    <row r="343" spans="1:16" s="220" customFormat="1" ht="18" hidden="1" customHeight="1">
      <c r="A343" s="591" t="str">
        <f t="shared" si="26"/>
        <v/>
      </c>
      <c r="B343" s="590">
        <f>LARGE($B$15:$B$264,73)</f>
        <v>0</v>
      </c>
      <c r="C343" s="599" t="str">
        <f t="shared" si="27"/>
        <v/>
      </c>
      <c r="D343" s="1295" t="str">
        <f t="shared" si="28"/>
        <v/>
      </c>
      <c r="E343" s="1295"/>
      <c r="F343" s="1295"/>
      <c r="G343" s="599" t="str">
        <f t="shared" si="29"/>
        <v/>
      </c>
      <c r="H343" s="599" t="str">
        <f t="shared" si="30"/>
        <v/>
      </c>
      <c r="I343" s="1296" t="str">
        <f t="shared" si="31"/>
        <v/>
      </c>
      <c r="J343" s="1296"/>
      <c r="K343" s="600" t="str">
        <f t="shared" si="32"/>
        <v/>
      </c>
      <c r="L343" s="591" t="str">
        <f t="shared" si="33"/>
        <v/>
      </c>
      <c r="M343" s="601" t="str">
        <f t="shared" si="34"/>
        <v/>
      </c>
      <c r="N343" s="601" t="str">
        <f t="shared" si="37"/>
        <v/>
      </c>
      <c r="O343" s="599" t="str">
        <f t="shared" si="35"/>
        <v/>
      </c>
      <c r="P343" s="601" t="str">
        <f t="shared" si="36"/>
        <v/>
      </c>
    </row>
    <row r="344" spans="1:16" s="220" customFormat="1" ht="18" hidden="1" customHeight="1">
      <c r="A344" s="591" t="str">
        <f t="shared" si="26"/>
        <v/>
      </c>
      <c r="B344" s="590">
        <f>LARGE($B$15:$B$264,74)</f>
        <v>0</v>
      </c>
      <c r="C344" s="599" t="str">
        <f t="shared" si="27"/>
        <v/>
      </c>
      <c r="D344" s="1295" t="str">
        <f t="shared" si="28"/>
        <v/>
      </c>
      <c r="E344" s="1295"/>
      <c r="F344" s="1295"/>
      <c r="G344" s="599" t="str">
        <f t="shared" si="29"/>
        <v/>
      </c>
      <c r="H344" s="599" t="str">
        <f t="shared" si="30"/>
        <v/>
      </c>
      <c r="I344" s="1296" t="str">
        <f t="shared" si="31"/>
        <v/>
      </c>
      <c r="J344" s="1296"/>
      <c r="K344" s="600" t="str">
        <f t="shared" si="32"/>
        <v/>
      </c>
      <c r="L344" s="591" t="str">
        <f t="shared" si="33"/>
        <v/>
      </c>
      <c r="M344" s="601" t="str">
        <f t="shared" si="34"/>
        <v/>
      </c>
      <c r="N344" s="601" t="str">
        <f t="shared" si="37"/>
        <v/>
      </c>
      <c r="O344" s="599" t="str">
        <f t="shared" si="35"/>
        <v/>
      </c>
      <c r="P344" s="601" t="str">
        <f t="shared" si="36"/>
        <v/>
      </c>
    </row>
    <row r="345" spans="1:16" s="220" customFormat="1" ht="18" hidden="1" customHeight="1">
      <c r="A345" s="591" t="str">
        <f t="shared" si="26"/>
        <v/>
      </c>
      <c r="B345" s="590">
        <f>LARGE($B$15:$B$264,75)</f>
        <v>0</v>
      </c>
      <c r="C345" s="599" t="str">
        <f t="shared" si="27"/>
        <v/>
      </c>
      <c r="D345" s="1295" t="str">
        <f t="shared" si="28"/>
        <v/>
      </c>
      <c r="E345" s="1295"/>
      <c r="F345" s="1295"/>
      <c r="G345" s="599" t="str">
        <f t="shared" si="29"/>
        <v/>
      </c>
      <c r="H345" s="599" t="str">
        <f t="shared" si="30"/>
        <v/>
      </c>
      <c r="I345" s="1296" t="str">
        <f t="shared" si="31"/>
        <v/>
      </c>
      <c r="J345" s="1296"/>
      <c r="K345" s="600" t="str">
        <f t="shared" si="32"/>
        <v/>
      </c>
      <c r="L345" s="591" t="str">
        <f t="shared" si="33"/>
        <v/>
      </c>
      <c r="M345" s="601" t="str">
        <f t="shared" si="34"/>
        <v/>
      </c>
      <c r="N345" s="601" t="str">
        <f t="shared" si="37"/>
        <v/>
      </c>
      <c r="O345" s="599" t="str">
        <f t="shared" si="35"/>
        <v/>
      </c>
      <c r="P345" s="601" t="str">
        <f t="shared" si="36"/>
        <v/>
      </c>
    </row>
    <row r="346" spans="1:16" s="220" customFormat="1" ht="18" hidden="1" customHeight="1">
      <c r="A346" s="591" t="str">
        <f t="shared" si="26"/>
        <v/>
      </c>
      <c r="B346" s="590">
        <f>LARGE($B$15:$B$264,76)</f>
        <v>0</v>
      </c>
      <c r="C346" s="599" t="str">
        <f t="shared" si="27"/>
        <v/>
      </c>
      <c r="D346" s="1295" t="str">
        <f t="shared" si="28"/>
        <v/>
      </c>
      <c r="E346" s="1295"/>
      <c r="F346" s="1295"/>
      <c r="G346" s="599" t="str">
        <f t="shared" si="29"/>
        <v/>
      </c>
      <c r="H346" s="599" t="str">
        <f t="shared" si="30"/>
        <v/>
      </c>
      <c r="I346" s="1296" t="str">
        <f t="shared" si="31"/>
        <v/>
      </c>
      <c r="J346" s="1296"/>
      <c r="K346" s="600" t="str">
        <f t="shared" si="32"/>
        <v/>
      </c>
      <c r="L346" s="591" t="str">
        <f t="shared" si="33"/>
        <v/>
      </c>
      <c r="M346" s="601" t="str">
        <f t="shared" si="34"/>
        <v/>
      </c>
      <c r="N346" s="601" t="str">
        <f t="shared" si="37"/>
        <v/>
      </c>
      <c r="O346" s="599" t="str">
        <f t="shared" si="35"/>
        <v/>
      </c>
      <c r="P346" s="601" t="str">
        <f t="shared" si="36"/>
        <v/>
      </c>
    </row>
    <row r="347" spans="1:16" s="220" customFormat="1" ht="18" hidden="1" customHeight="1">
      <c r="A347" s="591" t="str">
        <f t="shared" si="26"/>
        <v/>
      </c>
      <c r="B347" s="590">
        <f>LARGE($B$15:$B$264,77)</f>
        <v>0</v>
      </c>
      <c r="C347" s="599" t="str">
        <f t="shared" si="27"/>
        <v/>
      </c>
      <c r="D347" s="1295" t="str">
        <f t="shared" si="28"/>
        <v/>
      </c>
      <c r="E347" s="1295"/>
      <c r="F347" s="1295"/>
      <c r="G347" s="599" t="str">
        <f t="shared" si="29"/>
        <v/>
      </c>
      <c r="H347" s="599" t="str">
        <f t="shared" si="30"/>
        <v/>
      </c>
      <c r="I347" s="1296" t="str">
        <f t="shared" si="31"/>
        <v/>
      </c>
      <c r="J347" s="1296"/>
      <c r="K347" s="600" t="str">
        <f t="shared" si="32"/>
        <v/>
      </c>
      <c r="L347" s="591" t="str">
        <f t="shared" si="33"/>
        <v/>
      </c>
      <c r="M347" s="601" t="str">
        <f t="shared" si="34"/>
        <v/>
      </c>
      <c r="N347" s="601" t="str">
        <f t="shared" si="37"/>
        <v/>
      </c>
      <c r="O347" s="599" t="str">
        <f t="shared" si="35"/>
        <v/>
      </c>
      <c r="P347" s="601" t="str">
        <f t="shared" si="36"/>
        <v/>
      </c>
    </row>
    <row r="348" spans="1:16" s="220" customFormat="1" ht="18" hidden="1" customHeight="1">
      <c r="A348" s="591" t="str">
        <f t="shared" si="26"/>
        <v/>
      </c>
      <c r="B348" s="590">
        <f>LARGE($B$15:$B$264,78)</f>
        <v>0</v>
      </c>
      <c r="C348" s="599" t="str">
        <f t="shared" si="27"/>
        <v/>
      </c>
      <c r="D348" s="1295" t="str">
        <f t="shared" si="28"/>
        <v/>
      </c>
      <c r="E348" s="1295"/>
      <c r="F348" s="1295"/>
      <c r="G348" s="599" t="str">
        <f t="shared" si="29"/>
        <v/>
      </c>
      <c r="H348" s="599" t="str">
        <f t="shared" si="30"/>
        <v/>
      </c>
      <c r="I348" s="1296" t="str">
        <f t="shared" si="31"/>
        <v/>
      </c>
      <c r="J348" s="1296"/>
      <c r="K348" s="600" t="str">
        <f t="shared" si="32"/>
        <v/>
      </c>
      <c r="L348" s="591" t="str">
        <f t="shared" si="33"/>
        <v/>
      </c>
      <c r="M348" s="601" t="str">
        <f t="shared" si="34"/>
        <v/>
      </c>
      <c r="N348" s="601" t="str">
        <f t="shared" si="37"/>
        <v/>
      </c>
      <c r="O348" s="599" t="str">
        <f t="shared" si="35"/>
        <v/>
      </c>
      <c r="P348" s="601" t="str">
        <f t="shared" si="36"/>
        <v/>
      </c>
    </row>
    <row r="349" spans="1:16" s="220" customFormat="1" ht="18" hidden="1" customHeight="1">
      <c r="A349" s="591" t="str">
        <f t="shared" si="26"/>
        <v/>
      </c>
      <c r="B349" s="590">
        <f>LARGE($B$15:$B$264,79)</f>
        <v>0</v>
      </c>
      <c r="C349" s="599" t="str">
        <f t="shared" si="27"/>
        <v/>
      </c>
      <c r="D349" s="1295" t="str">
        <f t="shared" si="28"/>
        <v/>
      </c>
      <c r="E349" s="1295"/>
      <c r="F349" s="1295"/>
      <c r="G349" s="599" t="str">
        <f t="shared" si="29"/>
        <v/>
      </c>
      <c r="H349" s="599" t="str">
        <f t="shared" si="30"/>
        <v/>
      </c>
      <c r="I349" s="1296" t="str">
        <f t="shared" si="31"/>
        <v/>
      </c>
      <c r="J349" s="1296"/>
      <c r="K349" s="600" t="str">
        <f t="shared" si="32"/>
        <v/>
      </c>
      <c r="L349" s="591" t="str">
        <f t="shared" si="33"/>
        <v/>
      </c>
      <c r="M349" s="601" t="str">
        <f t="shared" si="34"/>
        <v/>
      </c>
      <c r="N349" s="601" t="str">
        <f t="shared" si="37"/>
        <v/>
      </c>
      <c r="O349" s="599" t="str">
        <f t="shared" si="35"/>
        <v/>
      </c>
      <c r="P349" s="601" t="str">
        <f t="shared" si="36"/>
        <v/>
      </c>
    </row>
    <row r="350" spans="1:16" s="220" customFormat="1" ht="18" hidden="1" customHeight="1">
      <c r="A350" s="591" t="str">
        <f t="shared" si="26"/>
        <v/>
      </c>
      <c r="B350" s="590">
        <f>LARGE($B$15:$B$264,80)</f>
        <v>0</v>
      </c>
      <c r="C350" s="599" t="str">
        <f t="shared" si="27"/>
        <v/>
      </c>
      <c r="D350" s="1295" t="str">
        <f t="shared" si="28"/>
        <v/>
      </c>
      <c r="E350" s="1295"/>
      <c r="F350" s="1295"/>
      <c r="G350" s="599" t="str">
        <f t="shared" si="29"/>
        <v/>
      </c>
      <c r="H350" s="599" t="str">
        <f t="shared" si="30"/>
        <v/>
      </c>
      <c r="I350" s="1296" t="str">
        <f t="shared" si="31"/>
        <v/>
      </c>
      <c r="J350" s="1296"/>
      <c r="K350" s="600" t="str">
        <f t="shared" si="32"/>
        <v/>
      </c>
      <c r="L350" s="591" t="str">
        <f t="shared" si="33"/>
        <v/>
      </c>
      <c r="M350" s="601" t="str">
        <f t="shared" si="34"/>
        <v/>
      </c>
      <c r="N350" s="601" t="str">
        <f t="shared" si="37"/>
        <v/>
      </c>
      <c r="O350" s="599" t="str">
        <f t="shared" si="35"/>
        <v/>
      </c>
      <c r="P350" s="601" t="str">
        <f t="shared" si="36"/>
        <v/>
      </c>
    </row>
    <row r="351" spans="1:16" s="220" customFormat="1" ht="18" hidden="1" customHeight="1">
      <c r="A351" s="591" t="str">
        <f t="shared" si="26"/>
        <v/>
      </c>
      <c r="B351" s="590">
        <f>LARGE($B$15:$B$264,81)</f>
        <v>0</v>
      </c>
      <c r="C351" s="599" t="str">
        <f t="shared" si="27"/>
        <v/>
      </c>
      <c r="D351" s="1295" t="str">
        <f t="shared" si="28"/>
        <v/>
      </c>
      <c r="E351" s="1295"/>
      <c r="F351" s="1295"/>
      <c r="G351" s="599" t="str">
        <f t="shared" si="29"/>
        <v/>
      </c>
      <c r="H351" s="599" t="str">
        <f t="shared" si="30"/>
        <v/>
      </c>
      <c r="I351" s="1296" t="str">
        <f t="shared" si="31"/>
        <v/>
      </c>
      <c r="J351" s="1296"/>
      <c r="K351" s="600" t="str">
        <f t="shared" si="32"/>
        <v/>
      </c>
      <c r="L351" s="591" t="str">
        <f t="shared" si="33"/>
        <v/>
      </c>
      <c r="M351" s="601" t="str">
        <f t="shared" si="34"/>
        <v/>
      </c>
      <c r="N351" s="601" t="str">
        <f t="shared" si="37"/>
        <v/>
      </c>
      <c r="O351" s="599" t="str">
        <f t="shared" si="35"/>
        <v/>
      </c>
      <c r="P351" s="601" t="str">
        <f t="shared" si="36"/>
        <v/>
      </c>
    </row>
    <row r="352" spans="1:16" s="220" customFormat="1" ht="18" hidden="1" customHeight="1">
      <c r="A352" s="591" t="str">
        <f t="shared" si="26"/>
        <v/>
      </c>
      <c r="B352" s="590">
        <f>LARGE($B$15:$B$264,82)</f>
        <v>0</v>
      </c>
      <c r="C352" s="599" t="str">
        <f t="shared" si="27"/>
        <v/>
      </c>
      <c r="D352" s="1295" t="str">
        <f t="shared" si="28"/>
        <v/>
      </c>
      <c r="E352" s="1295"/>
      <c r="F352" s="1295"/>
      <c r="G352" s="599" t="str">
        <f t="shared" si="29"/>
        <v/>
      </c>
      <c r="H352" s="599" t="str">
        <f t="shared" si="30"/>
        <v/>
      </c>
      <c r="I352" s="1296" t="str">
        <f t="shared" si="31"/>
        <v/>
      </c>
      <c r="J352" s="1296"/>
      <c r="K352" s="600" t="str">
        <f t="shared" si="32"/>
        <v/>
      </c>
      <c r="L352" s="591" t="str">
        <f t="shared" si="33"/>
        <v/>
      </c>
      <c r="M352" s="601" t="str">
        <f t="shared" si="34"/>
        <v/>
      </c>
      <c r="N352" s="601" t="str">
        <f t="shared" si="37"/>
        <v/>
      </c>
      <c r="O352" s="599" t="str">
        <f t="shared" si="35"/>
        <v/>
      </c>
      <c r="P352" s="601" t="str">
        <f t="shared" si="36"/>
        <v/>
      </c>
    </row>
    <row r="353" spans="1:16" s="220" customFormat="1" ht="18" hidden="1" customHeight="1">
      <c r="A353" s="591" t="str">
        <f t="shared" si="26"/>
        <v/>
      </c>
      <c r="B353" s="590">
        <f>LARGE($B$15:$B$264,83)</f>
        <v>0</v>
      </c>
      <c r="C353" s="599" t="str">
        <f t="shared" si="27"/>
        <v/>
      </c>
      <c r="D353" s="1295" t="str">
        <f t="shared" si="28"/>
        <v/>
      </c>
      <c r="E353" s="1295"/>
      <c r="F353" s="1295"/>
      <c r="G353" s="599" t="str">
        <f t="shared" si="29"/>
        <v/>
      </c>
      <c r="H353" s="599" t="str">
        <f t="shared" si="30"/>
        <v/>
      </c>
      <c r="I353" s="1296" t="str">
        <f t="shared" si="31"/>
        <v/>
      </c>
      <c r="J353" s="1296"/>
      <c r="K353" s="600" t="str">
        <f t="shared" si="32"/>
        <v/>
      </c>
      <c r="L353" s="591" t="str">
        <f t="shared" si="33"/>
        <v/>
      </c>
      <c r="M353" s="601" t="str">
        <f t="shared" si="34"/>
        <v/>
      </c>
      <c r="N353" s="601" t="str">
        <f t="shared" si="37"/>
        <v/>
      </c>
      <c r="O353" s="599" t="str">
        <f t="shared" si="35"/>
        <v/>
      </c>
      <c r="P353" s="601" t="str">
        <f t="shared" si="36"/>
        <v/>
      </c>
    </row>
    <row r="354" spans="1:16" s="220" customFormat="1" ht="18" hidden="1" customHeight="1">
      <c r="A354" s="591" t="str">
        <f t="shared" si="26"/>
        <v/>
      </c>
      <c r="B354" s="590">
        <f>LARGE($B$15:$B$264,84)</f>
        <v>0</v>
      </c>
      <c r="C354" s="599" t="str">
        <f t="shared" si="27"/>
        <v/>
      </c>
      <c r="D354" s="1295" t="str">
        <f t="shared" si="28"/>
        <v/>
      </c>
      <c r="E354" s="1295"/>
      <c r="F354" s="1295"/>
      <c r="G354" s="599" t="str">
        <f t="shared" si="29"/>
        <v/>
      </c>
      <c r="H354" s="599" t="str">
        <f t="shared" si="30"/>
        <v/>
      </c>
      <c r="I354" s="1296" t="str">
        <f t="shared" si="31"/>
        <v/>
      </c>
      <c r="J354" s="1296"/>
      <c r="K354" s="600" t="str">
        <f t="shared" si="32"/>
        <v/>
      </c>
      <c r="L354" s="591" t="str">
        <f t="shared" si="33"/>
        <v/>
      </c>
      <c r="M354" s="601" t="str">
        <f t="shared" si="34"/>
        <v/>
      </c>
      <c r="N354" s="601" t="str">
        <f t="shared" si="37"/>
        <v/>
      </c>
      <c r="O354" s="599" t="str">
        <f t="shared" si="35"/>
        <v/>
      </c>
      <c r="P354" s="601" t="str">
        <f t="shared" si="36"/>
        <v/>
      </c>
    </row>
    <row r="355" spans="1:16" s="220" customFormat="1" ht="18" hidden="1" customHeight="1">
      <c r="A355" s="591" t="str">
        <f t="shared" si="26"/>
        <v/>
      </c>
      <c r="B355" s="590">
        <f>LARGE($B$15:$B$264,85)</f>
        <v>0</v>
      </c>
      <c r="C355" s="599" t="str">
        <f t="shared" si="27"/>
        <v/>
      </c>
      <c r="D355" s="1295" t="str">
        <f t="shared" si="28"/>
        <v/>
      </c>
      <c r="E355" s="1295"/>
      <c r="F355" s="1295"/>
      <c r="G355" s="599" t="str">
        <f t="shared" si="29"/>
        <v/>
      </c>
      <c r="H355" s="599" t="str">
        <f t="shared" si="30"/>
        <v/>
      </c>
      <c r="I355" s="1296" t="str">
        <f t="shared" si="31"/>
        <v/>
      </c>
      <c r="J355" s="1296"/>
      <c r="K355" s="600" t="str">
        <f t="shared" si="32"/>
        <v/>
      </c>
      <c r="L355" s="591" t="str">
        <f t="shared" si="33"/>
        <v/>
      </c>
      <c r="M355" s="601" t="str">
        <f t="shared" si="34"/>
        <v/>
      </c>
      <c r="N355" s="601" t="str">
        <f t="shared" si="37"/>
        <v/>
      </c>
      <c r="O355" s="599" t="str">
        <f t="shared" si="35"/>
        <v/>
      </c>
      <c r="P355" s="601" t="str">
        <f t="shared" si="36"/>
        <v/>
      </c>
    </row>
    <row r="356" spans="1:16" s="220" customFormat="1" ht="18" hidden="1" customHeight="1">
      <c r="A356" s="591" t="str">
        <f t="shared" si="26"/>
        <v/>
      </c>
      <c r="B356" s="590">
        <f>LARGE($B$15:$B$264,86)</f>
        <v>0</v>
      </c>
      <c r="C356" s="599" t="str">
        <f t="shared" si="27"/>
        <v/>
      </c>
      <c r="D356" s="1295" t="str">
        <f t="shared" si="28"/>
        <v/>
      </c>
      <c r="E356" s="1295"/>
      <c r="F356" s="1295"/>
      <c r="G356" s="599" t="str">
        <f t="shared" si="29"/>
        <v/>
      </c>
      <c r="H356" s="599" t="str">
        <f t="shared" si="30"/>
        <v/>
      </c>
      <c r="I356" s="1296" t="str">
        <f t="shared" si="31"/>
        <v/>
      </c>
      <c r="J356" s="1296"/>
      <c r="K356" s="600" t="str">
        <f t="shared" si="32"/>
        <v/>
      </c>
      <c r="L356" s="591" t="str">
        <f t="shared" si="33"/>
        <v/>
      </c>
      <c r="M356" s="601" t="str">
        <f t="shared" si="34"/>
        <v/>
      </c>
      <c r="N356" s="601" t="str">
        <f t="shared" si="37"/>
        <v/>
      </c>
      <c r="O356" s="599" t="str">
        <f t="shared" si="35"/>
        <v/>
      </c>
      <c r="P356" s="601" t="str">
        <f t="shared" si="36"/>
        <v/>
      </c>
    </row>
    <row r="357" spans="1:16" s="220" customFormat="1" ht="18" hidden="1" customHeight="1">
      <c r="A357" s="591" t="str">
        <f t="shared" si="26"/>
        <v/>
      </c>
      <c r="B357" s="590">
        <f>LARGE($B$15:$B$264,87)</f>
        <v>0</v>
      </c>
      <c r="C357" s="599" t="str">
        <f t="shared" si="27"/>
        <v/>
      </c>
      <c r="D357" s="1295" t="str">
        <f t="shared" si="28"/>
        <v/>
      </c>
      <c r="E357" s="1295"/>
      <c r="F357" s="1295"/>
      <c r="G357" s="599" t="str">
        <f t="shared" si="29"/>
        <v/>
      </c>
      <c r="H357" s="599" t="str">
        <f t="shared" si="30"/>
        <v/>
      </c>
      <c r="I357" s="1296" t="str">
        <f t="shared" si="31"/>
        <v/>
      </c>
      <c r="J357" s="1296"/>
      <c r="K357" s="600" t="str">
        <f t="shared" si="32"/>
        <v/>
      </c>
      <c r="L357" s="591" t="str">
        <f t="shared" si="33"/>
        <v/>
      </c>
      <c r="M357" s="601" t="str">
        <f t="shared" si="34"/>
        <v/>
      </c>
      <c r="N357" s="601" t="str">
        <f t="shared" si="37"/>
        <v/>
      </c>
      <c r="O357" s="599" t="str">
        <f t="shared" si="35"/>
        <v/>
      </c>
      <c r="P357" s="601" t="str">
        <f t="shared" si="36"/>
        <v/>
      </c>
    </row>
    <row r="358" spans="1:16" s="220" customFormat="1" ht="18" hidden="1" customHeight="1">
      <c r="A358" s="591" t="str">
        <f t="shared" si="26"/>
        <v/>
      </c>
      <c r="B358" s="590">
        <f>LARGE($B$15:$B$264,88)</f>
        <v>0</v>
      </c>
      <c r="C358" s="599" t="str">
        <f t="shared" si="27"/>
        <v/>
      </c>
      <c r="D358" s="1295" t="str">
        <f t="shared" si="28"/>
        <v/>
      </c>
      <c r="E358" s="1295"/>
      <c r="F358" s="1295"/>
      <c r="G358" s="599" t="str">
        <f t="shared" si="29"/>
        <v/>
      </c>
      <c r="H358" s="599" t="str">
        <f t="shared" si="30"/>
        <v/>
      </c>
      <c r="I358" s="1296" t="str">
        <f t="shared" si="31"/>
        <v/>
      </c>
      <c r="J358" s="1296"/>
      <c r="K358" s="600" t="str">
        <f t="shared" si="32"/>
        <v/>
      </c>
      <c r="L358" s="591" t="str">
        <f t="shared" si="33"/>
        <v/>
      </c>
      <c r="M358" s="601" t="str">
        <f t="shared" si="34"/>
        <v/>
      </c>
      <c r="N358" s="601" t="str">
        <f t="shared" si="37"/>
        <v/>
      </c>
      <c r="O358" s="599" t="str">
        <f t="shared" si="35"/>
        <v/>
      </c>
      <c r="P358" s="601" t="str">
        <f t="shared" si="36"/>
        <v/>
      </c>
    </row>
    <row r="359" spans="1:16" s="220" customFormat="1" ht="18" hidden="1" customHeight="1">
      <c r="A359" s="591" t="str">
        <f t="shared" si="26"/>
        <v/>
      </c>
      <c r="B359" s="590">
        <f>LARGE($B$15:$B$264,89)</f>
        <v>0</v>
      </c>
      <c r="C359" s="599" t="str">
        <f t="shared" si="27"/>
        <v/>
      </c>
      <c r="D359" s="1295" t="str">
        <f t="shared" si="28"/>
        <v/>
      </c>
      <c r="E359" s="1295"/>
      <c r="F359" s="1295"/>
      <c r="G359" s="599" t="str">
        <f t="shared" si="29"/>
        <v/>
      </c>
      <c r="H359" s="599" t="str">
        <f t="shared" si="30"/>
        <v/>
      </c>
      <c r="I359" s="1296" t="str">
        <f t="shared" si="31"/>
        <v/>
      </c>
      <c r="J359" s="1296"/>
      <c r="K359" s="600" t="str">
        <f t="shared" si="32"/>
        <v/>
      </c>
      <c r="L359" s="591" t="str">
        <f t="shared" si="33"/>
        <v/>
      </c>
      <c r="M359" s="601" t="str">
        <f t="shared" si="34"/>
        <v/>
      </c>
      <c r="N359" s="601" t="str">
        <f t="shared" si="37"/>
        <v/>
      </c>
      <c r="O359" s="599" t="str">
        <f t="shared" si="35"/>
        <v/>
      </c>
      <c r="P359" s="601" t="str">
        <f t="shared" si="36"/>
        <v/>
      </c>
    </row>
    <row r="360" spans="1:16" s="220" customFormat="1" ht="18" hidden="1" customHeight="1">
      <c r="A360" s="591" t="str">
        <f t="shared" si="26"/>
        <v/>
      </c>
      <c r="B360" s="590">
        <f>LARGE($B$15:$B$264,90)</f>
        <v>0</v>
      </c>
      <c r="C360" s="599" t="str">
        <f t="shared" si="27"/>
        <v/>
      </c>
      <c r="D360" s="1295" t="str">
        <f t="shared" si="28"/>
        <v/>
      </c>
      <c r="E360" s="1295"/>
      <c r="F360" s="1295"/>
      <c r="G360" s="599" t="str">
        <f t="shared" si="29"/>
        <v/>
      </c>
      <c r="H360" s="599" t="str">
        <f t="shared" si="30"/>
        <v/>
      </c>
      <c r="I360" s="1296" t="str">
        <f t="shared" si="31"/>
        <v/>
      </c>
      <c r="J360" s="1296"/>
      <c r="K360" s="600" t="str">
        <f t="shared" si="32"/>
        <v/>
      </c>
      <c r="L360" s="591" t="str">
        <f t="shared" si="33"/>
        <v/>
      </c>
      <c r="M360" s="601" t="str">
        <f t="shared" si="34"/>
        <v/>
      </c>
      <c r="N360" s="601" t="str">
        <f t="shared" si="37"/>
        <v/>
      </c>
      <c r="O360" s="599" t="str">
        <f t="shared" si="35"/>
        <v/>
      </c>
      <c r="P360" s="601" t="str">
        <f t="shared" si="36"/>
        <v/>
      </c>
    </row>
    <row r="361" spans="1:16" s="220" customFormat="1" ht="18" hidden="1" customHeight="1">
      <c r="A361" s="591" t="str">
        <f t="shared" si="26"/>
        <v/>
      </c>
      <c r="B361" s="590">
        <f>LARGE($B$15:$B$264,91)</f>
        <v>0</v>
      </c>
      <c r="C361" s="599" t="str">
        <f t="shared" si="27"/>
        <v/>
      </c>
      <c r="D361" s="1295" t="str">
        <f t="shared" si="28"/>
        <v/>
      </c>
      <c r="E361" s="1295"/>
      <c r="F361" s="1295"/>
      <c r="G361" s="599" t="str">
        <f t="shared" si="29"/>
        <v/>
      </c>
      <c r="H361" s="599" t="str">
        <f t="shared" si="30"/>
        <v/>
      </c>
      <c r="I361" s="1296" t="str">
        <f t="shared" si="31"/>
        <v/>
      </c>
      <c r="J361" s="1296"/>
      <c r="K361" s="600" t="str">
        <f t="shared" si="32"/>
        <v/>
      </c>
      <c r="L361" s="591" t="str">
        <f t="shared" si="33"/>
        <v/>
      </c>
      <c r="M361" s="601" t="str">
        <f t="shared" si="34"/>
        <v/>
      </c>
      <c r="N361" s="601" t="str">
        <f t="shared" si="37"/>
        <v/>
      </c>
      <c r="O361" s="599" t="str">
        <f t="shared" si="35"/>
        <v/>
      </c>
      <c r="P361" s="601" t="str">
        <f t="shared" si="36"/>
        <v/>
      </c>
    </row>
    <row r="362" spans="1:16" s="220" customFormat="1" ht="18" hidden="1" customHeight="1">
      <c r="A362" s="591" t="str">
        <f t="shared" si="26"/>
        <v/>
      </c>
      <c r="B362" s="590">
        <f>LARGE($B$15:$B$264,92)</f>
        <v>0</v>
      </c>
      <c r="C362" s="599" t="str">
        <f t="shared" si="27"/>
        <v/>
      </c>
      <c r="D362" s="1295" t="str">
        <f t="shared" si="28"/>
        <v/>
      </c>
      <c r="E362" s="1295"/>
      <c r="F362" s="1295"/>
      <c r="G362" s="599" t="str">
        <f t="shared" si="29"/>
        <v/>
      </c>
      <c r="H362" s="599" t="str">
        <f t="shared" si="30"/>
        <v/>
      </c>
      <c r="I362" s="1296" t="str">
        <f t="shared" si="31"/>
        <v/>
      </c>
      <c r="J362" s="1296"/>
      <c r="K362" s="600" t="str">
        <f t="shared" si="32"/>
        <v/>
      </c>
      <c r="L362" s="591" t="str">
        <f t="shared" si="33"/>
        <v/>
      </c>
      <c r="M362" s="601" t="str">
        <f t="shared" si="34"/>
        <v/>
      </c>
      <c r="N362" s="601" t="str">
        <f t="shared" si="37"/>
        <v/>
      </c>
      <c r="O362" s="599" t="str">
        <f t="shared" si="35"/>
        <v/>
      </c>
      <c r="P362" s="601" t="str">
        <f t="shared" si="36"/>
        <v/>
      </c>
    </row>
    <row r="363" spans="1:16" s="220" customFormat="1" ht="18" hidden="1" customHeight="1">
      <c r="A363" s="591" t="str">
        <f t="shared" si="26"/>
        <v/>
      </c>
      <c r="B363" s="590">
        <f>LARGE($B$15:$B$264,93)</f>
        <v>0</v>
      </c>
      <c r="C363" s="599" t="str">
        <f t="shared" si="27"/>
        <v/>
      </c>
      <c r="D363" s="1295" t="str">
        <f t="shared" si="28"/>
        <v/>
      </c>
      <c r="E363" s="1295"/>
      <c r="F363" s="1295"/>
      <c r="G363" s="599" t="str">
        <f t="shared" si="29"/>
        <v/>
      </c>
      <c r="H363" s="599" t="str">
        <f t="shared" si="30"/>
        <v/>
      </c>
      <c r="I363" s="1296" t="str">
        <f t="shared" si="31"/>
        <v/>
      </c>
      <c r="J363" s="1296"/>
      <c r="K363" s="600" t="str">
        <f t="shared" si="32"/>
        <v/>
      </c>
      <c r="L363" s="591" t="str">
        <f t="shared" si="33"/>
        <v/>
      </c>
      <c r="M363" s="601" t="str">
        <f t="shared" si="34"/>
        <v/>
      </c>
      <c r="N363" s="601" t="str">
        <f t="shared" si="37"/>
        <v/>
      </c>
      <c r="O363" s="599" t="str">
        <f t="shared" si="35"/>
        <v/>
      </c>
      <c r="P363" s="601" t="str">
        <f t="shared" si="36"/>
        <v/>
      </c>
    </row>
    <row r="364" spans="1:16" s="220" customFormat="1" ht="18" hidden="1" customHeight="1">
      <c r="A364" s="591" t="str">
        <f t="shared" si="26"/>
        <v/>
      </c>
      <c r="B364" s="590">
        <f>LARGE($B$15:$B$264,94)</f>
        <v>0</v>
      </c>
      <c r="C364" s="599" t="str">
        <f t="shared" si="27"/>
        <v/>
      </c>
      <c r="D364" s="1295" t="str">
        <f t="shared" si="28"/>
        <v/>
      </c>
      <c r="E364" s="1295"/>
      <c r="F364" s="1295"/>
      <c r="G364" s="599" t="str">
        <f t="shared" si="29"/>
        <v/>
      </c>
      <c r="H364" s="599" t="str">
        <f t="shared" si="30"/>
        <v/>
      </c>
      <c r="I364" s="1296" t="str">
        <f t="shared" si="31"/>
        <v/>
      </c>
      <c r="J364" s="1296"/>
      <c r="K364" s="600" t="str">
        <f t="shared" si="32"/>
        <v/>
      </c>
      <c r="L364" s="591" t="str">
        <f t="shared" si="33"/>
        <v/>
      </c>
      <c r="M364" s="601" t="str">
        <f t="shared" si="34"/>
        <v/>
      </c>
      <c r="N364" s="601" t="str">
        <f t="shared" si="37"/>
        <v/>
      </c>
      <c r="O364" s="599" t="str">
        <f t="shared" si="35"/>
        <v/>
      </c>
      <c r="P364" s="601" t="str">
        <f t="shared" si="36"/>
        <v/>
      </c>
    </row>
    <row r="365" spans="1:16" s="220" customFormat="1" ht="18" hidden="1" customHeight="1">
      <c r="A365" s="591" t="str">
        <f t="shared" si="26"/>
        <v/>
      </c>
      <c r="B365" s="590">
        <f>LARGE($B$15:$B$264,95)</f>
        <v>0</v>
      </c>
      <c r="C365" s="599" t="str">
        <f t="shared" si="27"/>
        <v/>
      </c>
      <c r="D365" s="1295" t="str">
        <f t="shared" si="28"/>
        <v/>
      </c>
      <c r="E365" s="1295"/>
      <c r="F365" s="1295"/>
      <c r="G365" s="599" t="str">
        <f t="shared" si="29"/>
        <v/>
      </c>
      <c r="H365" s="599" t="str">
        <f t="shared" si="30"/>
        <v/>
      </c>
      <c r="I365" s="1296" t="str">
        <f t="shared" si="31"/>
        <v/>
      </c>
      <c r="J365" s="1296"/>
      <c r="K365" s="600" t="str">
        <f t="shared" si="32"/>
        <v/>
      </c>
      <c r="L365" s="591" t="str">
        <f t="shared" si="33"/>
        <v/>
      </c>
      <c r="M365" s="601" t="str">
        <f t="shared" si="34"/>
        <v/>
      </c>
      <c r="N365" s="601" t="str">
        <f t="shared" si="37"/>
        <v/>
      </c>
      <c r="O365" s="599" t="str">
        <f t="shared" si="35"/>
        <v/>
      </c>
      <c r="P365" s="601" t="str">
        <f t="shared" si="36"/>
        <v/>
      </c>
    </row>
    <row r="366" spans="1:16" s="220" customFormat="1" ht="18" hidden="1" customHeight="1">
      <c r="A366" s="591" t="str">
        <f t="shared" si="26"/>
        <v/>
      </c>
      <c r="B366" s="590">
        <f>LARGE($B$15:$B$264,96)</f>
        <v>0</v>
      </c>
      <c r="C366" s="599" t="str">
        <f t="shared" si="27"/>
        <v/>
      </c>
      <c r="D366" s="1295" t="str">
        <f t="shared" si="28"/>
        <v/>
      </c>
      <c r="E366" s="1295"/>
      <c r="F366" s="1295"/>
      <c r="G366" s="599" t="str">
        <f t="shared" si="29"/>
        <v/>
      </c>
      <c r="H366" s="599" t="str">
        <f t="shared" si="30"/>
        <v/>
      </c>
      <c r="I366" s="1296" t="str">
        <f t="shared" si="31"/>
        <v/>
      </c>
      <c r="J366" s="1296"/>
      <c r="K366" s="600" t="str">
        <f t="shared" si="32"/>
        <v/>
      </c>
      <c r="L366" s="591" t="str">
        <f t="shared" si="33"/>
        <v/>
      </c>
      <c r="M366" s="601" t="str">
        <f t="shared" si="34"/>
        <v/>
      </c>
      <c r="N366" s="601" t="str">
        <f t="shared" si="37"/>
        <v/>
      </c>
      <c r="O366" s="599" t="str">
        <f t="shared" si="35"/>
        <v/>
      </c>
      <c r="P366" s="601" t="str">
        <f t="shared" si="36"/>
        <v/>
      </c>
    </row>
    <row r="367" spans="1:16" s="220" customFormat="1" ht="18" hidden="1" customHeight="1">
      <c r="A367" s="591" t="str">
        <f t="shared" si="26"/>
        <v/>
      </c>
      <c r="B367" s="590">
        <f>LARGE($B$15:$B$264,97)</f>
        <v>0</v>
      </c>
      <c r="C367" s="599" t="str">
        <f t="shared" si="27"/>
        <v/>
      </c>
      <c r="D367" s="1295" t="str">
        <f t="shared" si="28"/>
        <v/>
      </c>
      <c r="E367" s="1295"/>
      <c r="F367" s="1295"/>
      <c r="G367" s="599" t="str">
        <f t="shared" si="29"/>
        <v/>
      </c>
      <c r="H367" s="599" t="str">
        <f t="shared" si="30"/>
        <v/>
      </c>
      <c r="I367" s="1296" t="str">
        <f t="shared" si="31"/>
        <v/>
      </c>
      <c r="J367" s="1296"/>
      <c r="K367" s="600" t="str">
        <f t="shared" si="32"/>
        <v/>
      </c>
      <c r="L367" s="591" t="str">
        <f t="shared" si="33"/>
        <v/>
      </c>
      <c r="M367" s="601" t="str">
        <f t="shared" si="34"/>
        <v/>
      </c>
      <c r="N367" s="601" t="str">
        <f t="shared" si="37"/>
        <v/>
      </c>
      <c r="O367" s="599" t="str">
        <f t="shared" si="35"/>
        <v/>
      </c>
      <c r="P367" s="601" t="str">
        <f t="shared" si="36"/>
        <v/>
      </c>
    </row>
    <row r="368" spans="1:16" s="220" customFormat="1" ht="18" hidden="1" customHeight="1">
      <c r="A368" s="591" t="str">
        <f t="shared" si="26"/>
        <v/>
      </c>
      <c r="B368" s="590">
        <f>LARGE($B$15:$B$264,98)</f>
        <v>0</v>
      </c>
      <c r="C368" s="599" t="str">
        <f t="shared" si="27"/>
        <v/>
      </c>
      <c r="D368" s="1295" t="str">
        <f t="shared" si="28"/>
        <v/>
      </c>
      <c r="E368" s="1295"/>
      <c r="F368" s="1295"/>
      <c r="G368" s="599" t="str">
        <f t="shared" si="29"/>
        <v/>
      </c>
      <c r="H368" s="599" t="str">
        <f t="shared" si="30"/>
        <v/>
      </c>
      <c r="I368" s="1296" t="str">
        <f t="shared" si="31"/>
        <v/>
      </c>
      <c r="J368" s="1296"/>
      <c r="K368" s="600" t="str">
        <f t="shared" si="32"/>
        <v/>
      </c>
      <c r="L368" s="591" t="str">
        <f t="shared" si="33"/>
        <v/>
      </c>
      <c r="M368" s="601" t="str">
        <f t="shared" si="34"/>
        <v/>
      </c>
      <c r="N368" s="601" t="str">
        <f t="shared" si="37"/>
        <v/>
      </c>
      <c r="O368" s="599" t="str">
        <f t="shared" si="35"/>
        <v/>
      </c>
      <c r="P368" s="601" t="str">
        <f t="shared" si="36"/>
        <v/>
      </c>
    </row>
    <row r="369" spans="1:16" s="220" customFormat="1" ht="18" hidden="1" customHeight="1">
      <c r="A369" s="591" t="str">
        <f t="shared" si="26"/>
        <v/>
      </c>
      <c r="B369" s="590">
        <f>LARGE($B$15:$B$264,99)</f>
        <v>0</v>
      </c>
      <c r="C369" s="599" t="str">
        <f t="shared" si="27"/>
        <v/>
      </c>
      <c r="D369" s="1295" t="str">
        <f t="shared" si="28"/>
        <v/>
      </c>
      <c r="E369" s="1295"/>
      <c r="F369" s="1295"/>
      <c r="G369" s="599" t="str">
        <f t="shared" si="29"/>
        <v/>
      </c>
      <c r="H369" s="599" t="str">
        <f t="shared" si="30"/>
        <v/>
      </c>
      <c r="I369" s="1296" t="str">
        <f t="shared" si="31"/>
        <v/>
      </c>
      <c r="J369" s="1296"/>
      <c r="K369" s="600" t="str">
        <f t="shared" si="32"/>
        <v/>
      </c>
      <c r="L369" s="591" t="str">
        <f t="shared" si="33"/>
        <v/>
      </c>
      <c r="M369" s="601" t="str">
        <f t="shared" si="34"/>
        <v/>
      </c>
      <c r="N369" s="601" t="str">
        <f t="shared" si="37"/>
        <v/>
      </c>
      <c r="O369" s="599" t="str">
        <f t="shared" si="35"/>
        <v/>
      </c>
      <c r="P369" s="601" t="str">
        <f t="shared" si="36"/>
        <v/>
      </c>
    </row>
    <row r="370" spans="1:16" s="220" customFormat="1" ht="18" hidden="1" customHeight="1">
      <c r="A370" s="591" t="str">
        <f t="shared" si="26"/>
        <v/>
      </c>
      <c r="B370" s="590">
        <f>LARGE($B$15:$B$264,100)</f>
        <v>0</v>
      </c>
      <c r="C370" s="599" t="str">
        <f t="shared" si="27"/>
        <v/>
      </c>
      <c r="D370" s="1295" t="str">
        <f t="shared" si="28"/>
        <v/>
      </c>
      <c r="E370" s="1295"/>
      <c r="F370" s="1295"/>
      <c r="G370" s="599" t="str">
        <f t="shared" si="29"/>
        <v/>
      </c>
      <c r="H370" s="599" t="str">
        <f t="shared" si="30"/>
        <v/>
      </c>
      <c r="I370" s="1296" t="str">
        <f t="shared" si="31"/>
        <v/>
      </c>
      <c r="J370" s="1296"/>
      <c r="K370" s="600" t="str">
        <f t="shared" si="32"/>
        <v/>
      </c>
      <c r="L370" s="591" t="str">
        <f t="shared" si="33"/>
        <v/>
      </c>
      <c r="M370" s="601" t="str">
        <f t="shared" si="34"/>
        <v/>
      </c>
      <c r="N370" s="601" t="str">
        <f t="shared" si="37"/>
        <v/>
      </c>
      <c r="O370" s="599" t="str">
        <f t="shared" si="35"/>
        <v/>
      </c>
      <c r="P370" s="601" t="str">
        <f t="shared" si="36"/>
        <v/>
      </c>
    </row>
    <row r="371" spans="1:16" s="220" customFormat="1" ht="18" hidden="1" customHeight="1">
      <c r="A371" s="591" t="str">
        <f t="shared" si="26"/>
        <v/>
      </c>
      <c r="B371" s="590">
        <f>LARGE($B$15:$B$264,101)</f>
        <v>0</v>
      </c>
      <c r="C371" s="599" t="str">
        <f t="shared" si="27"/>
        <v/>
      </c>
      <c r="D371" s="1295" t="str">
        <f t="shared" si="28"/>
        <v/>
      </c>
      <c r="E371" s="1295"/>
      <c r="F371" s="1295"/>
      <c r="G371" s="599" t="str">
        <f t="shared" si="29"/>
        <v/>
      </c>
      <c r="H371" s="599" t="str">
        <f t="shared" si="30"/>
        <v/>
      </c>
      <c r="I371" s="1296" t="str">
        <f t="shared" si="31"/>
        <v/>
      </c>
      <c r="J371" s="1296"/>
      <c r="K371" s="600" t="str">
        <f t="shared" si="32"/>
        <v/>
      </c>
      <c r="L371" s="591" t="str">
        <f t="shared" si="33"/>
        <v/>
      </c>
      <c r="M371" s="601" t="str">
        <f t="shared" si="34"/>
        <v/>
      </c>
      <c r="N371" s="601" t="str">
        <f t="shared" si="37"/>
        <v/>
      </c>
      <c r="O371" s="599" t="str">
        <f t="shared" si="35"/>
        <v/>
      </c>
      <c r="P371" s="601" t="str">
        <f t="shared" si="36"/>
        <v/>
      </c>
    </row>
    <row r="372" spans="1:16" s="220" customFormat="1" ht="18" hidden="1" customHeight="1">
      <c r="A372" s="591" t="str">
        <f t="shared" si="26"/>
        <v/>
      </c>
      <c r="B372" s="590">
        <f>LARGE($B$15:$B$264,102)</f>
        <v>0</v>
      </c>
      <c r="C372" s="599" t="str">
        <f t="shared" si="27"/>
        <v/>
      </c>
      <c r="D372" s="1295" t="str">
        <f t="shared" si="28"/>
        <v/>
      </c>
      <c r="E372" s="1295"/>
      <c r="F372" s="1295"/>
      <c r="G372" s="599" t="str">
        <f t="shared" si="29"/>
        <v/>
      </c>
      <c r="H372" s="599" t="str">
        <f t="shared" si="30"/>
        <v/>
      </c>
      <c r="I372" s="1296" t="str">
        <f t="shared" si="31"/>
        <v/>
      </c>
      <c r="J372" s="1296"/>
      <c r="K372" s="600" t="str">
        <f t="shared" si="32"/>
        <v/>
      </c>
      <c r="L372" s="591" t="str">
        <f t="shared" si="33"/>
        <v/>
      </c>
      <c r="M372" s="601" t="str">
        <f t="shared" si="34"/>
        <v/>
      </c>
      <c r="N372" s="601" t="str">
        <f t="shared" si="37"/>
        <v/>
      </c>
      <c r="O372" s="599" t="str">
        <f t="shared" si="35"/>
        <v/>
      </c>
      <c r="P372" s="601" t="str">
        <f t="shared" si="36"/>
        <v/>
      </c>
    </row>
    <row r="373" spans="1:16" s="220" customFormat="1" ht="18" hidden="1" customHeight="1">
      <c r="A373" s="591" t="str">
        <f t="shared" si="26"/>
        <v/>
      </c>
      <c r="B373" s="590">
        <f>LARGE($B$15:$B$264,103)</f>
        <v>0</v>
      </c>
      <c r="C373" s="599" t="str">
        <f t="shared" si="27"/>
        <v/>
      </c>
      <c r="D373" s="1295" t="str">
        <f t="shared" si="28"/>
        <v/>
      </c>
      <c r="E373" s="1295"/>
      <c r="F373" s="1295"/>
      <c r="G373" s="599" t="str">
        <f t="shared" si="29"/>
        <v/>
      </c>
      <c r="H373" s="599" t="str">
        <f t="shared" si="30"/>
        <v/>
      </c>
      <c r="I373" s="1296" t="str">
        <f t="shared" si="31"/>
        <v/>
      </c>
      <c r="J373" s="1296"/>
      <c r="K373" s="600" t="str">
        <f t="shared" si="32"/>
        <v/>
      </c>
      <c r="L373" s="591" t="str">
        <f t="shared" si="33"/>
        <v/>
      </c>
      <c r="M373" s="601" t="str">
        <f t="shared" si="34"/>
        <v/>
      </c>
      <c r="N373" s="601" t="str">
        <f t="shared" si="37"/>
        <v/>
      </c>
      <c r="O373" s="599" t="str">
        <f t="shared" si="35"/>
        <v/>
      </c>
      <c r="P373" s="601" t="str">
        <f t="shared" si="36"/>
        <v/>
      </c>
    </row>
    <row r="374" spans="1:16" s="220" customFormat="1" ht="18" hidden="1" customHeight="1">
      <c r="A374" s="591" t="str">
        <f t="shared" si="26"/>
        <v/>
      </c>
      <c r="B374" s="590">
        <f>LARGE($B$15:$B$264,104)</f>
        <v>0</v>
      </c>
      <c r="C374" s="599" t="str">
        <f t="shared" si="27"/>
        <v/>
      </c>
      <c r="D374" s="1295" t="str">
        <f t="shared" si="28"/>
        <v/>
      </c>
      <c r="E374" s="1295"/>
      <c r="F374" s="1295"/>
      <c r="G374" s="599" t="str">
        <f t="shared" si="29"/>
        <v/>
      </c>
      <c r="H374" s="599" t="str">
        <f t="shared" si="30"/>
        <v/>
      </c>
      <c r="I374" s="1296" t="str">
        <f t="shared" si="31"/>
        <v/>
      </c>
      <c r="J374" s="1296"/>
      <c r="K374" s="600" t="str">
        <f t="shared" si="32"/>
        <v/>
      </c>
      <c r="L374" s="591" t="str">
        <f t="shared" si="33"/>
        <v/>
      </c>
      <c r="M374" s="601" t="str">
        <f t="shared" si="34"/>
        <v/>
      </c>
      <c r="N374" s="601" t="str">
        <f t="shared" si="37"/>
        <v/>
      </c>
      <c r="O374" s="599" t="str">
        <f t="shared" si="35"/>
        <v/>
      </c>
      <c r="P374" s="601" t="str">
        <f t="shared" si="36"/>
        <v/>
      </c>
    </row>
    <row r="375" spans="1:16" s="220" customFormat="1" ht="18" hidden="1" customHeight="1">
      <c r="A375" s="591" t="str">
        <f t="shared" si="26"/>
        <v/>
      </c>
      <c r="B375" s="590">
        <f>LARGE($B$15:$B$264,105)</f>
        <v>0</v>
      </c>
      <c r="C375" s="599" t="str">
        <f t="shared" si="27"/>
        <v/>
      </c>
      <c r="D375" s="1295" t="str">
        <f t="shared" si="28"/>
        <v/>
      </c>
      <c r="E375" s="1295"/>
      <c r="F375" s="1295"/>
      <c r="G375" s="599" t="str">
        <f t="shared" si="29"/>
        <v/>
      </c>
      <c r="H375" s="599" t="str">
        <f t="shared" si="30"/>
        <v/>
      </c>
      <c r="I375" s="1296" t="str">
        <f t="shared" si="31"/>
        <v/>
      </c>
      <c r="J375" s="1296"/>
      <c r="K375" s="600" t="str">
        <f t="shared" si="32"/>
        <v/>
      </c>
      <c r="L375" s="591" t="str">
        <f t="shared" si="33"/>
        <v/>
      </c>
      <c r="M375" s="601" t="str">
        <f t="shared" si="34"/>
        <v/>
      </c>
      <c r="N375" s="601" t="str">
        <f t="shared" si="37"/>
        <v/>
      </c>
      <c r="O375" s="599" t="str">
        <f t="shared" si="35"/>
        <v/>
      </c>
      <c r="P375" s="601" t="str">
        <f t="shared" si="36"/>
        <v/>
      </c>
    </row>
    <row r="376" spans="1:16" s="220" customFormat="1" ht="18" hidden="1" customHeight="1">
      <c r="A376" s="591" t="str">
        <f t="shared" si="26"/>
        <v/>
      </c>
      <c r="B376" s="590">
        <f>LARGE($B$15:$B$264,106)</f>
        <v>0</v>
      </c>
      <c r="C376" s="599" t="str">
        <f t="shared" si="27"/>
        <v/>
      </c>
      <c r="D376" s="1295" t="str">
        <f t="shared" si="28"/>
        <v/>
      </c>
      <c r="E376" s="1295"/>
      <c r="F376" s="1295"/>
      <c r="G376" s="599" t="str">
        <f t="shared" si="29"/>
        <v/>
      </c>
      <c r="H376" s="599" t="str">
        <f t="shared" si="30"/>
        <v/>
      </c>
      <c r="I376" s="1296" t="str">
        <f t="shared" si="31"/>
        <v/>
      </c>
      <c r="J376" s="1296"/>
      <c r="K376" s="600" t="str">
        <f t="shared" si="32"/>
        <v/>
      </c>
      <c r="L376" s="591" t="str">
        <f t="shared" si="33"/>
        <v/>
      </c>
      <c r="M376" s="601" t="str">
        <f t="shared" si="34"/>
        <v/>
      </c>
      <c r="N376" s="601" t="str">
        <f t="shared" si="37"/>
        <v/>
      </c>
      <c r="O376" s="599" t="str">
        <f t="shared" si="35"/>
        <v/>
      </c>
      <c r="P376" s="601" t="str">
        <f t="shared" si="36"/>
        <v/>
      </c>
    </row>
    <row r="377" spans="1:16" s="220" customFormat="1" ht="18" hidden="1" customHeight="1">
      <c r="A377" s="591" t="str">
        <f t="shared" si="26"/>
        <v/>
      </c>
      <c r="B377" s="590">
        <f>LARGE($B$15:$B$264,107)</f>
        <v>0</v>
      </c>
      <c r="C377" s="599" t="str">
        <f t="shared" si="27"/>
        <v/>
      </c>
      <c r="D377" s="1295" t="str">
        <f t="shared" si="28"/>
        <v/>
      </c>
      <c r="E377" s="1295"/>
      <c r="F377" s="1295"/>
      <c r="G377" s="599" t="str">
        <f t="shared" si="29"/>
        <v/>
      </c>
      <c r="H377" s="599" t="str">
        <f t="shared" si="30"/>
        <v/>
      </c>
      <c r="I377" s="1296" t="str">
        <f t="shared" si="31"/>
        <v/>
      </c>
      <c r="J377" s="1296"/>
      <c r="K377" s="600" t="str">
        <f t="shared" si="32"/>
        <v/>
      </c>
      <c r="L377" s="591" t="str">
        <f t="shared" si="33"/>
        <v/>
      </c>
      <c r="M377" s="601" t="str">
        <f t="shared" si="34"/>
        <v/>
      </c>
      <c r="N377" s="601" t="str">
        <f t="shared" si="37"/>
        <v/>
      </c>
      <c r="O377" s="599" t="str">
        <f t="shared" si="35"/>
        <v/>
      </c>
      <c r="P377" s="601" t="str">
        <f t="shared" si="36"/>
        <v/>
      </c>
    </row>
    <row r="378" spans="1:16" s="220" customFormat="1" ht="18" hidden="1" customHeight="1">
      <c r="A378" s="591" t="str">
        <f t="shared" si="26"/>
        <v/>
      </c>
      <c r="B378" s="590">
        <f>LARGE($B$15:$B$264,108)</f>
        <v>0</v>
      </c>
      <c r="C378" s="599" t="str">
        <f t="shared" si="27"/>
        <v/>
      </c>
      <c r="D378" s="1295" t="str">
        <f t="shared" si="28"/>
        <v/>
      </c>
      <c r="E378" s="1295"/>
      <c r="F378" s="1295"/>
      <c r="G378" s="599" t="str">
        <f t="shared" si="29"/>
        <v/>
      </c>
      <c r="H378" s="599" t="str">
        <f t="shared" si="30"/>
        <v/>
      </c>
      <c r="I378" s="1296" t="str">
        <f t="shared" si="31"/>
        <v/>
      </c>
      <c r="J378" s="1296"/>
      <c r="K378" s="600" t="str">
        <f t="shared" si="32"/>
        <v/>
      </c>
      <c r="L378" s="591" t="str">
        <f t="shared" si="33"/>
        <v/>
      </c>
      <c r="M378" s="601" t="str">
        <f t="shared" si="34"/>
        <v/>
      </c>
      <c r="N378" s="601" t="str">
        <f t="shared" si="37"/>
        <v/>
      </c>
      <c r="O378" s="599" t="str">
        <f t="shared" si="35"/>
        <v/>
      </c>
      <c r="P378" s="601" t="str">
        <f t="shared" si="36"/>
        <v/>
      </c>
    </row>
    <row r="379" spans="1:16" s="220" customFormat="1" ht="18" hidden="1" customHeight="1">
      <c r="A379" s="591" t="str">
        <f t="shared" si="26"/>
        <v/>
      </c>
      <c r="B379" s="590">
        <f>LARGE($B$15:$B$264,109)</f>
        <v>0</v>
      </c>
      <c r="C379" s="599" t="str">
        <f t="shared" si="27"/>
        <v/>
      </c>
      <c r="D379" s="1295" t="str">
        <f t="shared" si="28"/>
        <v/>
      </c>
      <c r="E379" s="1295"/>
      <c r="F379" s="1295"/>
      <c r="G379" s="599" t="str">
        <f t="shared" si="29"/>
        <v/>
      </c>
      <c r="H379" s="599" t="str">
        <f t="shared" si="30"/>
        <v/>
      </c>
      <c r="I379" s="1296" t="str">
        <f t="shared" si="31"/>
        <v/>
      </c>
      <c r="J379" s="1296"/>
      <c r="K379" s="600" t="str">
        <f t="shared" si="32"/>
        <v/>
      </c>
      <c r="L379" s="591" t="str">
        <f t="shared" si="33"/>
        <v/>
      </c>
      <c r="M379" s="601" t="str">
        <f t="shared" si="34"/>
        <v/>
      </c>
      <c r="N379" s="601" t="str">
        <f t="shared" si="37"/>
        <v/>
      </c>
      <c r="O379" s="599" t="str">
        <f t="shared" si="35"/>
        <v/>
      </c>
      <c r="P379" s="601" t="str">
        <f t="shared" si="36"/>
        <v/>
      </c>
    </row>
    <row r="380" spans="1:16" s="220" customFormat="1" ht="18" hidden="1" customHeight="1">
      <c r="A380" s="591" t="str">
        <f t="shared" si="26"/>
        <v/>
      </c>
      <c r="B380" s="590">
        <f>LARGE($B$15:$B$264,110)</f>
        <v>0</v>
      </c>
      <c r="C380" s="599" t="str">
        <f t="shared" si="27"/>
        <v/>
      </c>
      <c r="D380" s="1295" t="str">
        <f t="shared" si="28"/>
        <v/>
      </c>
      <c r="E380" s="1295"/>
      <c r="F380" s="1295"/>
      <c r="G380" s="599" t="str">
        <f t="shared" si="29"/>
        <v/>
      </c>
      <c r="H380" s="599" t="str">
        <f t="shared" si="30"/>
        <v/>
      </c>
      <c r="I380" s="1296" t="str">
        <f t="shared" si="31"/>
        <v/>
      </c>
      <c r="J380" s="1296"/>
      <c r="K380" s="600" t="str">
        <f t="shared" si="32"/>
        <v/>
      </c>
      <c r="L380" s="591" t="str">
        <f t="shared" si="33"/>
        <v/>
      </c>
      <c r="M380" s="601" t="str">
        <f t="shared" si="34"/>
        <v/>
      </c>
      <c r="N380" s="601" t="str">
        <f t="shared" si="37"/>
        <v/>
      </c>
      <c r="O380" s="599" t="str">
        <f t="shared" si="35"/>
        <v/>
      </c>
      <c r="P380" s="601" t="str">
        <f t="shared" si="36"/>
        <v/>
      </c>
    </row>
    <row r="381" spans="1:16" s="220" customFormat="1" ht="18" hidden="1" customHeight="1">
      <c r="A381" s="591" t="str">
        <f t="shared" si="26"/>
        <v/>
      </c>
      <c r="B381" s="590">
        <f>LARGE($B$15:$B$264,111)</f>
        <v>0</v>
      </c>
      <c r="C381" s="599" t="str">
        <f t="shared" si="27"/>
        <v/>
      </c>
      <c r="D381" s="1295" t="str">
        <f t="shared" si="28"/>
        <v/>
      </c>
      <c r="E381" s="1295"/>
      <c r="F381" s="1295"/>
      <c r="G381" s="599" t="str">
        <f t="shared" si="29"/>
        <v/>
      </c>
      <c r="H381" s="599" t="str">
        <f t="shared" si="30"/>
        <v/>
      </c>
      <c r="I381" s="1296" t="str">
        <f t="shared" si="31"/>
        <v/>
      </c>
      <c r="J381" s="1296"/>
      <c r="K381" s="600" t="str">
        <f t="shared" si="32"/>
        <v/>
      </c>
      <c r="L381" s="591" t="str">
        <f t="shared" si="33"/>
        <v/>
      </c>
      <c r="M381" s="601" t="str">
        <f t="shared" si="34"/>
        <v/>
      </c>
      <c r="N381" s="601" t="str">
        <f t="shared" si="37"/>
        <v/>
      </c>
      <c r="O381" s="599" t="str">
        <f t="shared" si="35"/>
        <v/>
      </c>
      <c r="P381" s="601" t="str">
        <f t="shared" si="36"/>
        <v/>
      </c>
    </row>
    <row r="382" spans="1:16" s="220" customFormat="1" ht="18" hidden="1" customHeight="1">
      <c r="A382" s="591" t="str">
        <f t="shared" si="26"/>
        <v/>
      </c>
      <c r="B382" s="590">
        <f>LARGE($B$15:$B$264,112)</f>
        <v>0</v>
      </c>
      <c r="C382" s="599" t="str">
        <f t="shared" si="27"/>
        <v/>
      </c>
      <c r="D382" s="1295" t="str">
        <f t="shared" si="28"/>
        <v/>
      </c>
      <c r="E382" s="1295"/>
      <c r="F382" s="1295"/>
      <c r="G382" s="599" t="str">
        <f t="shared" si="29"/>
        <v/>
      </c>
      <c r="H382" s="599" t="str">
        <f t="shared" si="30"/>
        <v/>
      </c>
      <c r="I382" s="1296" t="str">
        <f t="shared" si="31"/>
        <v/>
      </c>
      <c r="J382" s="1296"/>
      <c r="K382" s="600" t="str">
        <f t="shared" si="32"/>
        <v/>
      </c>
      <c r="L382" s="591" t="str">
        <f t="shared" si="33"/>
        <v/>
      </c>
      <c r="M382" s="601" t="str">
        <f t="shared" si="34"/>
        <v/>
      </c>
      <c r="N382" s="601" t="str">
        <f t="shared" si="37"/>
        <v/>
      </c>
      <c r="O382" s="599" t="str">
        <f t="shared" si="35"/>
        <v/>
      </c>
      <c r="P382" s="601" t="str">
        <f t="shared" si="36"/>
        <v/>
      </c>
    </row>
    <row r="383" spans="1:16" s="220" customFormat="1" ht="18" hidden="1" customHeight="1">
      <c r="A383" s="591" t="str">
        <f t="shared" si="26"/>
        <v/>
      </c>
      <c r="B383" s="590">
        <f>LARGE($B$15:$B$264,113)</f>
        <v>0</v>
      </c>
      <c r="C383" s="599" t="str">
        <f t="shared" si="27"/>
        <v/>
      </c>
      <c r="D383" s="1295" t="str">
        <f t="shared" si="28"/>
        <v/>
      </c>
      <c r="E383" s="1295"/>
      <c r="F383" s="1295"/>
      <c r="G383" s="599" t="str">
        <f t="shared" si="29"/>
        <v/>
      </c>
      <c r="H383" s="599" t="str">
        <f t="shared" si="30"/>
        <v/>
      </c>
      <c r="I383" s="1296" t="str">
        <f t="shared" si="31"/>
        <v/>
      </c>
      <c r="J383" s="1296"/>
      <c r="K383" s="600" t="str">
        <f t="shared" si="32"/>
        <v/>
      </c>
      <c r="L383" s="591" t="str">
        <f t="shared" si="33"/>
        <v/>
      </c>
      <c r="M383" s="601" t="str">
        <f t="shared" si="34"/>
        <v/>
      </c>
      <c r="N383" s="601" t="str">
        <f t="shared" si="37"/>
        <v/>
      </c>
      <c r="O383" s="599" t="str">
        <f t="shared" si="35"/>
        <v/>
      </c>
      <c r="P383" s="601" t="str">
        <f t="shared" si="36"/>
        <v/>
      </c>
    </row>
    <row r="384" spans="1:16" s="220" customFormat="1" ht="18" hidden="1" customHeight="1">
      <c r="A384" s="591" t="str">
        <f t="shared" si="26"/>
        <v/>
      </c>
      <c r="B384" s="590">
        <f>LARGE($B$15:$B$264,114)</f>
        <v>0</v>
      </c>
      <c r="C384" s="599" t="str">
        <f t="shared" si="27"/>
        <v/>
      </c>
      <c r="D384" s="1295" t="str">
        <f t="shared" si="28"/>
        <v/>
      </c>
      <c r="E384" s="1295"/>
      <c r="F384" s="1295"/>
      <c r="G384" s="599" t="str">
        <f t="shared" si="29"/>
        <v/>
      </c>
      <c r="H384" s="599" t="str">
        <f t="shared" si="30"/>
        <v/>
      </c>
      <c r="I384" s="1296" t="str">
        <f t="shared" si="31"/>
        <v/>
      </c>
      <c r="J384" s="1296"/>
      <c r="K384" s="600" t="str">
        <f t="shared" si="32"/>
        <v/>
      </c>
      <c r="L384" s="591" t="str">
        <f t="shared" si="33"/>
        <v/>
      </c>
      <c r="M384" s="601" t="str">
        <f t="shared" si="34"/>
        <v/>
      </c>
      <c r="N384" s="601" t="str">
        <f t="shared" si="37"/>
        <v/>
      </c>
      <c r="O384" s="599" t="str">
        <f t="shared" si="35"/>
        <v/>
      </c>
      <c r="P384" s="601" t="str">
        <f t="shared" si="36"/>
        <v/>
      </c>
    </row>
    <row r="385" spans="1:16" s="220" customFormat="1" ht="18" hidden="1" customHeight="1">
      <c r="A385" s="591" t="str">
        <f t="shared" si="26"/>
        <v/>
      </c>
      <c r="B385" s="590">
        <f>LARGE($B$15:$B$264,115)</f>
        <v>0</v>
      </c>
      <c r="C385" s="599" t="str">
        <f t="shared" si="27"/>
        <v/>
      </c>
      <c r="D385" s="1295" t="str">
        <f t="shared" si="28"/>
        <v/>
      </c>
      <c r="E385" s="1295"/>
      <c r="F385" s="1295"/>
      <c r="G385" s="599" t="str">
        <f t="shared" si="29"/>
        <v/>
      </c>
      <c r="H385" s="599" t="str">
        <f t="shared" si="30"/>
        <v/>
      </c>
      <c r="I385" s="1296" t="str">
        <f t="shared" si="31"/>
        <v/>
      </c>
      <c r="J385" s="1296"/>
      <c r="K385" s="600" t="str">
        <f t="shared" si="32"/>
        <v/>
      </c>
      <c r="L385" s="591" t="str">
        <f t="shared" si="33"/>
        <v/>
      </c>
      <c r="M385" s="601" t="str">
        <f t="shared" si="34"/>
        <v/>
      </c>
      <c r="N385" s="601" t="str">
        <f t="shared" si="37"/>
        <v/>
      </c>
      <c r="O385" s="599" t="str">
        <f t="shared" si="35"/>
        <v/>
      </c>
      <c r="P385" s="601" t="str">
        <f t="shared" si="36"/>
        <v/>
      </c>
    </row>
    <row r="386" spans="1:16" s="220" customFormat="1" ht="18" hidden="1" customHeight="1">
      <c r="A386" s="591" t="str">
        <f t="shared" si="26"/>
        <v/>
      </c>
      <c r="B386" s="590">
        <f>LARGE($B$15:$B$264,116)</f>
        <v>0</v>
      </c>
      <c r="C386" s="599" t="str">
        <f t="shared" si="27"/>
        <v/>
      </c>
      <c r="D386" s="1295" t="str">
        <f t="shared" si="28"/>
        <v/>
      </c>
      <c r="E386" s="1295"/>
      <c r="F386" s="1295"/>
      <c r="G386" s="599" t="str">
        <f t="shared" si="29"/>
        <v/>
      </c>
      <c r="H386" s="599" t="str">
        <f t="shared" si="30"/>
        <v/>
      </c>
      <c r="I386" s="1296" t="str">
        <f t="shared" si="31"/>
        <v/>
      </c>
      <c r="J386" s="1296"/>
      <c r="K386" s="600" t="str">
        <f t="shared" si="32"/>
        <v/>
      </c>
      <c r="L386" s="591" t="str">
        <f t="shared" si="33"/>
        <v/>
      </c>
      <c r="M386" s="601" t="str">
        <f t="shared" si="34"/>
        <v/>
      </c>
      <c r="N386" s="601" t="str">
        <f t="shared" si="37"/>
        <v/>
      </c>
      <c r="O386" s="599" t="str">
        <f t="shared" si="35"/>
        <v/>
      </c>
      <c r="P386" s="601" t="str">
        <f t="shared" si="36"/>
        <v/>
      </c>
    </row>
    <row r="387" spans="1:16" s="220" customFormat="1" ht="18" hidden="1" customHeight="1">
      <c r="A387" s="591" t="str">
        <f t="shared" si="26"/>
        <v/>
      </c>
      <c r="B387" s="590">
        <f>LARGE($B$15:$B$264,117)</f>
        <v>0</v>
      </c>
      <c r="C387" s="599" t="str">
        <f t="shared" si="27"/>
        <v/>
      </c>
      <c r="D387" s="1295" t="str">
        <f t="shared" si="28"/>
        <v/>
      </c>
      <c r="E387" s="1295"/>
      <c r="F387" s="1295"/>
      <c r="G387" s="599" t="str">
        <f t="shared" si="29"/>
        <v/>
      </c>
      <c r="H387" s="599" t="str">
        <f t="shared" si="30"/>
        <v/>
      </c>
      <c r="I387" s="1296" t="str">
        <f t="shared" si="31"/>
        <v/>
      </c>
      <c r="J387" s="1296"/>
      <c r="K387" s="600" t="str">
        <f t="shared" si="32"/>
        <v/>
      </c>
      <c r="L387" s="591" t="str">
        <f t="shared" si="33"/>
        <v/>
      </c>
      <c r="M387" s="601" t="str">
        <f t="shared" si="34"/>
        <v/>
      </c>
      <c r="N387" s="601" t="str">
        <f t="shared" si="37"/>
        <v/>
      </c>
      <c r="O387" s="599" t="str">
        <f t="shared" si="35"/>
        <v/>
      </c>
      <c r="P387" s="601" t="str">
        <f t="shared" si="36"/>
        <v/>
      </c>
    </row>
    <row r="388" spans="1:16" s="220" customFormat="1" ht="18" hidden="1" customHeight="1">
      <c r="A388" s="591" t="str">
        <f t="shared" si="26"/>
        <v/>
      </c>
      <c r="B388" s="590">
        <f>LARGE($B$15:$B$264,118)</f>
        <v>0</v>
      </c>
      <c r="C388" s="599" t="str">
        <f t="shared" si="27"/>
        <v/>
      </c>
      <c r="D388" s="1295" t="str">
        <f t="shared" si="28"/>
        <v/>
      </c>
      <c r="E388" s="1295"/>
      <c r="F388" s="1295"/>
      <c r="G388" s="599" t="str">
        <f t="shared" si="29"/>
        <v/>
      </c>
      <c r="H388" s="599" t="str">
        <f t="shared" si="30"/>
        <v/>
      </c>
      <c r="I388" s="1296" t="str">
        <f t="shared" si="31"/>
        <v/>
      </c>
      <c r="J388" s="1296"/>
      <c r="K388" s="600" t="str">
        <f t="shared" si="32"/>
        <v/>
      </c>
      <c r="L388" s="591" t="str">
        <f t="shared" si="33"/>
        <v/>
      </c>
      <c r="M388" s="601" t="str">
        <f t="shared" si="34"/>
        <v/>
      </c>
      <c r="N388" s="601" t="str">
        <f t="shared" si="37"/>
        <v/>
      </c>
      <c r="O388" s="599" t="str">
        <f t="shared" si="35"/>
        <v/>
      </c>
      <c r="P388" s="601" t="str">
        <f t="shared" si="36"/>
        <v/>
      </c>
    </row>
    <row r="389" spans="1:16" s="220" customFormat="1" ht="18" hidden="1" customHeight="1">
      <c r="A389" s="591" t="str">
        <f t="shared" si="26"/>
        <v/>
      </c>
      <c r="B389" s="590">
        <f>LARGE($B$15:$B$264,119)</f>
        <v>0</v>
      </c>
      <c r="C389" s="599" t="str">
        <f t="shared" si="27"/>
        <v/>
      </c>
      <c r="D389" s="1295" t="str">
        <f t="shared" si="28"/>
        <v/>
      </c>
      <c r="E389" s="1295"/>
      <c r="F389" s="1295"/>
      <c r="G389" s="599" t="str">
        <f t="shared" si="29"/>
        <v/>
      </c>
      <c r="H389" s="599" t="str">
        <f t="shared" si="30"/>
        <v/>
      </c>
      <c r="I389" s="1296" t="str">
        <f t="shared" si="31"/>
        <v/>
      </c>
      <c r="J389" s="1296"/>
      <c r="K389" s="600" t="str">
        <f t="shared" si="32"/>
        <v/>
      </c>
      <c r="L389" s="591" t="str">
        <f t="shared" si="33"/>
        <v/>
      </c>
      <c r="M389" s="601" t="str">
        <f t="shared" si="34"/>
        <v/>
      </c>
      <c r="N389" s="601" t="str">
        <f t="shared" si="37"/>
        <v/>
      </c>
      <c r="O389" s="599" t="str">
        <f t="shared" si="35"/>
        <v/>
      </c>
      <c r="P389" s="601" t="str">
        <f t="shared" si="36"/>
        <v/>
      </c>
    </row>
    <row r="390" spans="1:16" s="220" customFormat="1" ht="18" hidden="1" customHeight="1">
      <c r="A390" s="591" t="str">
        <f t="shared" si="26"/>
        <v/>
      </c>
      <c r="B390" s="590">
        <f>LARGE($B$15:$B$264,120)</f>
        <v>0</v>
      </c>
      <c r="C390" s="599" t="str">
        <f t="shared" si="27"/>
        <v/>
      </c>
      <c r="D390" s="1295" t="str">
        <f t="shared" si="28"/>
        <v/>
      </c>
      <c r="E390" s="1295"/>
      <c r="F390" s="1295"/>
      <c r="G390" s="599" t="str">
        <f t="shared" si="29"/>
        <v/>
      </c>
      <c r="H390" s="599" t="str">
        <f t="shared" si="30"/>
        <v/>
      </c>
      <c r="I390" s="1296" t="str">
        <f t="shared" si="31"/>
        <v/>
      </c>
      <c r="J390" s="1296"/>
      <c r="K390" s="600" t="str">
        <f t="shared" si="32"/>
        <v/>
      </c>
      <c r="L390" s="591" t="str">
        <f t="shared" si="33"/>
        <v/>
      </c>
      <c r="M390" s="601" t="str">
        <f t="shared" si="34"/>
        <v/>
      </c>
      <c r="N390" s="601" t="str">
        <f t="shared" si="37"/>
        <v/>
      </c>
      <c r="O390" s="599" t="str">
        <f t="shared" si="35"/>
        <v/>
      </c>
      <c r="P390" s="601" t="str">
        <f t="shared" si="36"/>
        <v/>
      </c>
    </row>
    <row r="391" spans="1:16" s="220" customFormat="1" ht="18" hidden="1" customHeight="1">
      <c r="A391" s="591" t="str">
        <f t="shared" si="26"/>
        <v/>
      </c>
      <c r="B391" s="590">
        <f>LARGE($B$15:$B$264,121)</f>
        <v>0</v>
      </c>
      <c r="C391" s="599" t="str">
        <f t="shared" si="27"/>
        <v/>
      </c>
      <c r="D391" s="1295" t="str">
        <f t="shared" si="28"/>
        <v/>
      </c>
      <c r="E391" s="1295"/>
      <c r="F391" s="1295"/>
      <c r="G391" s="599" t="str">
        <f t="shared" si="29"/>
        <v/>
      </c>
      <c r="H391" s="599" t="str">
        <f t="shared" si="30"/>
        <v/>
      </c>
      <c r="I391" s="1296" t="str">
        <f t="shared" si="31"/>
        <v/>
      </c>
      <c r="J391" s="1296"/>
      <c r="K391" s="600" t="str">
        <f t="shared" si="32"/>
        <v/>
      </c>
      <c r="L391" s="591" t="str">
        <f t="shared" si="33"/>
        <v/>
      </c>
      <c r="M391" s="601" t="str">
        <f t="shared" si="34"/>
        <v/>
      </c>
      <c r="N391" s="601" t="str">
        <f t="shared" si="37"/>
        <v/>
      </c>
      <c r="O391" s="599" t="str">
        <f t="shared" si="35"/>
        <v/>
      </c>
      <c r="P391" s="601" t="str">
        <f t="shared" si="36"/>
        <v/>
      </c>
    </row>
    <row r="392" spans="1:16" s="220" customFormat="1" ht="18" hidden="1" customHeight="1">
      <c r="A392" s="591" t="str">
        <f t="shared" si="26"/>
        <v/>
      </c>
      <c r="B392" s="590">
        <f>LARGE($B$15:$B$264,122)</f>
        <v>0</v>
      </c>
      <c r="C392" s="599" t="str">
        <f t="shared" si="27"/>
        <v/>
      </c>
      <c r="D392" s="1295" t="str">
        <f t="shared" si="28"/>
        <v/>
      </c>
      <c r="E392" s="1295"/>
      <c r="F392" s="1295"/>
      <c r="G392" s="599" t="str">
        <f t="shared" si="29"/>
        <v/>
      </c>
      <c r="H392" s="599" t="str">
        <f t="shared" si="30"/>
        <v/>
      </c>
      <c r="I392" s="1296" t="str">
        <f t="shared" si="31"/>
        <v/>
      </c>
      <c r="J392" s="1296"/>
      <c r="K392" s="600" t="str">
        <f t="shared" si="32"/>
        <v/>
      </c>
      <c r="L392" s="591" t="str">
        <f t="shared" si="33"/>
        <v/>
      </c>
      <c r="M392" s="601" t="str">
        <f t="shared" si="34"/>
        <v/>
      </c>
      <c r="N392" s="601" t="str">
        <f t="shared" si="37"/>
        <v/>
      </c>
      <c r="O392" s="599" t="str">
        <f t="shared" si="35"/>
        <v/>
      </c>
      <c r="P392" s="601" t="str">
        <f t="shared" si="36"/>
        <v/>
      </c>
    </row>
    <row r="393" spans="1:16" s="220" customFormat="1" ht="18" hidden="1" customHeight="1">
      <c r="A393" s="591" t="str">
        <f t="shared" si="26"/>
        <v/>
      </c>
      <c r="B393" s="590">
        <f>LARGE($B$15:$B$264,123)</f>
        <v>0</v>
      </c>
      <c r="C393" s="599" t="str">
        <f t="shared" si="27"/>
        <v/>
      </c>
      <c r="D393" s="1295" t="str">
        <f t="shared" si="28"/>
        <v/>
      </c>
      <c r="E393" s="1295"/>
      <c r="F393" s="1295"/>
      <c r="G393" s="599" t="str">
        <f t="shared" si="29"/>
        <v/>
      </c>
      <c r="H393" s="599" t="str">
        <f t="shared" si="30"/>
        <v/>
      </c>
      <c r="I393" s="1296" t="str">
        <f t="shared" si="31"/>
        <v/>
      </c>
      <c r="J393" s="1296"/>
      <c r="K393" s="600" t="str">
        <f t="shared" si="32"/>
        <v/>
      </c>
      <c r="L393" s="591" t="str">
        <f t="shared" si="33"/>
        <v/>
      </c>
      <c r="M393" s="601" t="str">
        <f t="shared" si="34"/>
        <v/>
      </c>
      <c r="N393" s="601" t="str">
        <f t="shared" si="37"/>
        <v/>
      </c>
      <c r="O393" s="599" t="str">
        <f t="shared" si="35"/>
        <v/>
      </c>
      <c r="P393" s="601" t="str">
        <f t="shared" si="36"/>
        <v/>
      </c>
    </row>
    <row r="394" spans="1:16" s="220" customFormat="1" ht="18" hidden="1" customHeight="1">
      <c r="A394" s="591" t="str">
        <f t="shared" si="26"/>
        <v/>
      </c>
      <c r="B394" s="590">
        <f>LARGE($B$15:$B$264,124)</f>
        <v>0</v>
      </c>
      <c r="C394" s="599" t="str">
        <f t="shared" si="27"/>
        <v/>
      </c>
      <c r="D394" s="1295" t="str">
        <f t="shared" si="28"/>
        <v/>
      </c>
      <c r="E394" s="1295"/>
      <c r="F394" s="1295"/>
      <c r="G394" s="599" t="str">
        <f t="shared" si="29"/>
        <v/>
      </c>
      <c r="H394" s="599" t="str">
        <f t="shared" si="30"/>
        <v/>
      </c>
      <c r="I394" s="1296" t="str">
        <f t="shared" si="31"/>
        <v/>
      </c>
      <c r="J394" s="1296"/>
      <c r="K394" s="600" t="str">
        <f t="shared" si="32"/>
        <v/>
      </c>
      <c r="L394" s="591" t="str">
        <f t="shared" si="33"/>
        <v/>
      </c>
      <c r="M394" s="601" t="str">
        <f t="shared" si="34"/>
        <v/>
      </c>
      <c r="N394" s="601" t="str">
        <f t="shared" si="37"/>
        <v/>
      </c>
      <c r="O394" s="599" t="str">
        <f t="shared" si="35"/>
        <v/>
      </c>
      <c r="P394" s="601" t="str">
        <f t="shared" si="36"/>
        <v/>
      </c>
    </row>
    <row r="395" spans="1:16" s="220" customFormat="1" ht="18" hidden="1" customHeight="1">
      <c r="A395" s="591" t="str">
        <f t="shared" si="26"/>
        <v/>
      </c>
      <c r="B395" s="590">
        <f>LARGE($B$15:$B$264,125)</f>
        <v>0</v>
      </c>
      <c r="C395" s="599" t="str">
        <f t="shared" si="27"/>
        <v/>
      </c>
      <c r="D395" s="1295" t="str">
        <f t="shared" si="28"/>
        <v/>
      </c>
      <c r="E395" s="1295"/>
      <c r="F395" s="1295"/>
      <c r="G395" s="599" t="str">
        <f t="shared" si="29"/>
        <v/>
      </c>
      <c r="H395" s="599" t="str">
        <f t="shared" si="30"/>
        <v/>
      </c>
      <c r="I395" s="1296" t="str">
        <f t="shared" si="31"/>
        <v/>
      </c>
      <c r="J395" s="1296"/>
      <c r="K395" s="600" t="str">
        <f t="shared" si="32"/>
        <v/>
      </c>
      <c r="L395" s="591" t="str">
        <f t="shared" si="33"/>
        <v/>
      </c>
      <c r="M395" s="601" t="str">
        <f t="shared" si="34"/>
        <v/>
      </c>
      <c r="N395" s="601" t="str">
        <f t="shared" si="37"/>
        <v/>
      </c>
      <c r="O395" s="599" t="str">
        <f t="shared" si="35"/>
        <v/>
      </c>
      <c r="P395" s="601" t="str">
        <f t="shared" si="36"/>
        <v/>
      </c>
    </row>
    <row r="396" spans="1:16" s="220" customFormat="1" ht="18" hidden="1" customHeight="1">
      <c r="A396" s="591" t="str">
        <f t="shared" si="26"/>
        <v/>
      </c>
      <c r="B396" s="590">
        <f>LARGE($B$15:$B$264,126)</f>
        <v>0</v>
      </c>
      <c r="C396" s="599" t="str">
        <f t="shared" si="27"/>
        <v/>
      </c>
      <c r="D396" s="1295" t="str">
        <f t="shared" si="28"/>
        <v/>
      </c>
      <c r="E396" s="1295"/>
      <c r="F396" s="1295"/>
      <c r="G396" s="599" t="str">
        <f t="shared" si="29"/>
        <v/>
      </c>
      <c r="H396" s="599" t="str">
        <f t="shared" si="30"/>
        <v/>
      </c>
      <c r="I396" s="1296" t="str">
        <f t="shared" si="31"/>
        <v/>
      </c>
      <c r="J396" s="1296"/>
      <c r="K396" s="600" t="str">
        <f t="shared" si="32"/>
        <v/>
      </c>
      <c r="L396" s="591" t="str">
        <f t="shared" si="33"/>
        <v/>
      </c>
      <c r="M396" s="601" t="str">
        <f t="shared" si="34"/>
        <v/>
      </c>
      <c r="N396" s="601" t="str">
        <f t="shared" si="37"/>
        <v/>
      </c>
      <c r="O396" s="599" t="str">
        <f t="shared" si="35"/>
        <v/>
      </c>
      <c r="P396" s="601" t="str">
        <f t="shared" si="36"/>
        <v/>
      </c>
    </row>
    <row r="397" spans="1:16" s="220" customFormat="1" ht="18" hidden="1" customHeight="1">
      <c r="A397" s="591" t="str">
        <f t="shared" si="26"/>
        <v/>
      </c>
      <c r="B397" s="590">
        <f>LARGE($B$15:$B$264,127)</f>
        <v>0</v>
      </c>
      <c r="C397" s="599" t="str">
        <f t="shared" si="27"/>
        <v/>
      </c>
      <c r="D397" s="1295" t="str">
        <f t="shared" si="28"/>
        <v/>
      </c>
      <c r="E397" s="1295"/>
      <c r="F397" s="1295"/>
      <c r="G397" s="599" t="str">
        <f t="shared" si="29"/>
        <v/>
      </c>
      <c r="H397" s="599" t="str">
        <f t="shared" si="30"/>
        <v/>
      </c>
      <c r="I397" s="1296" t="str">
        <f t="shared" si="31"/>
        <v/>
      </c>
      <c r="J397" s="1296"/>
      <c r="K397" s="600" t="str">
        <f t="shared" si="32"/>
        <v/>
      </c>
      <c r="L397" s="591" t="str">
        <f t="shared" si="33"/>
        <v/>
      </c>
      <c r="M397" s="601" t="str">
        <f t="shared" si="34"/>
        <v/>
      </c>
      <c r="N397" s="601" t="str">
        <f t="shared" si="37"/>
        <v/>
      </c>
      <c r="O397" s="599" t="str">
        <f t="shared" si="35"/>
        <v/>
      </c>
      <c r="P397" s="601" t="str">
        <f t="shared" si="36"/>
        <v/>
      </c>
    </row>
    <row r="398" spans="1:16" s="220" customFormat="1" ht="18" hidden="1" customHeight="1">
      <c r="A398" s="591" t="str">
        <f t="shared" si="26"/>
        <v/>
      </c>
      <c r="B398" s="590">
        <f>LARGE($B$15:$B$264,128)</f>
        <v>0</v>
      </c>
      <c r="C398" s="599" t="str">
        <f t="shared" si="27"/>
        <v/>
      </c>
      <c r="D398" s="1295" t="str">
        <f t="shared" si="28"/>
        <v/>
      </c>
      <c r="E398" s="1295"/>
      <c r="F398" s="1295"/>
      <c r="G398" s="599" t="str">
        <f t="shared" si="29"/>
        <v/>
      </c>
      <c r="H398" s="599" t="str">
        <f t="shared" si="30"/>
        <v/>
      </c>
      <c r="I398" s="1296" t="str">
        <f t="shared" si="31"/>
        <v/>
      </c>
      <c r="J398" s="1296"/>
      <c r="K398" s="600" t="str">
        <f t="shared" si="32"/>
        <v/>
      </c>
      <c r="L398" s="591" t="str">
        <f t="shared" si="33"/>
        <v/>
      </c>
      <c r="M398" s="601" t="str">
        <f t="shared" si="34"/>
        <v/>
      </c>
      <c r="N398" s="601" t="str">
        <f t="shared" si="37"/>
        <v/>
      </c>
      <c r="O398" s="599" t="str">
        <f t="shared" si="35"/>
        <v/>
      </c>
      <c r="P398" s="601" t="str">
        <f t="shared" si="36"/>
        <v/>
      </c>
    </row>
    <row r="399" spans="1:16" s="220" customFormat="1" ht="18" hidden="1" customHeight="1">
      <c r="A399" s="591" t="str">
        <f t="shared" si="26"/>
        <v/>
      </c>
      <c r="B399" s="590">
        <f>LARGE($B$15:$B$264,129)</f>
        <v>0</v>
      </c>
      <c r="C399" s="599" t="str">
        <f t="shared" si="27"/>
        <v/>
      </c>
      <c r="D399" s="1295" t="str">
        <f t="shared" si="28"/>
        <v/>
      </c>
      <c r="E399" s="1295"/>
      <c r="F399" s="1295"/>
      <c r="G399" s="599" t="str">
        <f t="shared" si="29"/>
        <v/>
      </c>
      <c r="H399" s="599" t="str">
        <f t="shared" si="30"/>
        <v/>
      </c>
      <c r="I399" s="1296" t="str">
        <f t="shared" si="31"/>
        <v/>
      </c>
      <c r="J399" s="1296"/>
      <c r="K399" s="600" t="str">
        <f t="shared" si="32"/>
        <v/>
      </c>
      <c r="L399" s="591" t="str">
        <f t="shared" si="33"/>
        <v/>
      </c>
      <c r="M399" s="601" t="str">
        <f t="shared" si="34"/>
        <v/>
      </c>
      <c r="N399" s="601" t="str">
        <f t="shared" si="37"/>
        <v/>
      </c>
      <c r="O399" s="599" t="str">
        <f t="shared" si="35"/>
        <v/>
      </c>
      <c r="P399" s="601" t="str">
        <f t="shared" si="36"/>
        <v/>
      </c>
    </row>
    <row r="400" spans="1:16" s="220" customFormat="1" ht="18" hidden="1" customHeight="1">
      <c r="A400" s="591" t="str">
        <f t="shared" ref="A400:A463" si="38">P400</f>
        <v/>
      </c>
      <c r="B400" s="590">
        <f>LARGE($B$15:$B$264,130)</f>
        <v>0</v>
      </c>
      <c r="C400" s="599" t="str">
        <f t="shared" ref="C400:C463" si="39">IFERROR(IF(B400=0,"",VLOOKUP(B400,$B$15:$J$264,2,FALSE)),"")</f>
        <v/>
      </c>
      <c r="D400" s="1295" t="str">
        <f t="shared" ref="D400:D463" si="40">IFERROR(IF(B400=0,"",VLOOKUP(B400,$B$15:$J$264,3,FALSE)),"")</f>
        <v/>
      </c>
      <c r="E400" s="1295"/>
      <c r="F400" s="1295"/>
      <c r="G400" s="599" t="str">
        <f t="shared" ref="G400:G463" si="41">IFERROR(IF(B400=0,"",VLOOKUP(B400,$B$15:$J$264,6,FALSE)),"")</f>
        <v/>
      </c>
      <c r="H400" s="599" t="str">
        <f t="shared" ref="H400:H463" si="42">IFERROR(IF(B400=0,"",VLOOKUP(B400,$B$15:$J$264,7,FALSE)),"")</f>
        <v/>
      </c>
      <c r="I400" s="1296" t="str">
        <f t="shared" ref="I400:I463" si="43">IF(B400=0,"",VLOOKUP(B400,$B$15:$J$264,8,FALSE))</f>
        <v/>
      </c>
      <c r="J400" s="1296"/>
      <c r="K400" s="600" t="str">
        <f t="shared" ref="K400:K463" si="44">IF(B400=0,"",H400*I400)</f>
        <v/>
      </c>
      <c r="L400" s="591" t="str">
        <f t="shared" ref="L400:L463" si="45">O400</f>
        <v/>
      </c>
      <c r="M400" s="601" t="str">
        <f t="shared" ref="M400:M463" si="46">IF(B400=0,"",B400)</f>
        <v/>
      </c>
      <c r="N400" s="601" t="str">
        <f t="shared" si="37"/>
        <v/>
      </c>
      <c r="O400" s="599" t="str">
        <f t="shared" ref="O400:O463" si="47">IF(B400=0,"",(IF(N400&lt;80%,"Si","No")))</f>
        <v/>
      </c>
      <c r="P400" s="601" t="str">
        <f t="shared" ref="P400:P463" si="48">IF(B400=0,"",(IF(M400=$M$521,"Si",(IF(M400&gt;$M$521,"Si","No")))))</f>
        <v/>
      </c>
    </row>
    <row r="401" spans="1:16" s="220" customFormat="1" ht="18" hidden="1" customHeight="1">
      <c r="A401" s="591" t="str">
        <f t="shared" si="38"/>
        <v/>
      </c>
      <c r="B401" s="590">
        <f>LARGE($B$15:$B$264,131)</f>
        <v>0</v>
      </c>
      <c r="C401" s="599" t="str">
        <f t="shared" si="39"/>
        <v/>
      </c>
      <c r="D401" s="1295" t="str">
        <f t="shared" si="40"/>
        <v/>
      </c>
      <c r="E401" s="1295"/>
      <c r="F401" s="1295"/>
      <c r="G401" s="599" t="str">
        <f t="shared" si="41"/>
        <v/>
      </c>
      <c r="H401" s="599" t="str">
        <f t="shared" si="42"/>
        <v/>
      </c>
      <c r="I401" s="1296" t="str">
        <f t="shared" si="43"/>
        <v/>
      </c>
      <c r="J401" s="1296"/>
      <c r="K401" s="600" t="str">
        <f t="shared" si="44"/>
        <v/>
      </c>
      <c r="L401" s="591" t="str">
        <f t="shared" si="45"/>
        <v/>
      </c>
      <c r="M401" s="601" t="str">
        <f t="shared" si="46"/>
        <v/>
      </c>
      <c r="N401" s="601" t="str">
        <f t="shared" ref="N401:N464" si="49">IF(B401=0,"",M401+N400)</f>
        <v/>
      </c>
      <c r="O401" s="599" t="str">
        <f t="shared" si="47"/>
        <v/>
      </c>
      <c r="P401" s="601" t="str">
        <f t="shared" si="48"/>
        <v/>
      </c>
    </row>
    <row r="402" spans="1:16" s="220" customFormat="1" ht="18" hidden="1" customHeight="1">
      <c r="A402" s="591" t="str">
        <f t="shared" si="38"/>
        <v/>
      </c>
      <c r="B402" s="590">
        <f>LARGE($B$15:$B$264,132)</f>
        <v>0</v>
      </c>
      <c r="C402" s="599" t="str">
        <f t="shared" si="39"/>
        <v/>
      </c>
      <c r="D402" s="1295" t="str">
        <f t="shared" si="40"/>
        <v/>
      </c>
      <c r="E402" s="1295"/>
      <c r="F402" s="1295"/>
      <c r="G402" s="599" t="str">
        <f t="shared" si="41"/>
        <v/>
      </c>
      <c r="H402" s="599" t="str">
        <f t="shared" si="42"/>
        <v/>
      </c>
      <c r="I402" s="1296" t="str">
        <f t="shared" si="43"/>
        <v/>
      </c>
      <c r="J402" s="1296"/>
      <c r="K402" s="600" t="str">
        <f t="shared" si="44"/>
        <v/>
      </c>
      <c r="L402" s="591" t="str">
        <f t="shared" si="45"/>
        <v/>
      </c>
      <c r="M402" s="601" t="str">
        <f t="shared" si="46"/>
        <v/>
      </c>
      <c r="N402" s="601" t="str">
        <f t="shared" si="49"/>
        <v/>
      </c>
      <c r="O402" s="599" t="str">
        <f t="shared" si="47"/>
        <v/>
      </c>
      <c r="P402" s="601" t="str">
        <f t="shared" si="48"/>
        <v/>
      </c>
    </row>
    <row r="403" spans="1:16" s="220" customFormat="1" ht="18" hidden="1" customHeight="1">
      <c r="A403" s="591" t="str">
        <f t="shared" si="38"/>
        <v/>
      </c>
      <c r="B403" s="590">
        <f>LARGE($B$15:$B$264,133)</f>
        <v>0</v>
      </c>
      <c r="C403" s="599" t="str">
        <f t="shared" si="39"/>
        <v/>
      </c>
      <c r="D403" s="1295" t="str">
        <f t="shared" si="40"/>
        <v/>
      </c>
      <c r="E403" s="1295"/>
      <c r="F403" s="1295"/>
      <c r="G403" s="599" t="str">
        <f t="shared" si="41"/>
        <v/>
      </c>
      <c r="H403" s="599" t="str">
        <f t="shared" si="42"/>
        <v/>
      </c>
      <c r="I403" s="1296" t="str">
        <f t="shared" si="43"/>
        <v/>
      </c>
      <c r="J403" s="1296"/>
      <c r="K403" s="600" t="str">
        <f t="shared" si="44"/>
        <v/>
      </c>
      <c r="L403" s="591" t="str">
        <f t="shared" si="45"/>
        <v/>
      </c>
      <c r="M403" s="601" t="str">
        <f t="shared" si="46"/>
        <v/>
      </c>
      <c r="N403" s="601" t="str">
        <f t="shared" si="49"/>
        <v/>
      </c>
      <c r="O403" s="599" t="str">
        <f t="shared" si="47"/>
        <v/>
      </c>
      <c r="P403" s="601" t="str">
        <f t="shared" si="48"/>
        <v/>
      </c>
    </row>
    <row r="404" spans="1:16" s="220" customFormat="1" ht="18" hidden="1" customHeight="1">
      <c r="A404" s="591" t="str">
        <f t="shared" si="38"/>
        <v/>
      </c>
      <c r="B404" s="590">
        <f>LARGE($B$15:$B$264,134)</f>
        <v>0</v>
      </c>
      <c r="C404" s="599" t="str">
        <f t="shared" si="39"/>
        <v/>
      </c>
      <c r="D404" s="1295" t="str">
        <f t="shared" si="40"/>
        <v/>
      </c>
      <c r="E404" s="1295"/>
      <c r="F404" s="1295"/>
      <c r="G404" s="599" t="str">
        <f t="shared" si="41"/>
        <v/>
      </c>
      <c r="H404" s="599" t="str">
        <f t="shared" si="42"/>
        <v/>
      </c>
      <c r="I404" s="1296" t="str">
        <f t="shared" si="43"/>
        <v/>
      </c>
      <c r="J404" s="1296"/>
      <c r="K404" s="600" t="str">
        <f t="shared" si="44"/>
        <v/>
      </c>
      <c r="L404" s="591" t="str">
        <f t="shared" si="45"/>
        <v/>
      </c>
      <c r="M404" s="601" t="str">
        <f t="shared" si="46"/>
        <v/>
      </c>
      <c r="N404" s="601" t="str">
        <f t="shared" si="49"/>
        <v/>
      </c>
      <c r="O404" s="599" t="str">
        <f t="shared" si="47"/>
        <v/>
      </c>
      <c r="P404" s="601" t="str">
        <f t="shared" si="48"/>
        <v/>
      </c>
    </row>
    <row r="405" spans="1:16" s="220" customFormat="1" ht="18" hidden="1" customHeight="1">
      <c r="A405" s="591" t="str">
        <f t="shared" si="38"/>
        <v/>
      </c>
      <c r="B405" s="590">
        <f>LARGE($B$15:$B$264,135)</f>
        <v>0</v>
      </c>
      <c r="C405" s="599" t="str">
        <f t="shared" si="39"/>
        <v/>
      </c>
      <c r="D405" s="1295" t="str">
        <f t="shared" si="40"/>
        <v/>
      </c>
      <c r="E405" s="1295"/>
      <c r="F405" s="1295"/>
      <c r="G405" s="599" t="str">
        <f t="shared" si="41"/>
        <v/>
      </c>
      <c r="H405" s="599" t="str">
        <f t="shared" si="42"/>
        <v/>
      </c>
      <c r="I405" s="1296" t="str">
        <f t="shared" si="43"/>
        <v/>
      </c>
      <c r="J405" s="1296"/>
      <c r="K405" s="600" t="str">
        <f t="shared" si="44"/>
        <v/>
      </c>
      <c r="L405" s="591" t="str">
        <f t="shared" si="45"/>
        <v/>
      </c>
      <c r="M405" s="601" t="str">
        <f t="shared" si="46"/>
        <v/>
      </c>
      <c r="N405" s="601" t="str">
        <f t="shared" si="49"/>
        <v/>
      </c>
      <c r="O405" s="599" t="str">
        <f t="shared" si="47"/>
        <v/>
      </c>
      <c r="P405" s="601" t="str">
        <f t="shared" si="48"/>
        <v/>
      </c>
    </row>
    <row r="406" spans="1:16" s="220" customFormat="1" ht="18" hidden="1" customHeight="1">
      <c r="A406" s="591" t="str">
        <f t="shared" si="38"/>
        <v/>
      </c>
      <c r="B406" s="590">
        <f>LARGE($B$15:$B$264,136)</f>
        <v>0</v>
      </c>
      <c r="C406" s="599" t="str">
        <f t="shared" si="39"/>
        <v/>
      </c>
      <c r="D406" s="1295" t="str">
        <f t="shared" si="40"/>
        <v/>
      </c>
      <c r="E406" s="1295"/>
      <c r="F406" s="1295"/>
      <c r="G406" s="599" t="str">
        <f t="shared" si="41"/>
        <v/>
      </c>
      <c r="H406" s="599" t="str">
        <f t="shared" si="42"/>
        <v/>
      </c>
      <c r="I406" s="1296" t="str">
        <f t="shared" si="43"/>
        <v/>
      </c>
      <c r="J406" s="1296"/>
      <c r="K406" s="600" t="str">
        <f t="shared" si="44"/>
        <v/>
      </c>
      <c r="L406" s="591" t="str">
        <f t="shared" si="45"/>
        <v/>
      </c>
      <c r="M406" s="601" t="str">
        <f t="shared" si="46"/>
        <v/>
      </c>
      <c r="N406" s="601" t="str">
        <f t="shared" si="49"/>
        <v/>
      </c>
      <c r="O406" s="599" t="str">
        <f t="shared" si="47"/>
        <v/>
      </c>
      <c r="P406" s="601" t="str">
        <f t="shared" si="48"/>
        <v/>
      </c>
    </row>
    <row r="407" spans="1:16" s="220" customFormat="1" ht="18" hidden="1" customHeight="1">
      <c r="A407" s="591" t="str">
        <f t="shared" si="38"/>
        <v/>
      </c>
      <c r="B407" s="590">
        <f>LARGE($B$15:$B$264,137)</f>
        <v>0</v>
      </c>
      <c r="C407" s="599" t="str">
        <f t="shared" si="39"/>
        <v/>
      </c>
      <c r="D407" s="1295" t="str">
        <f t="shared" si="40"/>
        <v/>
      </c>
      <c r="E407" s="1295"/>
      <c r="F407" s="1295"/>
      <c r="G407" s="599" t="str">
        <f t="shared" si="41"/>
        <v/>
      </c>
      <c r="H407" s="599" t="str">
        <f t="shared" si="42"/>
        <v/>
      </c>
      <c r="I407" s="1296" t="str">
        <f t="shared" si="43"/>
        <v/>
      </c>
      <c r="J407" s="1296"/>
      <c r="K407" s="600" t="str">
        <f t="shared" si="44"/>
        <v/>
      </c>
      <c r="L407" s="591" t="str">
        <f t="shared" si="45"/>
        <v/>
      </c>
      <c r="M407" s="601" t="str">
        <f t="shared" si="46"/>
        <v/>
      </c>
      <c r="N407" s="601" t="str">
        <f t="shared" si="49"/>
        <v/>
      </c>
      <c r="O407" s="599" t="str">
        <f t="shared" si="47"/>
        <v/>
      </c>
      <c r="P407" s="601" t="str">
        <f t="shared" si="48"/>
        <v/>
      </c>
    </row>
    <row r="408" spans="1:16" s="220" customFormat="1" ht="18" hidden="1" customHeight="1">
      <c r="A408" s="591" t="str">
        <f t="shared" si="38"/>
        <v/>
      </c>
      <c r="B408" s="590">
        <f>LARGE($B$15:$B$264,138)</f>
        <v>0</v>
      </c>
      <c r="C408" s="599" t="str">
        <f t="shared" si="39"/>
        <v/>
      </c>
      <c r="D408" s="1295" t="str">
        <f t="shared" si="40"/>
        <v/>
      </c>
      <c r="E408" s="1295"/>
      <c r="F408" s="1295"/>
      <c r="G408" s="599" t="str">
        <f t="shared" si="41"/>
        <v/>
      </c>
      <c r="H408" s="599" t="str">
        <f t="shared" si="42"/>
        <v/>
      </c>
      <c r="I408" s="1296" t="str">
        <f t="shared" si="43"/>
        <v/>
      </c>
      <c r="J408" s="1296"/>
      <c r="K408" s="600" t="str">
        <f t="shared" si="44"/>
        <v/>
      </c>
      <c r="L408" s="591" t="str">
        <f t="shared" si="45"/>
        <v/>
      </c>
      <c r="M408" s="601" t="str">
        <f t="shared" si="46"/>
        <v/>
      </c>
      <c r="N408" s="601" t="str">
        <f t="shared" si="49"/>
        <v/>
      </c>
      <c r="O408" s="599" t="str">
        <f t="shared" si="47"/>
        <v/>
      </c>
      <c r="P408" s="601" t="str">
        <f t="shared" si="48"/>
        <v/>
      </c>
    </row>
    <row r="409" spans="1:16" s="220" customFormat="1" ht="18" hidden="1" customHeight="1">
      <c r="A409" s="591" t="str">
        <f t="shared" si="38"/>
        <v/>
      </c>
      <c r="B409" s="590">
        <f>LARGE($B$15:$B$264,139)</f>
        <v>0</v>
      </c>
      <c r="C409" s="599" t="str">
        <f t="shared" si="39"/>
        <v/>
      </c>
      <c r="D409" s="1295" t="str">
        <f t="shared" si="40"/>
        <v/>
      </c>
      <c r="E409" s="1295"/>
      <c r="F409" s="1295"/>
      <c r="G409" s="599" t="str">
        <f t="shared" si="41"/>
        <v/>
      </c>
      <c r="H409" s="599" t="str">
        <f t="shared" si="42"/>
        <v/>
      </c>
      <c r="I409" s="1296" t="str">
        <f t="shared" si="43"/>
        <v/>
      </c>
      <c r="J409" s="1296"/>
      <c r="K409" s="600" t="str">
        <f t="shared" si="44"/>
        <v/>
      </c>
      <c r="L409" s="591" t="str">
        <f t="shared" si="45"/>
        <v/>
      </c>
      <c r="M409" s="601" t="str">
        <f t="shared" si="46"/>
        <v/>
      </c>
      <c r="N409" s="601" t="str">
        <f t="shared" si="49"/>
        <v/>
      </c>
      <c r="O409" s="599" t="str">
        <f t="shared" si="47"/>
        <v/>
      </c>
      <c r="P409" s="601" t="str">
        <f t="shared" si="48"/>
        <v/>
      </c>
    </row>
    <row r="410" spans="1:16" s="220" customFormat="1" ht="18" hidden="1" customHeight="1">
      <c r="A410" s="591" t="str">
        <f t="shared" si="38"/>
        <v/>
      </c>
      <c r="B410" s="590">
        <f>LARGE($B$15:$B$264,140)</f>
        <v>0</v>
      </c>
      <c r="C410" s="599" t="str">
        <f t="shared" si="39"/>
        <v/>
      </c>
      <c r="D410" s="1295" t="str">
        <f t="shared" si="40"/>
        <v/>
      </c>
      <c r="E410" s="1295"/>
      <c r="F410" s="1295"/>
      <c r="G410" s="599" t="str">
        <f t="shared" si="41"/>
        <v/>
      </c>
      <c r="H410" s="599" t="str">
        <f t="shared" si="42"/>
        <v/>
      </c>
      <c r="I410" s="1296" t="str">
        <f t="shared" si="43"/>
        <v/>
      </c>
      <c r="J410" s="1296"/>
      <c r="K410" s="600" t="str">
        <f t="shared" si="44"/>
        <v/>
      </c>
      <c r="L410" s="591" t="str">
        <f t="shared" si="45"/>
        <v/>
      </c>
      <c r="M410" s="601" t="str">
        <f t="shared" si="46"/>
        <v/>
      </c>
      <c r="N410" s="601" t="str">
        <f t="shared" si="49"/>
        <v/>
      </c>
      <c r="O410" s="599" t="str">
        <f t="shared" si="47"/>
        <v/>
      </c>
      <c r="P410" s="601" t="str">
        <f t="shared" si="48"/>
        <v/>
      </c>
    </row>
    <row r="411" spans="1:16" s="220" customFormat="1" ht="18" hidden="1" customHeight="1">
      <c r="A411" s="591" t="str">
        <f t="shared" si="38"/>
        <v/>
      </c>
      <c r="B411" s="590">
        <f>LARGE($B$15:$B$264,141)</f>
        <v>0</v>
      </c>
      <c r="C411" s="599" t="str">
        <f t="shared" si="39"/>
        <v/>
      </c>
      <c r="D411" s="1295" t="str">
        <f t="shared" si="40"/>
        <v/>
      </c>
      <c r="E411" s="1295"/>
      <c r="F411" s="1295"/>
      <c r="G411" s="599" t="str">
        <f t="shared" si="41"/>
        <v/>
      </c>
      <c r="H411" s="599" t="str">
        <f t="shared" si="42"/>
        <v/>
      </c>
      <c r="I411" s="1296" t="str">
        <f t="shared" si="43"/>
        <v/>
      </c>
      <c r="J411" s="1296"/>
      <c r="K411" s="600" t="str">
        <f t="shared" si="44"/>
        <v/>
      </c>
      <c r="L411" s="591" t="str">
        <f t="shared" si="45"/>
        <v/>
      </c>
      <c r="M411" s="601" t="str">
        <f t="shared" si="46"/>
        <v/>
      </c>
      <c r="N411" s="601" t="str">
        <f t="shared" si="49"/>
        <v/>
      </c>
      <c r="O411" s="599" t="str">
        <f t="shared" si="47"/>
        <v/>
      </c>
      <c r="P411" s="601" t="str">
        <f t="shared" si="48"/>
        <v/>
      </c>
    </row>
    <row r="412" spans="1:16" s="220" customFormat="1" ht="18" hidden="1" customHeight="1">
      <c r="A412" s="591" t="str">
        <f t="shared" si="38"/>
        <v/>
      </c>
      <c r="B412" s="590">
        <f>LARGE($B$15:$B$264,142)</f>
        <v>0</v>
      </c>
      <c r="C412" s="599" t="str">
        <f t="shared" si="39"/>
        <v/>
      </c>
      <c r="D412" s="1295" t="str">
        <f t="shared" si="40"/>
        <v/>
      </c>
      <c r="E412" s="1295"/>
      <c r="F412" s="1295"/>
      <c r="G412" s="599" t="str">
        <f t="shared" si="41"/>
        <v/>
      </c>
      <c r="H412" s="599" t="str">
        <f t="shared" si="42"/>
        <v/>
      </c>
      <c r="I412" s="1296" t="str">
        <f t="shared" si="43"/>
        <v/>
      </c>
      <c r="J412" s="1296"/>
      <c r="K412" s="600" t="str">
        <f t="shared" si="44"/>
        <v/>
      </c>
      <c r="L412" s="591" t="str">
        <f t="shared" si="45"/>
        <v/>
      </c>
      <c r="M412" s="601" t="str">
        <f t="shared" si="46"/>
        <v/>
      </c>
      <c r="N412" s="601" t="str">
        <f t="shared" si="49"/>
        <v/>
      </c>
      <c r="O412" s="599" t="str">
        <f t="shared" si="47"/>
        <v/>
      </c>
      <c r="P412" s="601" t="str">
        <f t="shared" si="48"/>
        <v/>
      </c>
    </row>
    <row r="413" spans="1:16" s="220" customFormat="1" ht="18" hidden="1" customHeight="1">
      <c r="A413" s="591" t="str">
        <f t="shared" si="38"/>
        <v/>
      </c>
      <c r="B413" s="590">
        <f>LARGE($B$15:$B$264,143)</f>
        <v>0</v>
      </c>
      <c r="C413" s="599" t="str">
        <f t="shared" si="39"/>
        <v/>
      </c>
      <c r="D413" s="1295" t="str">
        <f t="shared" si="40"/>
        <v/>
      </c>
      <c r="E413" s="1295"/>
      <c r="F413" s="1295"/>
      <c r="G413" s="599" t="str">
        <f t="shared" si="41"/>
        <v/>
      </c>
      <c r="H413" s="599" t="str">
        <f t="shared" si="42"/>
        <v/>
      </c>
      <c r="I413" s="1296" t="str">
        <f t="shared" si="43"/>
        <v/>
      </c>
      <c r="J413" s="1296"/>
      <c r="K413" s="600" t="str">
        <f t="shared" si="44"/>
        <v/>
      </c>
      <c r="L413" s="591" t="str">
        <f t="shared" si="45"/>
        <v/>
      </c>
      <c r="M413" s="601" t="str">
        <f t="shared" si="46"/>
        <v/>
      </c>
      <c r="N413" s="601" t="str">
        <f t="shared" si="49"/>
        <v/>
      </c>
      <c r="O413" s="599" t="str">
        <f t="shared" si="47"/>
        <v/>
      </c>
      <c r="P413" s="601" t="str">
        <f t="shared" si="48"/>
        <v/>
      </c>
    </row>
    <row r="414" spans="1:16" s="220" customFormat="1" ht="18" hidden="1" customHeight="1">
      <c r="A414" s="591" t="str">
        <f t="shared" si="38"/>
        <v/>
      </c>
      <c r="B414" s="590">
        <f>LARGE($B$15:$B$264,144)</f>
        <v>0</v>
      </c>
      <c r="C414" s="599" t="str">
        <f t="shared" si="39"/>
        <v/>
      </c>
      <c r="D414" s="1295" t="str">
        <f t="shared" si="40"/>
        <v/>
      </c>
      <c r="E414" s="1295"/>
      <c r="F414" s="1295"/>
      <c r="G414" s="599" t="str">
        <f t="shared" si="41"/>
        <v/>
      </c>
      <c r="H414" s="599" t="str">
        <f t="shared" si="42"/>
        <v/>
      </c>
      <c r="I414" s="1296" t="str">
        <f t="shared" si="43"/>
        <v/>
      </c>
      <c r="J414" s="1296"/>
      <c r="K414" s="600" t="str">
        <f t="shared" si="44"/>
        <v/>
      </c>
      <c r="L414" s="591" t="str">
        <f t="shared" si="45"/>
        <v/>
      </c>
      <c r="M414" s="601" t="str">
        <f t="shared" si="46"/>
        <v/>
      </c>
      <c r="N414" s="601" t="str">
        <f t="shared" si="49"/>
        <v/>
      </c>
      <c r="O414" s="599" t="str">
        <f t="shared" si="47"/>
        <v/>
      </c>
      <c r="P414" s="601" t="str">
        <f t="shared" si="48"/>
        <v/>
      </c>
    </row>
    <row r="415" spans="1:16" s="220" customFormat="1" ht="18" hidden="1" customHeight="1">
      <c r="A415" s="591" t="str">
        <f t="shared" si="38"/>
        <v/>
      </c>
      <c r="B415" s="590">
        <f>LARGE($B$15:$B$264,145)</f>
        <v>0</v>
      </c>
      <c r="C415" s="599" t="str">
        <f t="shared" si="39"/>
        <v/>
      </c>
      <c r="D415" s="1295" t="str">
        <f t="shared" si="40"/>
        <v/>
      </c>
      <c r="E415" s="1295"/>
      <c r="F415" s="1295"/>
      <c r="G415" s="599" t="str">
        <f t="shared" si="41"/>
        <v/>
      </c>
      <c r="H415" s="599" t="str">
        <f t="shared" si="42"/>
        <v/>
      </c>
      <c r="I415" s="1296" t="str">
        <f t="shared" si="43"/>
        <v/>
      </c>
      <c r="J415" s="1296"/>
      <c r="K415" s="600" t="str">
        <f t="shared" si="44"/>
        <v/>
      </c>
      <c r="L415" s="591" t="str">
        <f t="shared" si="45"/>
        <v/>
      </c>
      <c r="M415" s="601" t="str">
        <f t="shared" si="46"/>
        <v/>
      </c>
      <c r="N415" s="601" t="str">
        <f t="shared" si="49"/>
        <v/>
      </c>
      <c r="O415" s="599" t="str">
        <f t="shared" si="47"/>
        <v/>
      </c>
      <c r="P415" s="601" t="str">
        <f t="shared" si="48"/>
        <v/>
      </c>
    </row>
    <row r="416" spans="1:16" s="220" customFormat="1" ht="18" hidden="1" customHeight="1">
      <c r="A416" s="591" t="str">
        <f t="shared" si="38"/>
        <v/>
      </c>
      <c r="B416" s="590">
        <f>LARGE($B$15:$B$264,146)</f>
        <v>0</v>
      </c>
      <c r="C416" s="599" t="str">
        <f t="shared" si="39"/>
        <v/>
      </c>
      <c r="D416" s="1295" t="str">
        <f t="shared" si="40"/>
        <v/>
      </c>
      <c r="E416" s="1295"/>
      <c r="F416" s="1295"/>
      <c r="G416" s="599" t="str">
        <f t="shared" si="41"/>
        <v/>
      </c>
      <c r="H416" s="599" t="str">
        <f t="shared" si="42"/>
        <v/>
      </c>
      <c r="I416" s="1296" t="str">
        <f t="shared" si="43"/>
        <v/>
      </c>
      <c r="J416" s="1296"/>
      <c r="K416" s="600" t="str">
        <f t="shared" si="44"/>
        <v/>
      </c>
      <c r="L416" s="591" t="str">
        <f t="shared" si="45"/>
        <v/>
      </c>
      <c r="M416" s="601" t="str">
        <f t="shared" si="46"/>
        <v/>
      </c>
      <c r="N416" s="601" t="str">
        <f t="shared" si="49"/>
        <v/>
      </c>
      <c r="O416" s="599" t="str">
        <f t="shared" si="47"/>
        <v/>
      </c>
      <c r="P416" s="601" t="str">
        <f t="shared" si="48"/>
        <v/>
      </c>
    </row>
    <row r="417" spans="1:16" s="220" customFormat="1" ht="18" hidden="1" customHeight="1">
      <c r="A417" s="591" t="str">
        <f t="shared" si="38"/>
        <v/>
      </c>
      <c r="B417" s="590">
        <f>LARGE($B$15:$B$264,147)</f>
        <v>0</v>
      </c>
      <c r="C417" s="599" t="str">
        <f t="shared" si="39"/>
        <v/>
      </c>
      <c r="D417" s="1295" t="str">
        <f t="shared" si="40"/>
        <v/>
      </c>
      <c r="E417" s="1295"/>
      <c r="F417" s="1295"/>
      <c r="G417" s="599" t="str">
        <f t="shared" si="41"/>
        <v/>
      </c>
      <c r="H417" s="599" t="str">
        <f t="shared" si="42"/>
        <v/>
      </c>
      <c r="I417" s="1296" t="str">
        <f t="shared" si="43"/>
        <v/>
      </c>
      <c r="J417" s="1296"/>
      <c r="K417" s="600" t="str">
        <f t="shared" si="44"/>
        <v/>
      </c>
      <c r="L417" s="591" t="str">
        <f t="shared" si="45"/>
        <v/>
      </c>
      <c r="M417" s="601" t="str">
        <f t="shared" si="46"/>
        <v/>
      </c>
      <c r="N417" s="601" t="str">
        <f t="shared" si="49"/>
        <v/>
      </c>
      <c r="O417" s="599" t="str">
        <f t="shared" si="47"/>
        <v/>
      </c>
      <c r="P417" s="601" t="str">
        <f t="shared" si="48"/>
        <v/>
      </c>
    </row>
    <row r="418" spans="1:16" s="220" customFormat="1" ht="18" hidden="1" customHeight="1">
      <c r="A418" s="591" t="str">
        <f t="shared" si="38"/>
        <v/>
      </c>
      <c r="B418" s="590">
        <f>LARGE($B$15:$B$264,148)</f>
        <v>0</v>
      </c>
      <c r="C418" s="599" t="str">
        <f t="shared" si="39"/>
        <v/>
      </c>
      <c r="D418" s="1295" t="str">
        <f t="shared" si="40"/>
        <v/>
      </c>
      <c r="E418" s="1295"/>
      <c r="F418" s="1295"/>
      <c r="G418" s="599" t="str">
        <f t="shared" si="41"/>
        <v/>
      </c>
      <c r="H418" s="599" t="str">
        <f t="shared" si="42"/>
        <v/>
      </c>
      <c r="I418" s="1296" t="str">
        <f t="shared" si="43"/>
        <v/>
      </c>
      <c r="J418" s="1296"/>
      <c r="K418" s="600" t="str">
        <f t="shared" si="44"/>
        <v/>
      </c>
      <c r="L418" s="591" t="str">
        <f t="shared" si="45"/>
        <v/>
      </c>
      <c r="M418" s="601" t="str">
        <f t="shared" si="46"/>
        <v/>
      </c>
      <c r="N418" s="601" t="str">
        <f t="shared" si="49"/>
        <v/>
      </c>
      <c r="O418" s="599" t="str">
        <f t="shared" si="47"/>
        <v/>
      </c>
      <c r="P418" s="601" t="str">
        <f t="shared" si="48"/>
        <v/>
      </c>
    </row>
    <row r="419" spans="1:16" s="220" customFormat="1" ht="18" hidden="1" customHeight="1">
      <c r="A419" s="591" t="str">
        <f t="shared" si="38"/>
        <v/>
      </c>
      <c r="B419" s="590">
        <f>LARGE($B$15:$B$264,149)</f>
        <v>0</v>
      </c>
      <c r="C419" s="599" t="str">
        <f t="shared" si="39"/>
        <v/>
      </c>
      <c r="D419" s="1295" t="str">
        <f t="shared" si="40"/>
        <v/>
      </c>
      <c r="E419" s="1295"/>
      <c r="F419" s="1295"/>
      <c r="G419" s="599" t="str">
        <f t="shared" si="41"/>
        <v/>
      </c>
      <c r="H419" s="599" t="str">
        <f t="shared" si="42"/>
        <v/>
      </c>
      <c r="I419" s="1296" t="str">
        <f t="shared" si="43"/>
        <v/>
      </c>
      <c r="J419" s="1296"/>
      <c r="K419" s="600" t="str">
        <f t="shared" si="44"/>
        <v/>
      </c>
      <c r="L419" s="591" t="str">
        <f t="shared" si="45"/>
        <v/>
      </c>
      <c r="M419" s="601" t="str">
        <f t="shared" si="46"/>
        <v/>
      </c>
      <c r="N419" s="601" t="str">
        <f t="shared" si="49"/>
        <v/>
      </c>
      <c r="O419" s="599" t="str">
        <f t="shared" si="47"/>
        <v/>
      </c>
      <c r="P419" s="601" t="str">
        <f t="shared" si="48"/>
        <v/>
      </c>
    </row>
    <row r="420" spans="1:16" s="220" customFormat="1" ht="18" hidden="1" customHeight="1">
      <c r="A420" s="591" t="str">
        <f t="shared" si="38"/>
        <v/>
      </c>
      <c r="B420" s="590">
        <f>LARGE($B$15:$B$264,150)</f>
        <v>0</v>
      </c>
      <c r="C420" s="599" t="str">
        <f t="shared" si="39"/>
        <v/>
      </c>
      <c r="D420" s="1295" t="str">
        <f t="shared" si="40"/>
        <v/>
      </c>
      <c r="E420" s="1295"/>
      <c r="F420" s="1295"/>
      <c r="G420" s="599" t="str">
        <f t="shared" si="41"/>
        <v/>
      </c>
      <c r="H420" s="599" t="str">
        <f t="shared" si="42"/>
        <v/>
      </c>
      <c r="I420" s="1296" t="str">
        <f t="shared" si="43"/>
        <v/>
      </c>
      <c r="J420" s="1296"/>
      <c r="K420" s="600" t="str">
        <f t="shared" si="44"/>
        <v/>
      </c>
      <c r="L420" s="591" t="str">
        <f t="shared" si="45"/>
        <v/>
      </c>
      <c r="M420" s="601" t="str">
        <f t="shared" si="46"/>
        <v/>
      </c>
      <c r="N420" s="601" t="str">
        <f t="shared" si="49"/>
        <v/>
      </c>
      <c r="O420" s="599" t="str">
        <f t="shared" si="47"/>
        <v/>
      </c>
      <c r="P420" s="601" t="str">
        <f t="shared" si="48"/>
        <v/>
      </c>
    </row>
    <row r="421" spans="1:16" s="220" customFormat="1" ht="18" hidden="1" customHeight="1">
      <c r="A421" s="591" t="str">
        <f t="shared" si="38"/>
        <v/>
      </c>
      <c r="B421" s="590">
        <f>LARGE($B$15:$B$264,151)</f>
        <v>0</v>
      </c>
      <c r="C421" s="599" t="str">
        <f t="shared" si="39"/>
        <v/>
      </c>
      <c r="D421" s="1295" t="str">
        <f t="shared" si="40"/>
        <v/>
      </c>
      <c r="E421" s="1295"/>
      <c r="F421" s="1295"/>
      <c r="G421" s="599" t="str">
        <f t="shared" si="41"/>
        <v/>
      </c>
      <c r="H421" s="599" t="str">
        <f t="shared" si="42"/>
        <v/>
      </c>
      <c r="I421" s="1296" t="str">
        <f t="shared" si="43"/>
        <v/>
      </c>
      <c r="J421" s="1296"/>
      <c r="K421" s="600" t="str">
        <f t="shared" si="44"/>
        <v/>
      </c>
      <c r="L421" s="591" t="str">
        <f t="shared" si="45"/>
        <v/>
      </c>
      <c r="M421" s="601" t="str">
        <f t="shared" si="46"/>
        <v/>
      </c>
      <c r="N421" s="601" t="str">
        <f t="shared" si="49"/>
        <v/>
      </c>
      <c r="O421" s="599" t="str">
        <f t="shared" si="47"/>
        <v/>
      </c>
      <c r="P421" s="601" t="str">
        <f t="shared" si="48"/>
        <v/>
      </c>
    </row>
    <row r="422" spans="1:16" s="220" customFormat="1" ht="18" hidden="1" customHeight="1">
      <c r="A422" s="591" t="str">
        <f t="shared" si="38"/>
        <v/>
      </c>
      <c r="B422" s="590">
        <f>LARGE($B$15:$B$264,152)</f>
        <v>0</v>
      </c>
      <c r="C422" s="599" t="str">
        <f t="shared" si="39"/>
        <v/>
      </c>
      <c r="D422" s="1295" t="str">
        <f t="shared" si="40"/>
        <v/>
      </c>
      <c r="E422" s="1295"/>
      <c r="F422" s="1295"/>
      <c r="G422" s="599" t="str">
        <f t="shared" si="41"/>
        <v/>
      </c>
      <c r="H422" s="599" t="str">
        <f t="shared" si="42"/>
        <v/>
      </c>
      <c r="I422" s="1296" t="str">
        <f t="shared" si="43"/>
        <v/>
      </c>
      <c r="J422" s="1296"/>
      <c r="K422" s="600" t="str">
        <f t="shared" si="44"/>
        <v/>
      </c>
      <c r="L422" s="591" t="str">
        <f t="shared" si="45"/>
        <v/>
      </c>
      <c r="M422" s="601" t="str">
        <f t="shared" si="46"/>
        <v/>
      </c>
      <c r="N422" s="601" t="str">
        <f t="shared" si="49"/>
        <v/>
      </c>
      <c r="O422" s="599" t="str">
        <f t="shared" si="47"/>
        <v/>
      </c>
      <c r="P422" s="601" t="str">
        <f t="shared" si="48"/>
        <v/>
      </c>
    </row>
    <row r="423" spans="1:16" s="220" customFormat="1" ht="18" hidden="1" customHeight="1">
      <c r="A423" s="591" t="str">
        <f t="shared" si="38"/>
        <v/>
      </c>
      <c r="B423" s="590">
        <f>LARGE($B$15:$B$264,153)</f>
        <v>0</v>
      </c>
      <c r="C423" s="599" t="str">
        <f t="shared" si="39"/>
        <v/>
      </c>
      <c r="D423" s="1295" t="str">
        <f t="shared" si="40"/>
        <v/>
      </c>
      <c r="E423" s="1295"/>
      <c r="F423" s="1295"/>
      <c r="G423" s="599" t="str">
        <f t="shared" si="41"/>
        <v/>
      </c>
      <c r="H423" s="599" t="str">
        <f t="shared" si="42"/>
        <v/>
      </c>
      <c r="I423" s="1296" t="str">
        <f t="shared" si="43"/>
        <v/>
      </c>
      <c r="J423" s="1296"/>
      <c r="K423" s="600" t="str">
        <f t="shared" si="44"/>
        <v/>
      </c>
      <c r="L423" s="591" t="str">
        <f t="shared" si="45"/>
        <v/>
      </c>
      <c r="M423" s="601" t="str">
        <f t="shared" si="46"/>
        <v/>
      </c>
      <c r="N423" s="601" t="str">
        <f t="shared" si="49"/>
        <v/>
      </c>
      <c r="O423" s="599" t="str">
        <f t="shared" si="47"/>
        <v/>
      </c>
      <c r="P423" s="601" t="str">
        <f t="shared" si="48"/>
        <v/>
      </c>
    </row>
    <row r="424" spans="1:16" s="220" customFormat="1" ht="18" hidden="1" customHeight="1">
      <c r="A424" s="591" t="str">
        <f t="shared" si="38"/>
        <v/>
      </c>
      <c r="B424" s="590">
        <f>LARGE($B$15:$B$264,154)</f>
        <v>0</v>
      </c>
      <c r="C424" s="599" t="str">
        <f t="shared" si="39"/>
        <v/>
      </c>
      <c r="D424" s="1295" t="str">
        <f t="shared" si="40"/>
        <v/>
      </c>
      <c r="E424" s="1295"/>
      <c r="F424" s="1295"/>
      <c r="G424" s="599" t="str">
        <f t="shared" si="41"/>
        <v/>
      </c>
      <c r="H424" s="599" t="str">
        <f t="shared" si="42"/>
        <v/>
      </c>
      <c r="I424" s="1296" t="str">
        <f t="shared" si="43"/>
        <v/>
      </c>
      <c r="J424" s="1296"/>
      <c r="K424" s="600" t="str">
        <f t="shared" si="44"/>
        <v/>
      </c>
      <c r="L424" s="591" t="str">
        <f t="shared" si="45"/>
        <v/>
      </c>
      <c r="M424" s="601" t="str">
        <f t="shared" si="46"/>
        <v/>
      </c>
      <c r="N424" s="601" t="str">
        <f t="shared" si="49"/>
        <v/>
      </c>
      <c r="O424" s="599" t="str">
        <f t="shared" si="47"/>
        <v/>
      </c>
      <c r="P424" s="601" t="str">
        <f t="shared" si="48"/>
        <v/>
      </c>
    </row>
    <row r="425" spans="1:16" s="220" customFormat="1" ht="18" hidden="1" customHeight="1">
      <c r="A425" s="591" t="str">
        <f t="shared" si="38"/>
        <v/>
      </c>
      <c r="B425" s="590">
        <f>LARGE($B$15:$B$264,155)</f>
        <v>0</v>
      </c>
      <c r="C425" s="599" t="str">
        <f t="shared" si="39"/>
        <v/>
      </c>
      <c r="D425" s="1295" t="str">
        <f t="shared" si="40"/>
        <v/>
      </c>
      <c r="E425" s="1295"/>
      <c r="F425" s="1295"/>
      <c r="G425" s="599" t="str">
        <f t="shared" si="41"/>
        <v/>
      </c>
      <c r="H425" s="599" t="str">
        <f t="shared" si="42"/>
        <v/>
      </c>
      <c r="I425" s="1296" t="str">
        <f t="shared" si="43"/>
        <v/>
      </c>
      <c r="J425" s="1296"/>
      <c r="K425" s="600" t="str">
        <f t="shared" si="44"/>
        <v/>
      </c>
      <c r="L425" s="591" t="str">
        <f t="shared" si="45"/>
        <v/>
      </c>
      <c r="M425" s="601" t="str">
        <f t="shared" si="46"/>
        <v/>
      </c>
      <c r="N425" s="601" t="str">
        <f t="shared" si="49"/>
        <v/>
      </c>
      <c r="O425" s="599" t="str">
        <f t="shared" si="47"/>
        <v/>
      </c>
      <c r="P425" s="601" t="str">
        <f t="shared" si="48"/>
        <v/>
      </c>
    </row>
    <row r="426" spans="1:16" s="220" customFormat="1" ht="18" hidden="1" customHeight="1">
      <c r="A426" s="591" t="str">
        <f t="shared" si="38"/>
        <v/>
      </c>
      <c r="B426" s="590">
        <f>LARGE($B$15:$B$264,156)</f>
        <v>0</v>
      </c>
      <c r="C426" s="599" t="str">
        <f t="shared" si="39"/>
        <v/>
      </c>
      <c r="D426" s="1295" t="str">
        <f t="shared" si="40"/>
        <v/>
      </c>
      <c r="E426" s="1295"/>
      <c r="F426" s="1295"/>
      <c r="G426" s="599" t="str">
        <f t="shared" si="41"/>
        <v/>
      </c>
      <c r="H426" s="599" t="str">
        <f t="shared" si="42"/>
        <v/>
      </c>
      <c r="I426" s="1296" t="str">
        <f t="shared" si="43"/>
        <v/>
      </c>
      <c r="J426" s="1296"/>
      <c r="K426" s="600" t="str">
        <f t="shared" si="44"/>
        <v/>
      </c>
      <c r="L426" s="591" t="str">
        <f t="shared" si="45"/>
        <v/>
      </c>
      <c r="M426" s="601" t="str">
        <f t="shared" si="46"/>
        <v/>
      </c>
      <c r="N426" s="601" t="str">
        <f t="shared" si="49"/>
        <v/>
      </c>
      <c r="O426" s="599" t="str">
        <f t="shared" si="47"/>
        <v/>
      </c>
      <c r="P426" s="601" t="str">
        <f t="shared" si="48"/>
        <v/>
      </c>
    </row>
    <row r="427" spans="1:16" s="220" customFormat="1" ht="18" hidden="1" customHeight="1">
      <c r="A427" s="591" t="str">
        <f t="shared" si="38"/>
        <v/>
      </c>
      <c r="B427" s="590">
        <f>LARGE($B$15:$B$264,157)</f>
        <v>0</v>
      </c>
      <c r="C427" s="599" t="str">
        <f t="shared" si="39"/>
        <v/>
      </c>
      <c r="D427" s="1295" t="str">
        <f t="shared" si="40"/>
        <v/>
      </c>
      <c r="E427" s="1295"/>
      <c r="F427" s="1295"/>
      <c r="G427" s="599" t="str">
        <f t="shared" si="41"/>
        <v/>
      </c>
      <c r="H427" s="599" t="str">
        <f t="shared" si="42"/>
        <v/>
      </c>
      <c r="I427" s="1296" t="str">
        <f t="shared" si="43"/>
        <v/>
      </c>
      <c r="J427" s="1296"/>
      <c r="K427" s="600" t="str">
        <f t="shared" si="44"/>
        <v/>
      </c>
      <c r="L427" s="591" t="str">
        <f t="shared" si="45"/>
        <v/>
      </c>
      <c r="M427" s="601" t="str">
        <f t="shared" si="46"/>
        <v/>
      </c>
      <c r="N427" s="601" t="str">
        <f t="shared" si="49"/>
        <v/>
      </c>
      <c r="O427" s="599" t="str">
        <f t="shared" si="47"/>
        <v/>
      </c>
      <c r="P427" s="601" t="str">
        <f t="shared" si="48"/>
        <v/>
      </c>
    </row>
    <row r="428" spans="1:16" s="220" customFormat="1" ht="18" hidden="1" customHeight="1">
      <c r="A428" s="591" t="str">
        <f t="shared" si="38"/>
        <v/>
      </c>
      <c r="B428" s="590">
        <f>LARGE($B$15:$B$264,158)</f>
        <v>0</v>
      </c>
      <c r="C428" s="599" t="str">
        <f t="shared" si="39"/>
        <v/>
      </c>
      <c r="D428" s="1295" t="str">
        <f t="shared" si="40"/>
        <v/>
      </c>
      <c r="E428" s="1295"/>
      <c r="F428" s="1295"/>
      <c r="G428" s="599" t="str">
        <f t="shared" si="41"/>
        <v/>
      </c>
      <c r="H428" s="599" t="str">
        <f t="shared" si="42"/>
        <v/>
      </c>
      <c r="I428" s="1296" t="str">
        <f t="shared" si="43"/>
        <v/>
      </c>
      <c r="J428" s="1296"/>
      <c r="K428" s="600" t="str">
        <f t="shared" si="44"/>
        <v/>
      </c>
      <c r="L428" s="591" t="str">
        <f t="shared" si="45"/>
        <v/>
      </c>
      <c r="M428" s="601" t="str">
        <f t="shared" si="46"/>
        <v/>
      </c>
      <c r="N428" s="601" t="str">
        <f t="shared" si="49"/>
        <v/>
      </c>
      <c r="O428" s="599" t="str">
        <f t="shared" si="47"/>
        <v/>
      </c>
      <c r="P428" s="601" t="str">
        <f t="shared" si="48"/>
        <v/>
      </c>
    </row>
    <row r="429" spans="1:16" s="220" customFormat="1" ht="18" hidden="1" customHeight="1">
      <c r="A429" s="591" t="str">
        <f t="shared" si="38"/>
        <v/>
      </c>
      <c r="B429" s="590">
        <f>LARGE($B$15:$B$264,159)</f>
        <v>0</v>
      </c>
      <c r="C429" s="599" t="str">
        <f t="shared" si="39"/>
        <v/>
      </c>
      <c r="D429" s="1295" t="str">
        <f t="shared" si="40"/>
        <v/>
      </c>
      <c r="E429" s="1295"/>
      <c r="F429" s="1295"/>
      <c r="G429" s="599" t="str">
        <f t="shared" si="41"/>
        <v/>
      </c>
      <c r="H429" s="599" t="str">
        <f t="shared" si="42"/>
        <v/>
      </c>
      <c r="I429" s="1296" t="str">
        <f t="shared" si="43"/>
        <v/>
      </c>
      <c r="J429" s="1296"/>
      <c r="K429" s="600" t="str">
        <f t="shared" si="44"/>
        <v/>
      </c>
      <c r="L429" s="591" t="str">
        <f t="shared" si="45"/>
        <v/>
      </c>
      <c r="M429" s="601" t="str">
        <f t="shared" si="46"/>
        <v/>
      </c>
      <c r="N429" s="601" t="str">
        <f t="shared" si="49"/>
        <v/>
      </c>
      <c r="O429" s="599" t="str">
        <f t="shared" si="47"/>
        <v/>
      </c>
      <c r="P429" s="601" t="str">
        <f t="shared" si="48"/>
        <v/>
      </c>
    </row>
    <row r="430" spans="1:16" s="220" customFormat="1" ht="18" hidden="1" customHeight="1">
      <c r="A430" s="591" t="str">
        <f t="shared" si="38"/>
        <v/>
      </c>
      <c r="B430" s="590">
        <f>LARGE($B$15:$B$264,160)</f>
        <v>0</v>
      </c>
      <c r="C430" s="599" t="str">
        <f t="shared" si="39"/>
        <v/>
      </c>
      <c r="D430" s="1295" t="str">
        <f t="shared" si="40"/>
        <v/>
      </c>
      <c r="E430" s="1295"/>
      <c r="F430" s="1295"/>
      <c r="G430" s="599" t="str">
        <f t="shared" si="41"/>
        <v/>
      </c>
      <c r="H430" s="599" t="str">
        <f t="shared" si="42"/>
        <v/>
      </c>
      <c r="I430" s="1296" t="str">
        <f t="shared" si="43"/>
        <v/>
      </c>
      <c r="J430" s="1296"/>
      <c r="K430" s="600" t="str">
        <f t="shared" si="44"/>
        <v/>
      </c>
      <c r="L430" s="591" t="str">
        <f t="shared" si="45"/>
        <v/>
      </c>
      <c r="M430" s="601" t="str">
        <f t="shared" si="46"/>
        <v/>
      </c>
      <c r="N430" s="601" t="str">
        <f t="shared" si="49"/>
        <v/>
      </c>
      <c r="O430" s="599" t="str">
        <f t="shared" si="47"/>
        <v/>
      </c>
      <c r="P430" s="601" t="str">
        <f t="shared" si="48"/>
        <v/>
      </c>
    </row>
    <row r="431" spans="1:16" s="220" customFormat="1" ht="18" hidden="1" customHeight="1">
      <c r="A431" s="591" t="str">
        <f t="shared" si="38"/>
        <v/>
      </c>
      <c r="B431" s="590">
        <f>LARGE($B$15:$B$264,161)</f>
        <v>0</v>
      </c>
      <c r="C431" s="599" t="str">
        <f t="shared" si="39"/>
        <v/>
      </c>
      <c r="D431" s="1295" t="str">
        <f t="shared" si="40"/>
        <v/>
      </c>
      <c r="E431" s="1295"/>
      <c r="F431" s="1295"/>
      <c r="G431" s="599" t="str">
        <f t="shared" si="41"/>
        <v/>
      </c>
      <c r="H431" s="599" t="str">
        <f t="shared" si="42"/>
        <v/>
      </c>
      <c r="I431" s="1296" t="str">
        <f t="shared" si="43"/>
        <v/>
      </c>
      <c r="J431" s="1296"/>
      <c r="K431" s="600" t="str">
        <f t="shared" si="44"/>
        <v/>
      </c>
      <c r="L431" s="591" t="str">
        <f t="shared" si="45"/>
        <v/>
      </c>
      <c r="M431" s="601" t="str">
        <f t="shared" si="46"/>
        <v/>
      </c>
      <c r="N431" s="601" t="str">
        <f t="shared" si="49"/>
        <v/>
      </c>
      <c r="O431" s="599" t="str">
        <f t="shared" si="47"/>
        <v/>
      </c>
      <c r="P431" s="601" t="str">
        <f t="shared" si="48"/>
        <v/>
      </c>
    </row>
    <row r="432" spans="1:16" s="220" customFormat="1" ht="18" hidden="1" customHeight="1">
      <c r="A432" s="591" t="str">
        <f t="shared" si="38"/>
        <v/>
      </c>
      <c r="B432" s="590">
        <f>LARGE($B$15:$B$264,162)</f>
        <v>0</v>
      </c>
      <c r="C432" s="599" t="str">
        <f t="shared" si="39"/>
        <v/>
      </c>
      <c r="D432" s="1295" t="str">
        <f t="shared" si="40"/>
        <v/>
      </c>
      <c r="E432" s="1295"/>
      <c r="F432" s="1295"/>
      <c r="G432" s="599" t="str">
        <f t="shared" si="41"/>
        <v/>
      </c>
      <c r="H432" s="599" t="str">
        <f t="shared" si="42"/>
        <v/>
      </c>
      <c r="I432" s="1296" t="str">
        <f t="shared" si="43"/>
        <v/>
      </c>
      <c r="J432" s="1296"/>
      <c r="K432" s="600" t="str">
        <f t="shared" si="44"/>
        <v/>
      </c>
      <c r="L432" s="591" t="str">
        <f t="shared" si="45"/>
        <v/>
      </c>
      <c r="M432" s="601" t="str">
        <f t="shared" si="46"/>
        <v/>
      </c>
      <c r="N432" s="601" t="str">
        <f t="shared" si="49"/>
        <v/>
      </c>
      <c r="O432" s="599" t="str">
        <f t="shared" si="47"/>
        <v/>
      </c>
      <c r="P432" s="601" t="str">
        <f t="shared" si="48"/>
        <v/>
      </c>
    </row>
    <row r="433" spans="1:16" s="220" customFormat="1" ht="18" hidden="1" customHeight="1">
      <c r="A433" s="591" t="str">
        <f t="shared" si="38"/>
        <v/>
      </c>
      <c r="B433" s="590">
        <f>LARGE($B$15:$B$264,163)</f>
        <v>0</v>
      </c>
      <c r="C433" s="599" t="str">
        <f t="shared" si="39"/>
        <v/>
      </c>
      <c r="D433" s="1295" t="str">
        <f t="shared" si="40"/>
        <v/>
      </c>
      <c r="E433" s="1295"/>
      <c r="F433" s="1295"/>
      <c r="G433" s="599" t="str">
        <f t="shared" si="41"/>
        <v/>
      </c>
      <c r="H433" s="599" t="str">
        <f t="shared" si="42"/>
        <v/>
      </c>
      <c r="I433" s="1296" t="str">
        <f t="shared" si="43"/>
        <v/>
      </c>
      <c r="J433" s="1296"/>
      <c r="K433" s="600" t="str">
        <f t="shared" si="44"/>
        <v/>
      </c>
      <c r="L433" s="591" t="str">
        <f t="shared" si="45"/>
        <v/>
      </c>
      <c r="M433" s="601" t="str">
        <f t="shared" si="46"/>
        <v/>
      </c>
      <c r="N433" s="601" t="str">
        <f t="shared" si="49"/>
        <v/>
      </c>
      <c r="O433" s="599" t="str">
        <f t="shared" si="47"/>
        <v/>
      </c>
      <c r="P433" s="601" t="str">
        <f t="shared" si="48"/>
        <v/>
      </c>
    </row>
    <row r="434" spans="1:16" s="220" customFormat="1" ht="18" hidden="1" customHeight="1">
      <c r="A434" s="591" t="str">
        <f t="shared" si="38"/>
        <v/>
      </c>
      <c r="B434" s="590">
        <f>LARGE($B$15:$B$264,164)</f>
        <v>0</v>
      </c>
      <c r="C434" s="599" t="str">
        <f t="shared" si="39"/>
        <v/>
      </c>
      <c r="D434" s="1295" t="str">
        <f t="shared" si="40"/>
        <v/>
      </c>
      <c r="E434" s="1295"/>
      <c r="F434" s="1295"/>
      <c r="G434" s="599" t="str">
        <f t="shared" si="41"/>
        <v/>
      </c>
      <c r="H434" s="599" t="str">
        <f t="shared" si="42"/>
        <v/>
      </c>
      <c r="I434" s="1296" t="str">
        <f t="shared" si="43"/>
        <v/>
      </c>
      <c r="J434" s="1296"/>
      <c r="K434" s="600" t="str">
        <f t="shared" si="44"/>
        <v/>
      </c>
      <c r="L434" s="591" t="str">
        <f t="shared" si="45"/>
        <v/>
      </c>
      <c r="M434" s="601" t="str">
        <f t="shared" si="46"/>
        <v/>
      </c>
      <c r="N434" s="601" t="str">
        <f t="shared" si="49"/>
        <v/>
      </c>
      <c r="O434" s="599" t="str">
        <f t="shared" si="47"/>
        <v/>
      </c>
      <c r="P434" s="601" t="str">
        <f t="shared" si="48"/>
        <v/>
      </c>
    </row>
    <row r="435" spans="1:16" s="220" customFormat="1" ht="18" hidden="1" customHeight="1">
      <c r="A435" s="591" t="str">
        <f t="shared" si="38"/>
        <v/>
      </c>
      <c r="B435" s="590">
        <f>LARGE($B$15:$B$264,165)</f>
        <v>0</v>
      </c>
      <c r="C435" s="599" t="str">
        <f t="shared" si="39"/>
        <v/>
      </c>
      <c r="D435" s="1295" t="str">
        <f t="shared" si="40"/>
        <v/>
      </c>
      <c r="E435" s="1295"/>
      <c r="F435" s="1295"/>
      <c r="G435" s="599" t="str">
        <f t="shared" si="41"/>
        <v/>
      </c>
      <c r="H435" s="599" t="str">
        <f t="shared" si="42"/>
        <v/>
      </c>
      <c r="I435" s="1296" t="str">
        <f t="shared" si="43"/>
        <v/>
      </c>
      <c r="J435" s="1296"/>
      <c r="K435" s="600" t="str">
        <f t="shared" si="44"/>
        <v/>
      </c>
      <c r="L435" s="591" t="str">
        <f t="shared" si="45"/>
        <v/>
      </c>
      <c r="M435" s="601" t="str">
        <f t="shared" si="46"/>
        <v/>
      </c>
      <c r="N435" s="601" t="str">
        <f t="shared" si="49"/>
        <v/>
      </c>
      <c r="O435" s="599" t="str">
        <f t="shared" si="47"/>
        <v/>
      </c>
      <c r="P435" s="601" t="str">
        <f t="shared" si="48"/>
        <v/>
      </c>
    </row>
    <row r="436" spans="1:16" s="220" customFormat="1" ht="18" hidden="1" customHeight="1">
      <c r="A436" s="591" t="str">
        <f t="shared" si="38"/>
        <v/>
      </c>
      <c r="B436" s="590">
        <f>LARGE($B$15:$B$264,166)</f>
        <v>0</v>
      </c>
      <c r="C436" s="599" t="str">
        <f t="shared" si="39"/>
        <v/>
      </c>
      <c r="D436" s="1295" t="str">
        <f t="shared" si="40"/>
        <v/>
      </c>
      <c r="E436" s="1295"/>
      <c r="F436" s="1295"/>
      <c r="G436" s="599" t="str">
        <f t="shared" si="41"/>
        <v/>
      </c>
      <c r="H436" s="599" t="str">
        <f t="shared" si="42"/>
        <v/>
      </c>
      <c r="I436" s="1296" t="str">
        <f t="shared" si="43"/>
        <v/>
      </c>
      <c r="J436" s="1296"/>
      <c r="K436" s="600" t="str">
        <f t="shared" si="44"/>
        <v/>
      </c>
      <c r="L436" s="591" t="str">
        <f t="shared" si="45"/>
        <v/>
      </c>
      <c r="M436" s="601" t="str">
        <f t="shared" si="46"/>
        <v/>
      </c>
      <c r="N436" s="601" t="str">
        <f t="shared" si="49"/>
        <v/>
      </c>
      <c r="O436" s="599" t="str">
        <f t="shared" si="47"/>
        <v/>
      </c>
      <c r="P436" s="601" t="str">
        <f t="shared" si="48"/>
        <v/>
      </c>
    </row>
    <row r="437" spans="1:16" s="220" customFormat="1" ht="18" hidden="1" customHeight="1">
      <c r="A437" s="591" t="str">
        <f t="shared" si="38"/>
        <v/>
      </c>
      <c r="B437" s="590">
        <f>LARGE($B$15:$B$264,167)</f>
        <v>0</v>
      </c>
      <c r="C437" s="599" t="str">
        <f t="shared" si="39"/>
        <v/>
      </c>
      <c r="D437" s="1295" t="str">
        <f t="shared" si="40"/>
        <v/>
      </c>
      <c r="E437" s="1295"/>
      <c r="F437" s="1295"/>
      <c r="G437" s="599" t="str">
        <f t="shared" si="41"/>
        <v/>
      </c>
      <c r="H437" s="599" t="str">
        <f t="shared" si="42"/>
        <v/>
      </c>
      <c r="I437" s="1296" t="str">
        <f t="shared" si="43"/>
        <v/>
      </c>
      <c r="J437" s="1296"/>
      <c r="K437" s="600" t="str">
        <f t="shared" si="44"/>
        <v/>
      </c>
      <c r="L437" s="591" t="str">
        <f t="shared" si="45"/>
        <v/>
      </c>
      <c r="M437" s="601" t="str">
        <f t="shared" si="46"/>
        <v/>
      </c>
      <c r="N437" s="601" t="str">
        <f t="shared" si="49"/>
        <v/>
      </c>
      <c r="O437" s="599" t="str">
        <f t="shared" si="47"/>
        <v/>
      </c>
      <c r="P437" s="601" t="str">
        <f t="shared" si="48"/>
        <v/>
      </c>
    </row>
    <row r="438" spans="1:16" s="220" customFormat="1" ht="18" hidden="1" customHeight="1">
      <c r="A438" s="591" t="str">
        <f t="shared" si="38"/>
        <v/>
      </c>
      <c r="B438" s="590">
        <f>LARGE($B$15:$B$264,168)</f>
        <v>0</v>
      </c>
      <c r="C438" s="599" t="str">
        <f t="shared" si="39"/>
        <v/>
      </c>
      <c r="D438" s="1295" t="str">
        <f t="shared" si="40"/>
        <v/>
      </c>
      <c r="E438" s="1295"/>
      <c r="F438" s="1295"/>
      <c r="G438" s="599" t="str">
        <f t="shared" si="41"/>
        <v/>
      </c>
      <c r="H438" s="599" t="str">
        <f t="shared" si="42"/>
        <v/>
      </c>
      <c r="I438" s="1296" t="str">
        <f t="shared" si="43"/>
        <v/>
      </c>
      <c r="J438" s="1296"/>
      <c r="K438" s="600" t="str">
        <f t="shared" si="44"/>
        <v/>
      </c>
      <c r="L438" s="591" t="str">
        <f t="shared" si="45"/>
        <v/>
      </c>
      <c r="M438" s="601" t="str">
        <f t="shared" si="46"/>
        <v/>
      </c>
      <c r="N438" s="601" t="str">
        <f t="shared" si="49"/>
        <v/>
      </c>
      <c r="O438" s="599" t="str">
        <f t="shared" si="47"/>
        <v/>
      </c>
      <c r="P438" s="601" t="str">
        <f t="shared" si="48"/>
        <v/>
      </c>
    </row>
    <row r="439" spans="1:16" s="220" customFormat="1" ht="18" hidden="1" customHeight="1">
      <c r="A439" s="591" t="str">
        <f t="shared" si="38"/>
        <v/>
      </c>
      <c r="B439" s="590">
        <f>LARGE($B$15:$B$264,169)</f>
        <v>0</v>
      </c>
      <c r="C439" s="599" t="str">
        <f t="shared" si="39"/>
        <v/>
      </c>
      <c r="D439" s="1295" t="str">
        <f t="shared" si="40"/>
        <v/>
      </c>
      <c r="E439" s="1295"/>
      <c r="F439" s="1295"/>
      <c r="G439" s="599" t="str">
        <f t="shared" si="41"/>
        <v/>
      </c>
      <c r="H439" s="599" t="str">
        <f t="shared" si="42"/>
        <v/>
      </c>
      <c r="I439" s="1296" t="str">
        <f t="shared" si="43"/>
        <v/>
      </c>
      <c r="J439" s="1296"/>
      <c r="K439" s="600" t="str">
        <f t="shared" si="44"/>
        <v/>
      </c>
      <c r="L439" s="591" t="str">
        <f t="shared" si="45"/>
        <v/>
      </c>
      <c r="M439" s="601" t="str">
        <f t="shared" si="46"/>
        <v/>
      </c>
      <c r="N439" s="601" t="str">
        <f t="shared" si="49"/>
        <v/>
      </c>
      <c r="O439" s="599" t="str">
        <f t="shared" si="47"/>
        <v/>
      </c>
      <c r="P439" s="601" t="str">
        <f t="shared" si="48"/>
        <v/>
      </c>
    </row>
    <row r="440" spans="1:16" s="220" customFormat="1" ht="18" hidden="1" customHeight="1">
      <c r="A440" s="591" t="str">
        <f t="shared" si="38"/>
        <v/>
      </c>
      <c r="B440" s="590">
        <f>LARGE($B$15:$B$264,170)</f>
        <v>0</v>
      </c>
      <c r="C440" s="599" t="str">
        <f t="shared" si="39"/>
        <v/>
      </c>
      <c r="D440" s="1295" t="str">
        <f t="shared" si="40"/>
        <v/>
      </c>
      <c r="E440" s="1295"/>
      <c r="F440" s="1295"/>
      <c r="G440" s="599" t="str">
        <f t="shared" si="41"/>
        <v/>
      </c>
      <c r="H440" s="599" t="str">
        <f t="shared" si="42"/>
        <v/>
      </c>
      <c r="I440" s="1296" t="str">
        <f t="shared" si="43"/>
        <v/>
      </c>
      <c r="J440" s="1296"/>
      <c r="K440" s="600" t="str">
        <f t="shared" si="44"/>
        <v/>
      </c>
      <c r="L440" s="591" t="str">
        <f t="shared" si="45"/>
        <v/>
      </c>
      <c r="M440" s="601" t="str">
        <f t="shared" si="46"/>
        <v/>
      </c>
      <c r="N440" s="601" t="str">
        <f t="shared" si="49"/>
        <v/>
      </c>
      <c r="O440" s="599" t="str">
        <f t="shared" si="47"/>
        <v/>
      </c>
      <c r="P440" s="601" t="str">
        <f t="shared" si="48"/>
        <v/>
      </c>
    </row>
    <row r="441" spans="1:16" s="220" customFormat="1" ht="18" hidden="1" customHeight="1">
      <c r="A441" s="591" t="str">
        <f t="shared" si="38"/>
        <v/>
      </c>
      <c r="B441" s="590">
        <f>LARGE($B$15:$B$264,171)</f>
        <v>0</v>
      </c>
      <c r="C441" s="599" t="str">
        <f t="shared" si="39"/>
        <v/>
      </c>
      <c r="D441" s="1295" t="str">
        <f t="shared" si="40"/>
        <v/>
      </c>
      <c r="E441" s="1295"/>
      <c r="F441" s="1295"/>
      <c r="G441" s="599" t="str">
        <f t="shared" si="41"/>
        <v/>
      </c>
      <c r="H441" s="599" t="str">
        <f t="shared" si="42"/>
        <v/>
      </c>
      <c r="I441" s="1296" t="str">
        <f t="shared" si="43"/>
        <v/>
      </c>
      <c r="J441" s="1296"/>
      <c r="K441" s="600" t="str">
        <f t="shared" si="44"/>
        <v/>
      </c>
      <c r="L441" s="591" t="str">
        <f t="shared" si="45"/>
        <v/>
      </c>
      <c r="M441" s="601" t="str">
        <f t="shared" si="46"/>
        <v/>
      </c>
      <c r="N441" s="601" t="str">
        <f t="shared" si="49"/>
        <v/>
      </c>
      <c r="O441" s="599" t="str">
        <f t="shared" si="47"/>
        <v/>
      </c>
      <c r="P441" s="601" t="str">
        <f t="shared" si="48"/>
        <v/>
      </c>
    </row>
    <row r="442" spans="1:16" s="220" customFormat="1" ht="18" hidden="1" customHeight="1">
      <c r="A442" s="591" t="str">
        <f t="shared" si="38"/>
        <v/>
      </c>
      <c r="B442" s="590">
        <f>LARGE($B$15:$B$264,172)</f>
        <v>0</v>
      </c>
      <c r="C442" s="599" t="str">
        <f t="shared" si="39"/>
        <v/>
      </c>
      <c r="D442" s="1295" t="str">
        <f t="shared" si="40"/>
        <v/>
      </c>
      <c r="E442" s="1295"/>
      <c r="F442" s="1295"/>
      <c r="G442" s="599" t="str">
        <f t="shared" si="41"/>
        <v/>
      </c>
      <c r="H442" s="599" t="str">
        <f t="shared" si="42"/>
        <v/>
      </c>
      <c r="I442" s="1296" t="str">
        <f t="shared" si="43"/>
        <v/>
      </c>
      <c r="J442" s="1296"/>
      <c r="K442" s="600" t="str">
        <f t="shared" si="44"/>
        <v/>
      </c>
      <c r="L442" s="591" t="str">
        <f t="shared" si="45"/>
        <v/>
      </c>
      <c r="M442" s="601" t="str">
        <f t="shared" si="46"/>
        <v/>
      </c>
      <c r="N442" s="601" t="str">
        <f t="shared" si="49"/>
        <v/>
      </c>
      <c r="O442" s="599" t="str">
        <f t="shared" si="47"/>
        <v/>
      </c>
      <c r="P442" s="601" t="str">
        <f t="shared" si="48"/>
        <v/>
      </c>
    </row>
    <row r="443" spans="1:16" s="220" customFormat="1" ht="18" hidden="1" customHeight="1">
      <c r="A443" s="591" t="str">
        <f t="shared" si="38"/>
        <v/>
      </c>
      <c r="B443" s="590">
        <f>LARGE($B$15:$B$264,173)</f>
        <v>0</v>
      </c>
      <c r="C443" s="599" t="str">
        <f t="shared" si="39"/>
        <v/>
      </c>
      <c r="D443" s="1295" t="str">
        <f t="shared" si="40"/>
        <v/>
      </c>
      <c r="E443" s="1295"/>
      <c r="F443" s="1295"/>
      <c r="G443" s="599" t="str">
        <f t="shared" si="41"/>
        <v/>
      </c>
      <c r="H443" s="599" t="str">
        <f t="shared" si="42"/>
        <v/>
      </c>
      <c r="I443" s="1296" t="str">
        <f t="shared" si="43"/>
        <v/>
      </c>
      <c r="J443" s="1296"/>
      <c r="K443" s="600" t="str">
        <f t="shared" si="44"/>
        <v/>
      </c>
      <c r="L443" s="591" t="str">
        <f t="shared" si="45"/>
        <v/>
      </c>
      <c r="M443" s="601" t="str">
        <f t="shared" si="46"/>
        <v/>
      </c>
      <c r="N443" s="601" t="str">
        <f t="shared" si="49"/>
        <v/>
      </c>
      <c r="O443" s="599" t="str">
        <f t="shared" si="47"/>
        <v/>
      </c>
      <c r="P443" s="601" t="str">
        <f t="shared" si="48"/>
        <v/>
      </c>
    </row>
    <row r="444" spans="1:16" s="220" customFormat="1" ht="18" hidden="1" customHeight="1">
      <c r="A444" s="591" t="str">
        <f t="shared" si="38"/>
        <v/>
      </c>
      <c r="B444" s="590">
        <f>LARGE($B$15:$B$264,174)</f>
        <v>0</v>
      </c>
      <c r="C444" s="599" t="str">
        <f t="shared" si="39"/>
        <v/>
      </c>
      <c r="D444" s="1295" t="str">
        <f t="shared" si="40"/>
        <v/>
      </c>
      <c r="E444" s="1295"/>
      <c r="F444" s="1295"/>
      <c r="G444" s="599" t="str">
        <f t="shared" si="41"/>
        <v/>
      </c>
      <c r="H444" s="599" t="str">
        <f t="shared" si="42"/>
        <v/>
      </c>
      <c r="I444" s="1296" t="str">
        <f t="shared" si="43"/>
        <v/>
      </c>
      <c r="J444" s="1296"/>
      <c r="K444" s="600" t="str">
        <f t="shared" si="44"/>
        <v/>
      </c>
      <c r="L444" s="591" t="str">
        <f t="shared" si="45"/>
        <v/>
      </c>
      <c r="M444" s="601" t="str">
        <f t="shared" si="46"/>
        <v/>
      </c>
      <c r="N444" s="601" t="str">
        <f t="shared" si="49"/>
        <v/>
      </c>
      <c r="O444" s="599" t="str">
        <f t="shared" si="47"/>
        <v/>
      </c>
      <c r="P444" s="601" t="str">
        <f t="shared" si="48"/>
        <v/>
      </c>
    </row>
    <row r="445" spans="1:16" s="220" customFormat="1" ht="18" hidden="1" customHeight="1">
      <c r="A445" s="591" t="str">
        <f t="shared" si="38"/>
        <v/>
      </c>
      <c r="B445" s="590">
        <f>LARGE($B$15:$B$264,175)</f>
        <v>0</v>
      </c>
      <c r="C445" s="599" t="str">
        <f t="shared" si="39"/>
        <v/>
      </c>
      <c r="D445" s="1295" t="str">
        <f t="shared" si="40"/>
        <v/>
      </c>
      <c r="E445" s="1295"/>
      <c r="F445" s="1295"/>
      <c r="G445" s="599" t="str">
        <f t="shared" si="41"/>
        <v/>
      </c>
      <c r="H445" s="599" t="str">
        <f t="shared" si="42"/>
        <v/>
      </c>
      <c r="I445" s="1296" t="str">
        <f t="shared" si="43"/>
        <v/>
      </c>
      <c r="J445" s="1296"/>
      <c r="K445" s="600" t="str">
        <f t="shared" si="44"/>
        <v/>
      </c>
      <c r="L445" s="591" t="str">
        <f t="shared" si="45"/>
        <v/>
      </c>
      <c r="M445" s="601" t="str">
        <f t="shared" si="46"/>
        <v/>
      </c>
      <c r="N445" s="601" t="str">
        <f t="shared" si="49"/>
        <v/>
      </c>
      <c r="O445" s="599" t="str">
        <f t="shared" si="47"/>
        <v/>
      </c>
      <c r="P445" s="601" t="str">
        <f t="shared" si="48"/>
        <v/>
      </c>
    </row>
    <row r="446" spans="1:16" s="220" customFormat="1" ht="18" hidden="1" customHeight="1">
      <c r="A446" s="591" t="str">
        <f t="shared" si="38"/>
        <v/>
      </c>
      <c r="B446" s="590">
        <f>LARGE($B$15:$B$264,176)</f>
        <v>0</v>
      </c>
      <c r="C446" s="599" t="str">
        <f t="shared" si="39"/>
        <v/>
      </c>
      <c r="D446" s="1295" t="str">
        <f t="shared" si="40"/>
        <v/>
      </c>
      <c r="E446" s="1295"/>
      <c r="F446" s="1295"/>
      <c r="G446" s="599" t="str">
        <f t="shared" si="41"/>
        <v/>
      </c>
      <c r="H446" s="599" t="str">
        <f t="shared" si="42"/>
        <v/>
      </c>
      <c r="I446" s="1296" t="str">
        <f t="shared" si="43"/>
        <v/>
      </c>
      <c r="J446" s="1296"/>
      <c r="K446" s="600" t="str">
        <f t="shared" si="44"/>
        <v/>
      </c>
      <c r="L446" s="591" t="str">
        <f t="shared" si="45"/>
        <v/>
      </c>
      <c r="M446" s="601" t="str">
        <f t="shared" si="46"/>
        <v/>
      </c>
      <c r="N446" s="601" t="str">
        <f t="shared" si="49"/>
        <v/>
      </c>
      <c r="O446" s="599" t="str">
        <f t="shared" si="47"/>
        <v/>
      </c>
      <c r="P446" s="601" t="str">
        <f t="shared" si="48"/>
        <v/>
      </c>
    </row>
    <row r="447" spans="1:16" s="220" customFormat="1" ht="18" hidden="1" customHeight="1">
      <c r="A447" s="591" t="str">
        <f t="shared" si="38"/>
        <v/>
      </c>
      <c r="B447" s="590">
        <f>LARGE($B$15:$B$264,177)</f>
        <v>0</v>
      </c>
      <c r="C447" s="599" t="str">
        <f t="shared" si="39"/>
        <v/>
      </c>
      <c r="D447" s="1295" t="str">
        <f t="shared" si="40"/>
        <v/>
      </c>
      <c r="E447" s="1295"/>
      <c r="F447" s="1295"/>
      <c r="G447" s="599" t="str">
        <f t="shared" si="41"/>
        <v/>
      </c>
      <c r="H447" s="599" t="str">
        <f t="shared" si="42"/>
        <v/>
      </c>
      <c r="I447" s="1296" t="str">
        <f t="shared" si="43"/>
        <v/>
      </c>
      <c r="J447" s="1296"/>
      <c r="K447" s="600" t="str">
        <f t="shared" si="44"/>
        <v/>
      </c>
      <c r="L447" s="591" t="str">
        <f t="shared" si="45"/>
        <v/>
      </c>
      <c r="M447" s="601" t="str">
        <f t="shared" si="46"/>
        <v/>
      </c>
      <c r="N447" s="601" t="str">
        <f t="shared" si="49"/>
        <v/>
      </c>
      <c r="O447" s="599" t="str">
        <f t="shared" si="47"/>
        <v/>
      </c>
      <c r="P447" s="601" t="str">
        <f t="shared" si="48"/>
        <v/>
      </c>
    </row>
    <row r="448" spans="1:16" s="220" customFormat="1" ht="18" hidden="1" customHeight="1">
      <c r="A448" s="591" t="str">
        <f t="shared" si="38"/>
        <v/>
      </c>
      <c r="B448" s="590">
        <f>LARGE($B$15:$B$264,178)</f>
        <v>0</v>
      </c>
      <c r="C448" s="599" t="str">
        <f t="shared" si="39"/>
        <v/>
      </c>
      <c r="D448" s="1295" t="str">
        <f t="shared" si="40"/>
        <v/>
      </c>
      <c r="E448" s="1295"/>
      <c r="F448" s="1295"/>
      <c r="G448" s="599" t="str">
        <f t="shared" si="41"/>
        <v/>
      </c>
      <c r="H448" s="599" t="str">
        <f t="shared" si="42"/>
        <v/>
      </c>
      <c r="I448" s="1296" t="str">
        <f t="shared" si="43"/>
        <v/>
      </c>
      <c r="J448" s="1296"/>
      <c r="K448" s="600" t="str">
        <f t="shared" si="44"/>
        <v/>
      </c>
      <c r="L448" s="591" t="str">
        <f t="shared" si="45"/>
        <v/>
      </c>
      <c r="M448" s="601" t="str">
        <f t="shared" si="46"/>
        <v/>
      </c>
      <c r="N448" s="601" t="str">
        <f t="shared" si="49"/>
        <v/>
      </c>
      <c r="O448" s="599" t="str">
        <f t="shared" si="47"/>
        <v/>
      </c>
      <c r="P448" s="601" t="str">
        <f t="shared" si="48"/>
        <v/>
      </c>
    </row>
    <row r="449" spans="1:16" s="220" customFormat="1" ht="18" hidden="1" customHeight="1">
      <c r="A449" s="591" t="str">
        <f t="shared" si="38"/>
        <v/>
      </c>
      <c r="B449" s="590">
        <f>LARGE($B$15:$B$264,179)</f>
        <v>0</v>
      </c>
      <c r="C449" s="599" t="str">
        <f t="shared" si="39"/>
        <v/>
      </c>
      <c r="D449" s="1295" t="str">
        <f t="shared" si="40"/>
        <v/>
      </c>
      <c r="E449" s="1295"/>
      <c r="F449" s="1295"/>
      <c r="G449" s="599" t="str">
        <f t="shared" si="41"/>
        <v/>
      </c>
      <c r="H449" s="599" t="str">
        <f t="shared" si="42"/>
        <v/>
      </c>
      <c r="I449" s="1296" t="str">
        <f t="shared" si="43"/>
        <v/>
      </c>
      <c r="J449" s="1296"/>
      <c r="K449" s="600" t="str">
        <f t="shared" si="44"/>
        <v/>
      </c>
      <c r="L449" s="591" t="str">
        <f t="shared" si="45"/>
        <v/>
      </c>
      <c r="M449" s="601" t="str">
        <f t="shared" si="46"/>
        <v/>
      </c>
      <c r="N449" s="601" t="str">
        <f t="shared" si="49"/>
        <v/>
      </c>
      <c r="O449" s="599" t="str">
        <f t="shared" si="47"/>
        <v/>
      </c>
      <c r="P449" s="601" t="str">
        <f t="shared" si="48"/>
        <v/>
      </c>
    </row>
    <row r="450" spans="1:16" s="220" customFormat="1" ht="18" hidden="1" customHeight="1">
      <c r="A450" s="591" t="str">
        <f t="shared" si="38"/>
        <v/>
      </c>
      <c r="B450" s="590">
        <f>LARGE($B$15:$B$264,180)</f>
        <v>0</v>
      </c>
      <c r="C450" s="599" t="str">
        <f t="shared" si="39"/>
        <v/>
      </c>
      <c r="D450" s="1295" t="str">
        <f t="shared" si="40"/>
        <v/>
      </c>
      <c r="E450" s="1295"/>
      <c r="F450" s="1295"/>
      <c r="G450" s="599" t="str">
        <f t="shared" si="41"/>
        <v/>
      </c>
      <c r="H450" s="599" t="str">
        <f t="shared" si="42"/>
        <v/>
      </c>
      <c r="I450" s="1296" t="str">
        <f t="shared" si="43"/>
        <v/>
      </c>
      <c r="J450" s="1296"/>
      <c r="K450" s="600" t="str">
        <f t="shared" si="44"/>
        <v/>
      </c>
      <c r="L450" s="591" t="str">
        <f t="shared" si="45"/>
        <v/>
      </c>
      <c r="M450" s="601" t="str">
        <f t="shared" si="46"/>
        <v/>
      </c>
      <c r="N450" s="601" t="str">
        <f t="shared" si="49"/>
        <v/>
      </c>
      <c r="O450" s="599" t="str">
        <f t="shared" si="47"/>
        <v/>
      </c>
      <c r="P450" s="601" t="str">
        <f t="shared" si="48"/>
        <v/>
      </c>
    </row>
    <row r="451" spans="1:16" s="220" customFormat="1" ht="18" hidden="1" customHeight="1">
      <c r="A451" s="591" t="str">
        <f t="shared" si="38"/>
        <v/>
      </c>
      <c r="B451" s="590">
        <f>LARGE($B$15:$B$264,181)</f>
        <v>0</v>
      </c>
      <c r="C451" s="599" t="str">
        <f t="shared" si="39"/>
        <v/>
      </c>
      <c r="D451" s="1295" t="str">
        <f t="shared" si="40"/>
        <v/>
      </c>
      <c r="E451" s="1295"/>
      <c r="F451" s="1295"/>
      <c r="G451" s="599" t="str">
        <f t="shared" si="41"/>
        <v/>
      </c>
      <c r="H451" s="599" t="str">
        <f t="shared" si="42"/>
        <v/>
      </c>
      <c r="I451" s="1296" t="str">
        <f t="shared" si="43"/>
        <v/>
      </c>
      <c r="J451" s="1296"/>
      <c r="K451" s="600" t="str">
        <f t="shared" si="44"/>
        <v/>
      </c>
      <c r="L451" s="591" t="str">
        <f t="shared" si="45"/>
        <v/>
      </c>
      <c r="M451" s="601" t="str">
        <f t="shared" si="46"/>
        <v/>
      </c>
      <c r="N451" s="601" t="str">
        <f t="shared" si="49"/>
        <v/>
      </c>
      <c r="O451" s="599" t="str">
        <f t="shared" si="47"/>
        <v/>
      </c>
      <c r="P451" s="601" t="str">
        <f t="shared" si="48"/>
        <v/>
      </c>
    </row>
    <row r="452" spans="1:16" s="220" customFormat="1" ht="18" hidden="1" customHeight="1">
      <c r="A452" s="591" t="str">
        <f t="shared" si="38"/>
        <v/>
      </c>
      <c r="B452" s="590">
        <f>LARGE($B$15:$B$264,182)</f>
        <v>0</v>
      </c>
      <c r="C452" s="599" t="str">
        <f t="shared" si="39"/>
        <v/>
      </c>
      <c r="D452" s="1295" t="str">
        <f t="shared" si="40"/>
        <v/>
      </c>
      <c r="E452" s="1295"/>
      <c r="F452" s="1295"/>
      <c r="G452" s="599" t="str">
        <f t="shared" si="41"/>
        <v/>
      </c>
      <c r="H452" s="599" t="str">
        <f t="shared" si="42"/>
        <v/>
      </c>
      <c r="I452" s="1296" t="str">
        <f t="shared" si="43"/>
        <v/>
      </c>
      <c r="J452" s="1296"/>
      <c r="K452" s="600" t="str">
        <f t="shared" si="44"/>
        <v/>
      </c>
      <c r="L452" s="591" t="str">
        <f t="shared" si="45"/>
        <v/>
      </c>
      <c r="M452" s="601" t="str">
        <f t="shared" si="46"/>
        <v/>
      </c>
      <c r="N452" s="601" t="str">
        <f t="shared" si="49"/>
        <v/>
      </c>
      <c r="O452" s="599" t="str">
        <f t="shared" si="47"/>
        <v/>
      </c>
      <c r="P452" s="601" t="str">
        <f t="shared" si="48"/>
        <v/>
      </c>
    </row>
    <row r="453" spans="1:16" s="220" customFormat="1" ht="18" hidden="1" customHeight="1">
      <c r="A453" s="591" t="str">
        <f t="shared" si="38"/>
        <v/>
      </c>
      <c r="B453" s="590">
        <f>LARGE($B$15:$B$264,183)</f>
        <v>0</v>
      </c>
      <c r="C453" s="599" t="str">
        <f t="shared" si="39"/>
        <v/>
      </c>
      <c r="D453" s="1295" t="str">
        <f t="shared" si="40"/>
        <v/>
      </c>
      <c r="E453" s="1295"/>
      <c r="F453" s="1295"/>
      <c r="G453" s="599" t="str">
        <f t="shared" si="41"/>
        <v/>
      </c>
      <c r="H453" s="599" t="str">
        <f t="shared" si="42"/>
        <v/>
      </c>
      <c r="I453" s="1296" t="str">
        <f t="shared" si="43"/>
        <v/>
      </c>
      <c r="J453" s="1296"/>
      <c r="K453" s="600" t="str">
        <f t="shared" si="44"/>
        <v/>
      </c>
      <c r="L453" s="591" t="str">
        <f t="shared" si="45"/>
        <v/>
      </c>
      <c r="M453" s="601" t="str">
        <f t="shared" si="46"/>
        <v/>
      </c>
      <c r="N453" s="601" t="str">
        <f t="shared" si="49"/>
        <v/>
      </c>
      <c r="O453" s="599" t="str">
        <f t="shared" si="47"/>
        <v/>
      </c>
      <c r="P453" s="601" t="str">
        <f t="shared" si="48"/>
        <v/>
      </c>
    </row>
    <row r="454" spans="1:16" s="220" customFormat="1" ht="18" hidden="1" customHeight="1">
      <c r="A454" s="591" t="str">
        <f t="shared" si="38"/>
        <v/>
      </c>
      <c r="B454" s="590">
        <f>LARGE($B$15:$B$264,184)</f>
        <v>0</v>
      </c>
      <c r="C454" s="599" t="str">
        <f t="shared" si="39"/>
        <v/>
      </c>
      <c r="D454" s="1295" t="str">
        <f t="shared" si="40"/>
        <v/>
      </c>
      <c r="E454" s="1295"/>
      <c r="F454" s="1295"/>
      <c r="G454" s="599" t="str">
        <f t="shared" si="41"/>
        <v/>
      </c>
      <c r="H454" s="599" t="str">
        <f t="shared" si="42"/>
        <v/>
      </c>
      <c r="I454" s="1296" t="str">
        <f t="shared" si="43"/>
        <v/>
      </c>
      <c r="J454" s="1296"/>
      <c r="K454" s="600" t="str">
        <f t="shared" si="44"/>
        <v/>
      </c>
      <c r="L454" s="591" t="str">
        <f t="shared" si="45"/>
        <v/>
      </c>
      <c r="M454" s="601" t="str">
        <f t="shared" si="46"/>
        <v/>
      </c>
      <c r="N454" s="601" t="str">
        <f t="shared" si="49"/>
        <v/>
      </c>
      <c r="O454" s="599" t="str">
        <f t="shared" si="47"/>
        <v/>
      </c>
      <c r="P454" s="601" t="str">
        <f t="shared" si="48"/>
        <v/>
      </c>
    </row>
    <row r="455" spans="1:16" s="220" customFormat="1" ht="18" hidden="1" customHeight="1">
      <c r="A455" s="591" t="str">
        <f t="shared" si="38"/>
        <v/>
      </c>
      <c r="B455" s="590">
        <f>LARGE($B$15:$B$264,185)</f>
        <v>0</v>
      </c>
      <c r="C455" s="599" t="str">
        <f t="shared" si="39"/>
        <v/>
      </c>
      <c r="D455" s="1295" t="str">
        <f t="shared" si="40"/>
        <v/>
      </c>
      <c r="E455" s="1295"/>
      <c r="F455" s="1295"/>
      <c r="G455" s="599" t="str">
        <f t="shared" si="41"/>
        <v/>
      </c>
      <c r="H455" s="599" t="str">
        <f t="shared" si="42"/>
        <v/>
      </c>
      <c r="I455" s="1296" t="str">
        <f t="shared" si="43"/>
        <v/>
      </c>
      <c r="J455" s="1296"/>
      <c r="K455" s="600" t="str">
        <f t="shared" si="44"/>
        <v/>
      </c>
      <c r="L455" s="591" t="str">
        <f t="shared" si="45"/>
        <v/>
      </c>
      <c r="M455" s="601" t="str">
        <f t="shared" si="46"/>
        <v/>
      </c>
      <c r="N455" s="601" t="str">
        <f t="shared" si="49"/>
        <v/>
      </c>
      <c r="O455" s="599" t="str">
        <f t="shared" si="47"/>
        <v/>
      </c>
      <c r="P455" s="601" t="str">
        <f t="shared" si="48"/>
        <v/>
      </c>
    </row>
    <row r="456" spans="1:16" s="220" customFormat="1" ht="18" hidden="1" customHeight="1">
      <c r="A456" s="591" t="str">
        <f t="shared" si="38"/>
        <v/>
      </c>
      <c r="B456" s="590">
        <f>LARGE($B$15:$B$264,186)</f>
        <v>0</v>
      </c>
      <c r="C456" s="599" t="str">
        <f t="shared" si="39"/>
        <v/>
      </c>
      <c r="D456" s="1295" t="str">
        <f t="shared" si="40"/>
        <v/>
      </c>
      <c r="E456" s="1295"/>
      <c r="F456" s="1295"/>
      <c r="G456" s="599" t="str">
        <f t="shared" si="41"/>
        <v/>
      </c>
      <c r="H456" s="599" t="str">
        <f t="shared" si="42"/>
        <v/>
      </c>
      <c r="I456" s="1296" t="str">
        <f t="shared" si="43"/>
        <v/>
      </c>
      <c r="J456" s="1296"/>
      <c r="K456" s="600" t="str">
        <f t="shared" si="44"/>
        <v/>
      </c>
      <c r="L456" s="591" t="str">
        <f t="shared" si="45"/>
        <v/>
      </c>
      <c r="M456" s="601" t="str">
        <f t="shared" si="46"/>
        <v/>
      </c>
      <c r="N456" s="601" t="str">
        <f t="shared" si="49"/>
        <v/>
      </c>
      <c r="O456" s="599" t="str">
        <f t="shared" si="47"/>
        <v/>
      </c>
      <c r="P456" s="601" t="str">
        <f t="shared" si="48"/>
        <v/>
      </c>
    </row>
    <row r="457" spans="1:16" s="220" customFormat="1" ht="18" hidden="1" customHeight="1">
      <c r="A457" s="591" t="str">
        <f t="shared" si="38"/>
        <v/>
      </c>
      <c r="B457" s="590">
        <f>LARGE($B$15:$B$264,187)</f>
        <v>0</v>
      </c>
      <c r="C457" s="599" t="str">
        <f t="shared" si="39"/>
        <v/>
      </c>
      <c r="D457" s="1295" t="str">
        <f t="shared" si="40"/>
        <v/>
      </c>
      <c r="E457" s="1295"/>
      <c r="F457" s="1295"/>
      <c r="G457" s="599" t="str">
        <f t="shared" si="41"/>
        <v/>
      </c>
      <c r="H457" s="599" t="str">
        <f t="shared" si="42"/>
        <v/>
      </c>
      <c r="I457" s="1296" t="str">
        <f t="shared" si="43"/>
        <v/>
      </c>
      <c r="J457" s="1296"/>
      <c r="K457" s="600" t="str">
        <f t="shared" si="44"/>
        <v/>
      </c>
      <c r="L457" s="591" t="str">
        <f t="shared" si="45"/>
        <v/>
      </c>
      <c r="M457" s="601" t="str">
        <f t="shared" si="46"/>
        <v/>
      </c>
      <c r="N457" s="601" t="str">
        <f t="shared" si="49"/>
        <v/>
      </c>
      <c r="O457" s="599" t="str">
        <f t="shared" si="47"/>
        <v/>
      </c>
      <c r="P457" s="601" t="str">
        <f t="shared" si="48"/>
        <v/>
      </c>
    </row>
    <row r="458" spans="1:16" s="220" customFormat="1" ht="18" hidden="1" customHeight="1">
      <c r="A458" s="591" t="str">
        <f t="shared" si="38"/>
        <v/>
      </c>
      <c r="B458" s="590">
        <f>LARGE($B$15:$B$264,188)</f>
        <v>0</v>
      </c>
      <c r="C458" s="599" t="str">
        <f t="shared" si="39"/>
        <v/>
      </c>
      <c r="D458" s="1295" t="str">
        <f t="shared" si="40"/>
        <v/>
      </c>
      <c r="E458" s="1295"/>
      <c r="F458" s="1295"/>
      <c r="G458" s="599" t="str">
        <f t="shared" si="41"/>
        <v/>
      </c>
      <c r="H458" s="599" t="str">
        <f t="shared" si="42"/>
        <v/>
      </c>
      <c r="I458" s="1296" t="str">
        <f t="shared" si="43"/>
        <v/>
      </c>
      <c r="J458" s="1296"/>
      <c r="K458" s="600" t="str">
        <f t="shared" si="44"/>
        <v/>
      </c>
      <c r="L458" s="591" t="str">
        <f t="shared" si="45"/>
        <v/>
      </c>
      <c r="M458" s="601" t="str">
        <f t="shared" si="46"/>
        <v/>
      </c>
      <c r="N458" s="601" t="str">
        <f t="shared" si="49"/>
        <v/>
      </c>
      <c r="O458" s="599" t="str">
        <f t="shared" si="47"/>
        <v/>
      </c>
      <c r="P458" s="601" t="str">
        <f t="shared" si="48"/>
        <v/>
      </c>
    </row>
    <row r="459" spans="1:16" s="220" customFormat="1" ht="18" hidden="1" customHeight="1">
      <c r="A459" s="591" t="str">
        <f t="shared" si="38"/>
        <v/>
      </c>
      <c r="B459" s="590">
        <f>LARGE($B$15:$B$264,189)</f>
        <v>0</v>
      </c>
      <c r="C459" s="599" t="str">
        <f t="shared" si="39"/>
        <v/>
      </c>
      <c r="D459" s="1295" t="str">
        <f t="shared" si="40"/>
        <v/>
      </c>
      <c r="E459" s="1295"/>
      <c r="F459" s="1295"/>
      <c r="G459" s="599" t="str">
        <f t="shared" si="41"/>
        <v/>
      </c>
      <c r="H459" s="599" t="str">
        <f t="shared" si="42"/>
        <v/>
      </c>
      <c r="I459" s="1296" t="str">
        <f t="shared" si="43"/>
        <v/>
      </c>
      <c r="J459" s="1296"/>
      <c r="K459" s="600" t="str">
        <f t="shared" si="44"/>
        <v/>
      </c>
      <c r="L459" s="591" t="str">
        <f t="shared" si="45"/>
        <v/>
      </c>
      <c r="M459" s="601" t="str">
        <f t="shared" si="46"/>
        <v/>
      </c>
      <c r="N459" s="601" t="str">
        <f t="shared" si="49"/>
        <v/>
      </c>
      <c r="O459" s="599" t="str">
        <f t="shared" si="47"/>
        <v/>
      </c>
      <c r="P459" s="601" t="str">
        <f t="shared" si="48"/>
        <v/>
      </c>
    </row>
    <row r="460" spans="1:16" s="220" customFormat="1" ht="18" hidden="1" customHeight="1">
      <c r="A460" s="591" t="str">
        <f t="shared" si="38"/>
        <v/>
      </c>
      <c r="B460" s="590">
        <f>LARGE($B$15:$B$264,190)</f>
        <v>0</v>
      </c>
      <c r="C460" s="599" t="str">
        <f t="shared" si="39"/>
        <v/>
      </c>
      <c r="D460" s="1295" t="str">
        <f t="shared" si="40"/>
        <v/>
      </c>
      <c r="E460" s="1295"/>
      <c r="F460" s="1295"/>
      <c r="G460" s="599" t="str">
        <f t="shared" si="41"/>
        <v/>
      </c>
      <c r="H460" s="599" t="str">
        <f t="shared" si="42"/>
        <v/>
      </c>
      <c r="I460" s="1296" t="str">
        <f t="shared" si="43"/>
        <v/>
      </c>
      <c r="J460" s="1296"/>
      <c r="K460" s="600" t="str">
        <f t="shared" si="44"/>
        <v/>
      </c>
      <c r="L460" s="591" t="str">
        <f t="shared" si="45"/>
        <v/>
      </c>
      <c r="M460" s="601" t="str">
        <f t="shared" si="46"/>
        <v/>
      </c>
      <c r="N460" s="601" t="str">
        <f t="shared" si="49"/>
        <v/>
      </c>
      <c r="O460" s="599" t="str">
        <f t="shared" si="47"/>
        <v/>
      </c>
      <c r="P460" s="601" t="str">
        <f t="shared" si="48"/>
        <v/>
      </c>
    </row>
    <row r="461" spans="1:16" s="220" customFormat="1" ht="18" hidden="1" customHeight="1">
      <c r="A461" s="591" t="str">
        <f t="shared" si="38"/>
        <v/>
      </c>
      <c r="B461" s="590">
        <f>LARGE($B$15:$B$264,191)</f>
        <v>0</v>
      </c>
      <c r="C461" s="599" t="str">
        <f t="shared" si="39"/>
        <v/>
      </c>
      <c r="D461" s="1295" t="str">
        <f t="shared" si="40"/>
        <v/>
      </c>
      <c r="E461" s="1295"/>
      <c r="F461" s="1295"/>
      <c r="G461" s="599" t="str">
        <f t="shared" si="41"/>
        <v/>
      </c>
      <c r="H461" s="599" t="str">
        <f t="shared" si="42"/>
        <v/>
      </c>
      <c r="I461" s="1296" t="str">
        <f t="shared" si="43"/>
        <v/>
      </c>
      <c r="J461" s="1296"/>
      <c r="K461" s="600" t="str">
        <f t="shared" si="44"/>
        <v/>
      </c>
      <c r="L461" s="591" t="str">
        <f t="shared" si="45"/>
        <v/>
      </c>
      <c r="M461" s="601" t="str">
        <f t="shared" si="46"/>
        <v/>
      </c>
      <c r="N461" s="601" t="str">
        <f t="shared" si="49"/>
        <v/>
      </c>
      <c r="O461" s="599" t="str">
        <f t="shared" si="47"/>
        <v/>
      </c>
      <c r="P461" s="601" t="str">
        <f t="shared" si="48"/>
        <v/>
      </c>
    </row>
    <row r="462" spans="1:16" s="220" customFormat="1" ht="18" hidden="1" customHeight="1">
      <c r="A462" s="591" t="str">
        <f t="shared" si="38"/>
        <v/>
      </c>
      <c r="B462" s="590">
        <f>LARGE($B$15:$B$264,192)</f>
        <v>0</v>
      </c>
      <c r="C462" s="599" t="str">
        <f t="shared" si="39"/>
        <v/>
      </c>
      <c r="D462" s="1295" t="str">
        <f t="shared" si="40"/>
        <v/>
      </c>
      <c r="E462" s="1295"/>
      <c r="F462" s="1295"/>
      <c r="G462" s="599" t="str">
        <f t="shared" si="41"/>
        <v/>
      </c>
      <c r="H462" s="599" t="str">
        <f t="shared" si="42"/>
        <v/>
      </c>
      <c r="I462" s="1296" t="str">
        <f t="shared" si="43"/>
        <v/>
      </c>
      <c r="J462" s="1296"/>
      <c r="K462" s="600" t="str">
        <f t="shared" si="44"/>
        <v/>
      </c>
      <c r="L462" s="591" t="str">
        <f t="shared" si="45"/>
        <v/>
      </c>
      <c r="M462" s="601" t="str">
        <f t="shared" si="46"/>
        <v/>
      </c>
      <c r="N462" s="601" t="str">
        <f t="shared" si="49"/>
        <v/>
      </c>
      <c r="O462" s="599" t="str">
        <f t="shared" si="47"/>
        <v/>
      </c>
      <c r="P462" s="601" t="str">
        <f t="shared" si="48"/>
        <v/>
      </c>
    </row>
    <row r="463" spans="1:16" s="220" customFormat="1" ht="18" hidden="1" customHeight="1">
      <c r="A463" s="591" t="str">
        <f t="shared" si="38"/>
        <v/>
      </c>
      <c r="B463" s="590">
        <f>LARGE($B$15:$B$264,193)</f>
        <v>0</v>
      </c>
      <c r="C463" s="599" t="str">
        <f t="shared" si="39"/>
        <v/>
      </c>
      <c r="D463" s="1295" t="str">
        <f t="shared" si="40"/>
        <v/>
      </c>
      <c r="E463" s="1295"/>
      <c r="F463" s="1295"/>
      <c r="G463" s="599" t="str">
        <f t="shared" si="41"/>
        <v/>
      </c>
      <c r="H463" s="599" t="str">
        <f t="shared" si="42"/>
        <v/>
      </c>
      <c r="I463" s="1296" t="str">
        <f t="shared" si="43"/>
        <v/>
      </c>
      <c r="J463" s="1296"/>
      <c r="K463" s="600" t="str">
        <f t="shared" si="44"/>
        <v/>
      </c>
      <c r="L463" s="591" t="str">
        <f t="shared" si="45"/>
        <v/>
      </c>
      <c r="M463" s="601" t="str">
        <f t="shared" si="46"/>
        <v/>
      </c>
      <c r="N463" s="601" t="str">
        <f t="shared" si="49"/>
        <v/>
      </c>
      <c r="O463" s="599" t="str">
        <f t="shared" si="47"/>
        <v/>
      </c>
      <c r="P463" s="601" t="str">
        <f t="shared" si="48"/>
        <v/>
      </c>
    </row>
    <row r="464" spans="1:16" s="220" customFormat="1" ht="18" hidden="1" customHeight="1">
      <c r="A464" s="591" t="str">
        <f t="shared" ref="A464:A520" si="50">P464</f>
        <v/>
      </c>
      <c r="B464" s="590">
        <f>LARGE($B$15:$B$264,194)</f>
        <v>0</v>
      </c>
      <c r="C464" s="599" t="str">
        <f t="shared" ref="C464:C471" si="51">IFERROR(IF(B464=0,"",VLOOKUP(B464,$B$15:$J$264,2,FALSE)),"")</f>
        <v/>
      </c>
      <c r="D464" s="1295" t="str">
        <f t="shared" ref="D464:D471" si="52">IFERROR(IF(B464=0,"",VLOOKUP(B464,$B$15:$J$264,3,FALSE)),"")</f>
        <v/>
      </c>
      <c r="E464" s="1295"/>
      <c r="F464" s="1295"/>
      <c r="G464" s="599" t="str">
        <f t="shared" ref="G464:G471" si="53">IFERROR(IF(B464=0,"",VLOOKUP(B464,$B$15:$J$264,6,FALSE)),"")</f>
        <v/>
      </c>
      <c r="H464" s="599" t="str">
        <f t="shared" ref="H464:H471" si="54">IFERROR(IF(B464=0,"",VLOOKUP(B464,$B$15:$J$264,7,FALSE)),"")</f>
        <v/>
      </c>
      <c r="I464" s="1296" t="str">
        <f t="shared" ref="I464:I471" si="55">IF(B464=0,"",VLOOKUP(B464,$B$15:$J$264,8,FALSE))</f>
        <v/>
      </c>
      <c r="J464" s="1296"/>
      <c r="K464" s="600" t="str">
        <f t="shared" ref="K464:K471" si="56">IF(B464=0,"",H464*I464)</f>
        <v/>
      </c>
      <c r="L464" s="591" t="str">
        <f t="shared" ref="L464:L520" si="57">O464</f>
        <v/>
      </c>
      <c r="M464" s="601" t="str">
        <f t="shared" ref="M464:M471" si="58">IF(B464=0,"",B464)</f>
        <v/>
      </c>
      <c r="N464" s="601" t="str">
        <f t="shared" si="49"/>
        <v/>
      </c>
      <c r="O464" s="599" t="str">
        <f t="shared" ref="O464:O471" si="59">IF(B464=0,"",(IF(N464&lt;80%,"Si","No")))</f>
        <v/>
      </c>
      <c r="P464" s="601" t="str">
        <f t="shared" ref="P464:P471" si="60">IF(B464=0,"",(IF(M464=$M$521,"Si",(IF(M464&gt;$M$521,"Si","No")))))</f>
        <v/>
      </c>
    </row>
    <row r="465" spans="1:16" s="220" customFormat="1" ht="18" hidden="1" customHeight="1">
      <c r="A465" s="591" t="str">
        <f t="shared" si="50"/>
        <v/>
      </c>
      <c r="B465" s="590">
        <f>LARGE($B$15:$B$264,195)</f>
        <v>0</v>
      </c>
      <c r="C465" s="599" t="str">
        <f t="shared" si="51"/>
        <v/>
      </c>
      <c r="D465" s="1295" t="str">
        <f t="shared" si="52"/>
        <v/>
      </c>
      <c r="E465" s="1295"/>
      <c r="F465" s="1295"/>
      <c r="G465" s="599" t="str">
        <f t="shared" si="53"/>
        <v/>
      </c>
      <c r="H465" s="599" t="str">
        <f t="shared" si="54"/>
        <v/>
      </c>
      <c r="I465" s="1296" t="str">
        <f t="shared" si="55"/>
        <v/>
      </c>
      <c r="J465" s="1296"/>
      <c r="K465" s="600" t="str">
        <f t="shared" si="56"/>
        <v/>
      </c>
      <c r="L465" s="591" t="str">
        <f t="shared" si="57"/>
        <v/>
      </c>
      <c r="M465" s="601" t="str">
        <f t="shared" si="58"/>
        <v/>
      </c>
      <c r="N465" s="601" t="str">
        <f t="shared" ref="N465:N520" si="61">IF(B465=0,"",M465+N464)</f>
        <v/>
      </c>
      <c r="O465" s="599" t="str">
        <f t="shared" si="59"/>
        <v/>
      </c>
      <c r="P465" s="601" t="str">
        <f t="shared" si="60"/>
        <v/>
      </c>
    </row>
    <row r="466" spans="1:16" s="220" customFormat="1" ht="18" hidden="1" customHeight="1">
      <c r="A466" s="591" t="str">
        <f t="shared" si="50"/>
        <v/>
      </c>
      <c r="B466" s="590">
        <f>LARGE($B$15:$B$264,196)</f>
        <v>0</v>
      </c>
      <c r="C466" s="599" t="str">
        <f t="shared" si="51"/>
        <v/>
      </c>
      <c r="D466" s="1295" t="str">
        <f t="shared" si="52"/>
        <v/>
      </c>
      <c r="E466" s="1295"/>
      <c r="F466" s="1295"/>
      <c r="G466" s="599" t="str">
        <f t="shared" si="53"/>
        <v/>
      </c>
      <c r="H466" s="599" t="str">
        <f t="shared" si="54"/>
        <v/>
      </c>
      <c r="I466" s="1296" t="str">
        <f t="shared" si="55"/>
        <v/>
      </c>
      <c r="J466" s="1296"/>
      <c r="K466" s="600" t="str">
        <f t="shared" si="56"/>
        <v/>
      </c>
      <c r="L466" s="591" t="str">
        <f t="shared" si="57"/>
        <v/>
      </c>
      <c r="M466" s="601" t="str">
        <f t="shared" si="58"/>
        <v/>
      </c>
      <c r="N466" s="601" t="str">
        <f t="shared" si="61"/>
        <v/>
      </c>
      <c r="O466" s="599" t="str">
        <f t="shared" si="59"/>
        <v/>
      </c>
      <c r="P466" s="601" t="str">
        <f t="shared" si="60"/>
        <v/>
      </c>
    </row>
    <row r="467" spans="1:16" s="220" customFormat="1" ht="18" hidden="1" customHeight="1">
      <c r="A467" s="591" t="str">
        <f t="shared" si="50"/>
        <v/>
      </c>
      <c r="B467" s="590">
        <f>LARGE($B$15:$B$264,197)</f>
        <v>0</v>
      </c>
      <c r="C467" s="599" t="str">
        <f t="shared" si="51"/>
        <v/>
      </c>
      <c r="D467" s="1295" t="str">
        <f t="shared" si="52"/>
        <v/>
      </c>
      <c r="E467" s="1295"/>
      <c r="F467" s="1295"/>
      <c r="G467" s="599" t="str">
        <f t="shared" si="53"/>
        <v/>
      </c>
      <c r="H467" s="599" t="str">
        <f t="shared" si="54"/>
        <v/>
      </c>
      <c r="I467" s="1296" t="str">
        <f t="shared" si="55"/>
        <v/>
      </c>
      <c r="J467" s="1296"/>
      <c r="K467" s="600" t="str">
        <f t="shared" si="56"/>
        <v/>
      </c>
      <c r="L467" s="591" t="str">
        <f t="shared" si="57"/>
        <v/>
      </c>
      <c r="M467" s="601" t="str">
        <f t="shared" si="58"/>
        <v/>
      </c>
      <c r="N467" s="601" t="str">
        <f t="shared" si="61"/>
        <v/>
      </c>
      <c r="O467" s="599" t="str">
        <f t="shared" si="59"/>
        <v/>
      </c>
      <c r="P467" s="601" t="str">
        <f t="shared" si="60"/>
        <v/>
      </c>
    </row>
    <row r="468" spans="1:16" s="220" customFormat="1" ht="18" hidden="1" customHeight="1">
      <c r="A468" s="591" t="str">
        <f t="shared" si="50"/>
        <v/>
      </c>
      <c r="B468" s="590">
        <f>LARGE($B$15:$B$264,198)</f>
        <v>0</v>
      </c>
      <c r="C468" s="599" t="str">
        <f t="shared" si="51"/>
        <v/>
      </c>
      <c r="D468" s="1295" t="str">
        <f t="shared" si="52"/>
        <v/>
      </c>
      <c r="E468" s="1295"/>
      <c r="F468" s="1295"/>
      <c r="G468" s="599" t="str">
        <f t="shared" si="53"/>
        <v/>
      </c>
      <c r="H468" s="599" t="str">
        <f t="shared" si="54"/>
        <v/>
      </c>
      <c r="I468" s="1296" t="str">
        <f t="shared" si="55"/>
        <v/>
      </c>
      <c r="J468" s="1296"/>
      <c r="K468" s="600" t="str">
        <f t="shared" si="56"/>
        <v/>
      </c>
      <c r="L468" s="591" t="str">
        <f t="shared" si="57"/>
        <v/>
      </c>
      <c r="M468" s="601" t="str">
        <f t="shared" si="58"/>
        <v/>
      </c>
      <c r="N468" s="601" t="str">
        <f t="shared" si="61"/>
        <v/>
      </c>
      <c r="O468" s="599" t="str">
        <f t="shared" si="59"/>
        <v/>
      </c>
      <c r="P468" s="601" t="str">
        <f t="shared" si="60"/>
        <v/>
      </c>
    </row>
    <row r="469" spans="1:16" s="220" customFormat="1" ht="18" hidden="1" customHeight="1">
      <c r="A469" s="591" t="str">
        <f t="shared" si="50"/>
        <v/>
      </c>
      <c r="B469" s="590">
        <f>LARGE($B$15:$B$264,199)</f>
        <v>0</v>
      </c>
      <c r="C469" s="599" t="str">
        <f t="shared" si="51"/>
        <v/>
      </c>
      <c r="D469" s="1295" t="str">
        <f>IFERROR(IF(B469=0,"",VLOOKUP(B469,$B$15:$J$264,3,FALSE)),"")</f>
        <v/>
      </c>
      <c r="E469" s="1295"/>
      <c r="F469" s="1295"/>
      <c r="G469" s="599" t="str">
        <f t="shared" si="53"/>
        <v/>
      </c>
      <c r="H469" s="599" t="str">
        <f t="shared" si="54"/>
        <v/>
      </c>
      <c r="I469" s="1296" t="str">
        <f>IF(B469=0,"",VLOOKUP(B469,$B$15:$J$264,8,FALSE))</f>
        <v/>
      </c>
      <c r="J469" s="1296"/>
      <c r="K469" s="600" t="str">
        <f t="shared" si="56"/>
        <v/>
      </c>
      <c r="L469" s="591" t="str">
        <f t="shared" si="57"/>
        <v/>
      </c>
      <c r="M469" s="601" t="str">
        <f t="shared" si="58"/>
        <v/>
      </c>
      <c r="N469" s="601" t="str">
        <f t="shared" si="61"/>
        <v/>
      </c>
      <c r="O469" s="599" t="str">
        <f t="shared" si="59"/>
        <v/>
      </c>
      <c r="P469" s="601" t="str">
        <f t="shared" si="60"/>
        <v/>
      </c>
    </row>
    <row r="470" spans="1:16" s="220" customFormat="1" ht="18" hidden="1" customHeight="1">
      <c r="A470" s="591" t="str">
        <f t="shared" si="50"/>
        <v/>
      </c>
      <c r="B470" s="590">
        <f>LARGE($B$15:$B$264,200)</f>
        <v>0</v>
      </c>
      <c r="C470" s="599" t="str">
        <f t="shared" si="51"/>
        <v/>
      </c>
      <c r="D470" s="1295" t="str">
        <f t="shared" si="52"/>
        <v/>
      </c>
      <c r="E470" s="1295"/>
      <c r="F470" s="1295"/>
      <c r="G470" s="599" t="str">
        <f t="shared" si="53"/>
        <v/>
      </c>
      <c r="H470" s="599" t="str">
        <f t="shared" si="54"/>
        <v/>
      </c>
      <c r="I470" s="1296" t="str">
        <f t="shared" si="55"/>
        <v/>
      </c>
      <c r="J470" s="1296"/>
      <c r="K470" s="600" t="str">
        <f t="shared" si="56"/>
        <v/>
      </c>
      <c r="L470" s="591" t="str">
        <f t="shared" si="57"/>
        <v/>
      </c>
      <c r="M470" s="601" t="str">
        <f t="shared" si="58"/>
        <v/>
      </c>
      <c r="N470" s="601" t="str">
        <f t="shared" si="61"/>
        <v/>
      </c>
      <c r="O470" s="599" t="str">
        <f t="shared" si="59"/>
        <v/>
      </c>
      <c r="P470" s="601" t="str">
        <f t="shared" si="60"/>
        <v/>
      </c>
    </row>
    <row r="471" spans="1:16" s="220" customFormat="1" ht="18" hidden="1" customHeight="1">
      <c r="A471" s="591" t="str">
        <f t="shared" si="50"/>
        <v/>
      </c>
      <c r="B471" s="590">
        <f>LARGE($B$15:$B$264,201)</f>
        <v>0</v>
      </c>
      <c r="C471" s="599" t="str">
        <f t="shared" si="51"/>
        <v/>
      </c>
      <c r="D471" s="1295" t="str">
        <f t="shared" si="52"/>
        <v/>
      </c>
      <c r="E471" s="1295"/>
      <c r="F471" s="1295"/>
      <c r="G471" s="599" t="str">
        <f t="shared" si="53"/>
        <v/>
      </c>
      <c r="H471" s="599" t="str">
        <f t="shared" si="54"/>
        <v/>
      </c>
      <c r="I471" s="1296" t="str">
        <f t="shared" si="55"/>
        <v/>
      </c>
      <c r="J471" s="1296"/>
      <c r="K471" s="600" t="str">
        <f t="shared" si="56"/>
        <v/>
      </c>
      <c r="L471" s="591" t="str">
        <f t="shared" si="57"/>
        <v/>
      </c>
      <c r="M471" s="601" t="str">
        <f t="shared" si="58"/>
        <v/>
      </c>
      <c r="N471" s="601" t="str">
        <f t="shared" si="61"/>
        <v/>
      </c>
      <c r="O471" s="599" t="str">
        <f t="shared" si="59"/>
        <v/>
      </c>
      <c r="P471" s="601" t="str">
        <f t="shared" si="60"/>
        <v/>
      </c>
    </row>
    <row r="472" spans="1:16" s="220" customFormat="1" ht="18" hidden="1" customHeight="1">
      <c r="A472" s="591" t="str">
        <f t="shared" si="50"/>
        <v/>
      </c>
      <c r="B472" s="590">
        <f>LARGE($B$15:$B$264,202)</f>
        <v>0</v>
      </c>
      <c r="C472" s="599" t="str">
        <f t="shared" ref="C472:C503" si="62">IFERROR(IF(B472=0,"",VLOOKUP(B472,$B$15:$J$264,2,FALSE)),"")</f>
        <v/>
      </c>
      <c r="D472" s="1295" t="str">
        <f t="shared" ref="D472:D503" si="63">IF(B472=0,"",VLOOKUP(B472,$B$15:$J$264,3,FALSE))</f>
        <v/>
      </c>
      <c r="E472" s="1295"/>
      <c r="F472" s="1295"/>
      <c r="G472" s="599" t="str">
        <f t="shared" ref="G472:G503" si="64">IF(B472=0,"",VLOOKUP(B472,$B$15:$J$264,6,FALSE))</f>
        <v/>
      </c>
      <c r="H472" s="599" t="str">
        <f t="shared" ref="H472:H503" si="65">IF(B472=0,"",VLOOKUP(B472,$B$15:$J$264,7,FALSE))</f>
        <v/>
      </c>
      <c r="I472" s="1296" t="str">
        <f t="shared" ref="I472:I503" si="66">IF(B472=0,"",VLOOKUP(B472,$B$15:$J$264,8,FALSE))</f>
        <v/>
      </c>
      <c r="J472" s="1296"/>
      <c r="K472" s="600" t="str">
        <f t="shared" ref="K472:K502" si="67">IF(B472=0,"",H472*I472)</f>
        <v/>
      </c>
      <c r="L472" s="591" t="str">
        <f t="shared" si="57"/>
        <v/>
      </c>
      <c r="M472" s="601" t="str">
        <f t="shared" ref="M472:M502" si="68">IF(B472=0,"",B472)</f>
        <v/>
      </c>
      <c r="N472" s="601" t="str">
        <f t="shared" si="61"/>
        <v/>
      </c>
      <c r="O472" s="599" t="str">
        <f t="shared" ref="O472:O502" si="69">IF(B472=0,"",(IF(N472&lt;80%,"Si","No")))</f>
        <v/>
      </c>
      <c r="P472" s="601" t="str">
        <f t="shared" ref="P472:P502" si="70">IF(B472=0,"",(IF(M472=$M$521,"Si",(IF(M472&gt;$M$521,"Si","No")))))</f>
        <v/>
      </c>
    </row>
    <row r="473" spans="1:16" s="220" customFormat="1" ht="18" hidden="1" customHeight="1">
      <c r="A473" s="591" t="str">
        <f t="shared" si="50"/>
        <v/>
      </c>
      <c r="B473" s="590">
        <f>LARGE($B$15:$B$264,203)</f>
        <v>0</v>
      </c>
      <c r="C473" s="599" t="str">
        <f t="shared" si="62"/>
        <v/>
      </c>
      <c r="D473" s="1295" t="str">
        <f t="shared" si="63"/>
        <v/>
      </c>
      <c r="E473" s="1295"/>
      <c r="F473" s="1295"/>
      <c r="G473" s="599" t="str">
        <f t="shared" si="64"/>
        <v/>
      </c>
      <c r="H473" s="599" t="str">
        <f t="shared" si="65"/>
        <v/>
      </c>
      <c r="I473" s="1296" t="str">
        <f t="shared" si="66"/>
        <v/>
      </c>
      <c r="J473" s="1296"/>
      <c r="K473" s="600" t="str">
        <f t="shared" si="67"/>
        <v/>
      </c>
      <c r="L473" s="591" t="str">
        <f t="shared" si="57"/>
        <v/>
      </c>
      <c r="M473" s="601" t="str">
        <f t="shared" si="68"/>
        <v/>
      </c>
      <c r="N473" s="601" t="str">
        <f t="shared" si="61"/>
        <v/>
      </c>
      <c r="O473" s="599" t="str">
        <f t="shared" si="69"/>
        <v/>
      </c>
      <c r="P473" s="601" t="str">
        <f t="shared" si="70"/>
        <v/>
      </c>
    </row>
    <row r="474" spans="1:16" s="220" customFormat="1" ht="18" hidden="1" customHeight="1">
      <c r="A474" s="591" t="str">
        <f t="shared" si="50"/>
        <v/>
      </c>
      <c r="B474" s="590">
        <f>LARGE($B$15:$B$264,204)</f>
        <v>0</v>
      </c>
      <c r="C474" s="599" t="str">
        <f t="shared" si="62"/>
        <v/>
      </c>
      <c r="D474" s="1295" t="str">
        <f t="shared" si="63"/>
        <v/>
      </c>
      <c r="E474" s="1295"/>
      <c r="F474" s="1295"/>
      <c r="G474" s="599" t="str">
        <f t="shared" si="64"/>
        <v/>
      </c>
      <c r="H474" s="599" t="str">
        <f t="shared" si="65"/>
        <v/>
      </c>
      <c r="I474" s="1296" t="str">
        <f t="shared" si="66"/>
        <v/>
      </c>
      <c r="J474" s="1296"/>
      <c r="K474" s="600" t="str">
        <f t="shared" si="67"/>
        <v/>
      </c>
      <c r="L474" s="591" t="str">
        <f t="shared" si="57"/>
        <v/>
      </c>
      <c r="M474" s="601" t="str">
        <f t="shared" si="68"/>
        <v/>
      </c>
      <c r="N474" s="601" t="str">
        <f t="shared" si="61"/>
        <v/>
      </c>
      <c r="O474" s="599" t="str">
        <f t="shared" si="69"/>
        <v/>
      </c>
      <c r="P474" s="601" t="str">
        <f t="shared" si="70"/>
        <v/>
      </c>
    </row>
    <row r="475" spans="1:16" s="220" customFormat="1" ht="18" hidden="1" customHeight="1">
      <c r="A475" s="591" t="str">
        <f t="shared" si="50"/>
        <v/>
      </c>
      <c r="B475" s="590">
        <f>LARGE($B$15:$B$264,205)</f>
        <v>0</v>
      </c>
      <c r="C475" s="599" t="str">
        <f t="shared" si="62"/>
        <v/>
      </c>
      <c r="D475" s="1295" t="str">
        <f t="shared" si="63"/>
        <v/>
      </c>
      <c r="E475" s="1295"/>
      <c r="F475" s="1295"/>
      <c r="G475" s="599" t="str">
        <f t="shared" si="64"/>
        <v/>
      </c>
      <c r="H475" s="599" t="str">
        <f t="shared" si="65"/>
        <v/>
      </c>
      <c r="I475" s="1296" t="str">
        <f t="shared" si="66"/>
        <v/>
      </c>
      <c r="J475" s="1296"/>
      <c r="K475" s="600" t="str">
        <f t="shared" si="67"/>
        <v/>
      </c>
      <c r="L475" s="591" t="str">
        <f t="shared" si="57"/>
        <v/>
      </c>
      <c r="M475" s="601" t="str">
        <f t="shared" si="68"/>
        <v/>
      </c>
      <c r="N475" s="601" t="str">
        <f t="shared" si="61"/>
        <v/>
      </c>
      <c r="O475" s="599" t="str">
        <f t="shared" si="69"/>
        <v/>
      </c>
      <c r="P475" s="601" t="str">
        <f t="shared" si="70"/>
        <v/>
      </c>
    </row>
    <row r="476" spans="1:16" s="220" customFormat="1" ht="18" hidden="1" customHeight="1">
      <c r="A476" s="591" t="str">
        <f t="shared" si="50"/>
        <v/>
      </c>
      <c r="B476" s="590">
        <f>LARGE($B$15:$B$264,206)</f>
        <v>0</v>
      </c>
      <c r="C476" s="599" t="str">
        <f t="shared" si="62"/>
        <v/>
      </c>
      <c r="D476" s="1295" t="str">
        <f t="shared" si="63"/>
        <v/>
      </c>
      <c r="E476" s="1295"/>
      <c r="F476" s="1295"/>
      <c r="G476" s="599" t="str">
        <f t="shared" si="64"/>
        <v/>
      </c>
      <c r="H476" s="599" t="str">
        <f t="shared" si="65"/>
        <v/>
      </c>
      <c r="I476" s="1296" t="str">
        <f t="shared" si="66"/>
        <v/>
      </c>
      <c r="J476" s="1296"/>
      <c r="K476" s="600" t="str">
        <f t="shared" si="67"/>
        <v/>
      </c>
      <c r="L476" s="591" t="str">
        <f t="shared" si="57"/>
        <v/>
      </c>
      <c r="M476" s="601" t="str">
        <f t="shared" si="68"/>
        <v/>
      </c>
      <c r="N476" s="601" t="str">
        <f t="shared" si="61"/>
        <v/>
      </c>
      <c r="O476" s="599" t="str">
        <f t="shared" si="69"/>
        <v/>
      </c>
      <c r="P476" s="601" t="str">
        <f t="shared" si="70"/>
        <v/>
      </c>
    </row>
    <row r="477" spans="1:16" s="220" customFormat="1" ht="18" hidden="1" customHeight="1">
      <c r="A477" s="591" t="str">
        <f t="shared" si="50"/>
        <v/>
      </c>
      <c r="B477" s="590">
        <f>LARGE($B$15:$B$264,207)</f>
        <v>0</v>
      </c>
      <c r="C477" s="599" t="str">
        <f t="shared" si="62"/>
        <v/>
      </c>
      <c r="D477" s="1295" t="str">
        <f t="shared" si="63"/>
        <v/>
      </c>
      <c r="E477" s="1295"/>
      <c r="F477" s="1295"/>
      <c r="G477" s="599" t="str">
        <f t="shared" si="64"/>
        <v/>
      </c>
      <c r="H477" s="599" t="str">
        <f t="shared" si="65"/>
        <v/>
      </c>
      <c r="I477" s="1296" t="str">
        <f t="shared" si="66"/>
        <v/>
      </c>
      <c r="J477" s="1296"/>
      <c r="K477" s="600" t="str">
        <f t="shared" si="67"/>
        <v/>
      </c>
      <c r="L477" s="591" t="str">
        <f t="shared" si="57"/>
        <v/>
      </c>
      <c r="M477" s="601" t="str">
        <f t="shared" si="68"/>
        <v/>
      </c>
      <c r="N477" s="601" t="str">
        <f t="shared" si="61"/>
        <v/>
      </c>
      <c r="O477" s="599" t="str">
        <f t="shared" si="69"/>
        <v/>
      </c>
      <c r="P477" s="601" t="str">
        <f t="shared" si="70"/>
        <v/>
      </c>
    </row>
    <row r="478" spans="1:16" s="220" customFormat="1" ht="18" hidden="1" customHeight="1">
      <c r="A478" s="591" t="str">
        <f t="shared" si="50"/>
        <v/>
      </c>
      <c r="B478" s="590">
        <f>LARGE($B$15:$B$264,208)</f>
        <v>0</v>
      </c>
      <c r="C478" s="599" t="str">
        <f t="shared" si="62"/>
        <v/>
      </c>
      <c r="D478" s="1295" t="str">
        <f t="shared" si="63"/>
        <v/>
      </c>
      <c r="E478" s="1295"/>
      <c r="F478" s="1295"/>
      <c r="G478" s="599" t="str">
        <f t="shared" si="64"/>
        <v/>
      </c>
      <c r="H478" s="599" t="str">
        <f t="shared" si="65"/>
        <v/>
      </c>
      <c r="I478" s="1296" t="str">
        <f t="shared" si="66"/>
        <v/>
      </c>
      <c r="J478" s="1296"/>
      <c r="K478" s="600" t="str">
        <f t="shared" si="67"/>
        <v/>
      </c>
      <c r="L478" s="591" t="str">
        <f t="shared" si="57"/>
        <v/>
      </c>
      <c r="M478" s="601" t="str">
        <f t="shared" si="68"/>
        <v/>
      </c>
      <c r="N478" s="601" t="str">
        <f t="shared" si="61"/>
        <v/>
      </c>
      <c r="O478" s="599" t="str">
        <f t="shared" si="69"/>
        <v/>
      </c>
      <c r="P478" s="601" t="str">
        <f t="shared" si="70"/>
        <v/>
      </c>
    </row>
    <row r="479" spans="1:16" s="220" customFormat="1" ht="18" hidden="1" customHeight="1">
      <c r="A479" s="591" t="str">
        <f t="shared" si="50"/>
        <v/>
      </c>
      <c r="B479" s="590">
        <f>LARGE($B$15:$B$264,209)</f>
        <v>0</v>
      </c>
      <c r="C479" s="599" t="str">
        <f t="shared" si="62"/>
        <v/>
      </c>
      <c r="D479" s="1295" t="str">
        <f t="shared" si="63"/>
        <v/>
      </c>
      <c r="E479" s="1295"/>
      <c r="F479" s="1295"/>
      <c r="G479" s="599" t="str">
        <f t="shared" si="64"/>
        <v/>
      </c>
      <c r="H479" s="599" t="str">
        <f t="shared" si="65"/>
        <v/>
      </c>
      <c r="I479" s="1296" t="str">
        <f t="shared" si="66"/>
        <v/>
      </c>
      <c r="J479" s="1296"/>
      <c r="K479" s="600" t="str">
        <f t="shared" si="67"/>
        <v/>
      </c>
      <c r="L479" s="591" t="str">
        <f t="shared" si="57"/>
        <v/>
      </c>
      <c r="M479" s="601" t="str">
        <f t="shared" si="68"/>
        <v/>
      </c>
      <c r="N479" s="601" t="str">
        <f t="shared" si="61"/>
        <v/>
      </c>
      <c r="O479" s="599" t="str">
        <f t="shared" si="69"/>
        <v/>
      </c>
      <c r="P479" s="601" t="str">
        <f t="shared" si="70"/>
        <v/>
      </c>
    </row>
    <row r="480" spans="1:16" s="220" customFormat="1" ht="18" hidden="1" customHeight="1">
      <c r="A480" s="591" t="str">
        <f t="shared" si="50"/>
        <v/>
      </c>
      <c r="B480" s="590">
        <f>LARGE($B$15:$B$264,210)</f>
        <v>0</v>
      </c>
      <c r="C480" s="599" t="str">
        <f t="shared" si="62"/>
        <v/>
      </c>
      <c r="D480" s="1295" t="str">
        <f t="shared" si="63"/>
        <v/>
      </c>
      <c r="E480" s="1295"/>
      <c r="F480" s="1295"/>
      <c r="G480" s="599" t="str">
        <f t="shared" si="64"/>
        <v/>
      </c>
      <c r="H480" s="599" t="str">
        <f t="shared" si="65"/>
        <v/>
      </c>
      <c r="I480" s="1296" t="str">
        <f t="shared" si="66"/>
        <v/>
      </c>
      <c r="J480" s="1296"/>
      <c r="K480" s="600" t="str">
        <f t="shared" si="67"/>
        <v/>
      </c>
      <c r="L480" s="591" t="str">
        <f t="shared" si="57"/>
        <v/>
      </c>
      <c r="M480" s="601" t="str">
        <f t="shared" si="68"/>
        <v/>
      </c>
      <c r="N480" s="601" t="str">
        <f t="shared" si="61"/>
        <v/>
      </c>
      <c r="O480" s="599" t="str">
        <f t="shared" si="69"/>
        <v/>
      </c>
      <c r="P480" s="601" t="str">
        <f t="shared" si="70"/>
        <v/>
      </c>
    </row>
    <row r="481" spans="1:16" s="220" customFormat="1" ht="18" hidden="1" customHeight="1">
      <c r="A481" s="591" t="str">
        <f t="shared" si="50"/>
        <v/>
      </c>
      <c r="B481" s="590">
        <f>LARGE($B$15:$B$264,211)</f>
        <v>0</v>
      </c>
      <c r="C481" s="599" t="str">
        <f t="shared" si="62"/>
        <v/>
      </c>
      <c r="D481" s="1295" t="str">
        <f t="shared" si="63"/>
        <v/>
      </c>
      <c r="E481" s="1295"/>
      <c r="F481" s="1295"/>
      <c r="G481" s="599" t="str">
        <f t="shared" si="64"/>
        <v/>
      </c>
      <c r="H481" s="599" t="str">
        <f t="shared" si="65"/>
        <v/>
      </c>
      <c r="I481" s="1296" t="str">
        <f t="shared" si="66"/>
        <v/>
      </c>
      <c r="J481" s="1296"/>
      <c r="K481" s="600" t="str">
        <f t="shared" si="67"/>
        <v/>
      </c>
      <c r="L481" s="591" t="str">
        <f t="shared" si="57"/>
        <v/>
      </c>
      <c r="M481" s="601" t="str">
        <f t="shared" si="68"/>
        <v/>
      </c>
      <c r="N481" s="601" t="str">
        <f t="shared" si="61"/>
        <v/>
      </c>
      <c r="O481" s="599" t="str">
        <f t="shared" si="69"/>
        <v/>
      </c>
      <c r="P481" s="601" t="str">
        <f t="shared" si="70"/>
        <v/>
      </c>
    </row>
    <row r="482" spans="1:16" s="220" customFormat="1" ht="18" hidden="1" customHeight="1">
      <c r="A482" s="591" t="str">
        <f t="shared" si="50"/>
        <v/>
      </c>
      <c r="B482" s="590">
        <f>LARGE($B$15:$B$264,212)</f>
        <v>0</v>
      </c>
      <c r="C482" s="599" t="str">
        <f t="shared" si="62"/>
        <v/>
      </c>
      <c r="D482" s="1295" t="str">
        <f t="shared" si="63"/>
        <v/>
      </c>
      <c r="E482" s="1295"/>
      <c r="F482" s="1295"/>
      <c r="G482" s="599" t="str">
        <f t="shared" si="64"/>
        <v/>
      </c>
      <c r="H482" s="599" t="str">
        <f t="shared" si="65"/>
        <v/>
      </c>
      <c r="I482" s="1296" t="str">
        <f t="shared" si="66"/>
        <v/>
      </c>
      <c r="J482" s="1296"/>
      <c r="K482" s="600" t="str">
        <f t="shared" si="67"/>
        <v/>
      </c>
      <c r="L482" s="591" t="str">
        <f t="shared" si="57"/>
        <v/>
      </c>
      <c r="M482" s="601" t="str">
        <f t="shared" si="68"/>
        <v/>
      </c>
      <c r="N482" s="601" t="str">
        <f t="shared" si="61"/>
        <v/>
      </c>
      <c r="O482" s="599" t="str">
        <f t="shared" si="69"/>
        <v/>
      </c>
      <c r="P482" s="601" t="str">
        <f t="shared" si="70"/>
        <v/>
      </c>
    </row>
    <row r="483" spans="1:16" s="220" customFormat="1" ht="18" hidden="1" customHeight="1">
      <c r="A483" s="591" t="str">
        <f t="shared" si="50"/>
        <v/>
      </c>
      <c r="B483" s="590">
        <f>LARGE($B$15:$B$264,213)</f>
        <v>0</v>
      </c>
      <c r="C483" s="599" t="str">
        <f t="shared" si="62"/>
        <v/>
      </c>
      <c r="D483" s="1295" t="str">
        <f t="shared" si="63"/>
        <v/>
      </c>
      <c r="E483" s="1295"/>
      <c r="F483" s="1295"/>
      <c r="G483" s="599" t="str">
        <f t="shared" si="64"/>
        <v/>
      </c>
      <c r="H483" s="599" t="str">
        <f t="shared" si="65"/>
        <v/>
      </c>
      <c r="I483" s="1296" t="str">
        <f t="shared" si="66"/>
        <v/>
      </c>
      <c r="J483" s="1296"/>
      <c r="K483" s="600" t="str">
        <f t="shared" si="67"/>
        <v/>
      </c>
      <c r="L483" s="591" t="str">
        <f t="shared" si="57"/>
        <v/>
      </c>
      <c r="M483" s="601" t="str">
        <f t="shared" si="68"/>
        <v/>
      </c>
      <c r="N483" s="601" t="str">
        <f t="shared" si="61"/>
        <v/>
      </c>
      <c r="O483" s="599" t="str">
        <f t="shared" si="69"/>
        <v/>
      </c>
      <c r="P483" s="601" t="str">
        <f t="shared" si="70"/>
        <v/>
      </c>
    </row>
    <row r="484" spans="1:16" s="220" customFormat="1" ht="18" hidden="1" customHeight="1">
      <c r="A484" s="591" t="str">
        <f t="shared" si="50"/>
        <v/>
      </c>
      <c r="B484" s="590">
        <f>LARGE($B$15:$B$264,214)</f>
        <v>0</v>
      </c>
      <c r="C484" s="599" t="str">
        <f t="shared" si="62"/>
        <v/>
      </c>
      <c r="D484" s="1295" t="str">
        <f t="shared" si="63"/>
        <v/>
      </c>
      <c r="E484" s="1295"/>
      <c r="F484" s="1295"/>
      <c r="G484" s="599" t="str">
        <f t="shared" si="64"/>
        <v/>
      </c>
      <c r="H484" s="599" t="str">
        <f t="shared" si="65"/>
        <v/>
      </c>
      <c r="I484" s="1296" t="str">
        <f t="shared" si="66"/>
        <v/>
      </c>
      <c r="J484" s="1296"/>
      <c r="K484" s="600" t="str">
        <f t="shared" si="67"/>
        <v/>
      </c>
      <c r="L484" s="591" t="str">
        <f t="shared" si="57"/>
        <v/>
      </c>
      <c r="M484" s="601" t="str">
        <f t="shared" si="68"/>
        <v/>
      </c>
      <c r="N484" s="601" t="str">
        <f t="shared" si="61"/>
        <v/>
      </c>
      <c r="O484" s="599" t="str">
        <f t="shared" si="69"/>
        <v/>
      </c>
      <c r="P484" s="601" t="str">
        <f t="shared" si="70"/>
        <v/>
      </c>
    </row>
    <row r="485" spans="1:16" s="220" customFormat="1" ht="18" hidden="1" customHeight="1">
      <c r="A485" s="591" t="str">
        <f t="shared" si="50"/>
        <v/>
      </c>
      <c r="B485" s="590">
        <f>LARGE($B$15:$B$264,215)</f>
        <v>0</v>
      </c>
      <c r="C485" s="599" t="str">
        <f t="shared" si="62"/>
        <v/>
      </c>
      <c r="D485" s="1295" t="str">
        <f t="shared" si="63"/>
        <v/>
      </c>
      <c r="E485" s="1295"/>
      <c r="F485" s="1295"/>
      <c r="G485" s="599" t="str">
        <f t="shared" si="64"/>
        <v/>
      </c>
      <c r="H485" s="599" t="str">
        <f t="shared" si="65"/>
        <v/>
      </c>
      <c r="I485" s="1296" t="str">
        <f t="shared" si="66"/>
        <v/>
      </c>
      <c r="J485" s="1296"/>
      <c r="K485" s="600" t="str">
        <f t="shared" si="67"/>
        <v/>
      </c>
      <c r="L485" s="591" t="str">
        <f t="shared" si="57"/>
        <v/>
      </c>
      <c r="M485" s="601" t="str">
        <f t="shared" si="68"/>
        <v/>
      </c>
      <c r="N485" s="601" t="str">
        <f t="shared" si="61"/>
        <v/>
      </c>
      <c r="O485" s="599" t="str">
        <f t="shared" si="69"/>
        <v/>
      </c>
      <c r="P485" s="601" t="str">
        <f t="shared" si="70"/>
        <v/>
      </c>
    </row>
    <row r="486" spans="1:16" s="220" customFormat="1" ht="18" hidden="1" customHeight="1">
      <c r="A486" s="591" t="str">
        <f t="shared" si="50"/>
        <v/>
      </c>
      <c r="B486" s="590">
        <f>LARGE($B$15:$B$264,216)</f>
        <v>0</v>
      </c>
      <c r="C486" s="599" t="str">
        <f t="shared" si="62"/>
        <v/>
      </c>
      <c r="D486" s="1295" t="str">
        <f t="shared" si="63"/>
        <v/>
      </c>
      <c r="E486" s="1295"/>
      <c r="F486" s="1295"/>
      <c r="G486" s="599" t="str">
        <f t="shared" si="64"/>
        <v/>
      </c>
      <c r="H486" s="599" t="str">
        <f t="shared" si="65"/>
        <v/>
      </c>
      <c r="I486" s="1296" t="str">
        <f t="shared" si="66"/>
        <v/>
      </c>
      <c r="J486" s="1296"/>
      <c r="K486" s="600" t="str">
        <f t="shared" si="67"/>
        <v/>
      </c>
      <c r="L486" s="591" t="str">
        <f t="shared" si="57"/>
        <v/>
      </c>
      <c r="M486" s="601" t="str">
        <f t="shared" si="68"/>
        <v/>
      </c>
      <c r="N486" s="601" t="str">
        <f t="shared" si="61"/>
        <v/>
      </c>
      <c r="O486" s="599" t="str">
        <f t="shared" si="69"/>
        <v/>
      </c>
      <c r="P486" s="601" t="str">
        <f t="shared" si="70"/>
        <v/>
      </c>
    </row>
    <row r="487" spans="1:16" s="220" customFormat="1" ht="18" hidden="1" customHeight="1">
      <c r="A487" s="591" t="str">
        <f t="shared" si="50"/>
        <v/>
      </c>
      <c r="B487" s="590">
        <f>LARGE($B$15:$B$264,217)</f>
        <v>0</v>
      </c>
      <c r="C487" s="599" t="str">
        <f t="shared" si="62"/>
        <v/>
      </c>
      <c r="D487" s="1295" t="str">
        <f t="shared" si="63"/>
        <v/>
      </c>
      <c r="E487" s="1295"/>
      <c r="F487" s="1295"/>
      <c r="G487" s="599" t="str">
        <f t="shared" si="64"/>
        <v/>
      </c>
      <c r="H487" s="599" t="str">
        <f t="shared" si="65"/>
        <v/>
      </c>
      <c r="I487" s="1296" t="str">
        <f t="shared" si="66"/>
        <v/>
      </c>
      <c r="J487" s="1296"/>
      <c r="K487" s="600" t="str">
        <f t="shared" si="67"/>
        <v/>
      </c>
      <c r="L487" s="591" t="str">
        <f t="shared" si="57"/>
        <v/>
      </c>
      <c r="M487" s="601" t="str">
        <f t="shared" si="68"/>
        <v/>
      </c>
      <c r="N487" s="601" t="str">
        <f t="shared" si="61"/>
        <v/>
      </c>
      <c r="O487" s="599" t="str">
        <f t="shared" si="69"/>
        <v/>
      </c>
      <c r="P487" s="601" t="str">
        <f t="shared" si="70"/>
        <v/>
      </c>
    </row>
    <row r="488" spans="1:16" s="220" customFormat="1" ht="18" hidden="1" customHeight="1">
      <c r="A488" s="591" t="str">
        <f t="shared" si="50"/>
        <v/>
      </c>
      <c r="B488" s="590">
        <f>LARGE($B$15:$B$264,218)</f>
        <v>0</v>
      </c>
      <c r="C488" s="599" t="str">
        <f t="shared" si="62"/>
        <v/>
      </c>
      <c r="D488" s="1295" t="str">
        <f t="shared" si="63"/>
        <v/>
      </c>
      <c r="E488" s="1295"/>
      <c r="F488" s="1295"/>
      <c r="G488" s="599" t="str">
        <f t="shared" si="64"/>
        <v/>
      </c>
      <c r="H488" s="599" t="str">
        <f t="shared" si="65"/>
        <v/>
      </c>
      <c r="I488" s="1296" t="str">
        <f t="shared" si="66"/>
        <v/>
      </c>
      <c r="J488" s="1296"/>
      <c r="K488" s="600" t="str">
        <f t="shared" si="67"/>
        <v/>
      </c>
      <c r="L488" s="591" t="str">
        <f t="shared" si="57"/>
        <v/>
      </c>
      <c r="M488" s="601" t="str">
        <f t="shared" si="68"/>
        <v/>
      </c>
      <c r="N488" s="601" t="str">
        <f t="shared" si="61"/>
        <v/>
      </c>
      <c r="O488" s="599" t="str">
        <f t="shared" si="69"/>
        <v/>
      </c>
      <c r="P488" s="601" t="str">
        <f t="shared" si="70"/>
        <v/>
      </c>
    </row>
    <row r="489" spans="1:16" s="220" customFormat="1" ht="18" hidden="1" customHeight="1">
      <c r="A489" s="591" t="str">
        <f t="shared" si="50"/>
        <v/>
      </c>
      <c r="B489" s="590">
        <f>LARGE($B$15:$B$264,219)</f>
        <v>0</v>
      </c>
      <c r="C489" s="599" t="str">
        <f t="shared" si="62"/>
        <v/>
      </c>
      <c r="D489" s="1295" t="str">
        <f t="shared" si="63"/>
        <v/>
      </c>
      <c r="E489" s="1295"/>
      <c r="F489" s="1295"/>
      <c r="G489" s="599" t="str">
        <f t="shared" si="64"/>
        <v/>
      </c>
      <c r="H489" s="599" t="str">
        <f t="shared" si="65"/>
        <v/>
      </c>
      <c r="I489" s="1296" t="str">
        <f t="shared" si="66"/>
        <v/>
      </c>
      <c r="J489" s="1296"/>
      <c r="K489" s="600" t="str">
        <f t="shared" si="67"/>
        <v/>
      </c>
      <c r="L489" s="591" t="str">
        <f t="shared" si="57"/>
        <v/>
      </c>
      <c r="M489" s="601" t="str">
        <f t="shared" si="68"/>
        <v/>
      </c>
      <c r="N489" s="601" t="str">
        <f t="shared" si="61"/>
        <v/>
      </c>
      <c r="O489" s="599" t="str">
        <f t="shared" si="69"/>
        <v/>
      </c>
      <c r="P489" s="601" t="str">
        <f t="shared" si="70"/>
        <v/>
      </c>
    </row>
    <row r="490" spans="1:16" s="220" customFormat="1" ht="18" hidden="1" customHeight="1">
      <c r="A490" s="591" t="str">
        <f t="shared" si="50"/>
        <v/>
      </c>
      <c r="B490" s="590">
        <f>LARGE($B$15:$B$264,220)</f>
        <v>0</v>
      </c>
      <c r="C490" s="599" t="str">
        <f t="shared" si="62"/>
        <v/>
      </c>
      <c r="D490" s="1295" t="str">
        <f t="shared" si="63"/>
        <v/>
      </c>
      <c r="E490" s="1295"/>
      <c r="F490" s="1295"/>
      <c r="G490" s="599" t="str">
        <f t="shared" si="64"/>
        <v/>
      </c>
      <c r="H490" s="599" t="str">
        <f t="shared" si="65"/>
        <v/>
      </c>
      <c r="I490" s="1296" t="str">
        <f t="shared" si="66"/>
        <v/>
      </c>
      <c r="J490" s="1296"/>
      <c r="K490" s="600" t="str">
        <f t="shared" si="67"/>
        <v/>
      </c>
      <c r="L490" s="591" t="str">
        <f t="shared" si="57"/>
        <v/>
      </c>
      <c r="M490" s="601" t="str">
        <f t="shared" si="68"/>
        <v/>
      </c>
      <c r="N490" s="601" t="str">
        <f t="shared" si="61"/>
        <v/>
      </c>
      <c r="O490" s="599" t="str">
        <f t="shared" si="69"/>
        <v/>
      </c>
      <c r="P490" s="601" t="str">
        <f t="shared" si="70"/>
        <v/>
      </c>
    </row>
    <row r="491" spans="1:16" s="220" customFormat="1" ht="18" hidden="1" customHeight="1">
      <c r="A491" s="591" t="str">
        <f t="shared" si="50"/>
        <v/>
      </c>
      <c r="B491" s="590">
        <f>LARGE($B$15:$B$264,221)</f>
        <v>0</v>
      </c>
      <c r="C491" s="599" t="str">
        <f t="shared" si="62"/>
        <v/>
      </c>
      <c r="D491" s="1295" t="str">
        <f t="shared" si="63"/>
        <v/>
      </c>
      <c r="E491" s="1295"/>
      <c r="F491" s="1295"/>
      <c r="G491" s="599" t="str">
        <f t="shared" si="64"/>
        <v/>
      </c>
      <c r="H491" s="599" t="str">
        <f t="shared" si="65"/>
        <v/>
      </c>
      <c r="I491" s="1296" t="str">
        <f t="shared" si="66"/>
        <v/>
      </c>
      <c r="J491" s="1296"/>
      <c r="K491" s="600" t="str">
        <f t="shared" si="67"/>
        <v/>
      </c>
      <c r="L491" s="591" t="str">
        <f t="shared" si="57"/>
        <v/>
      </c>
      <c r="M491" s="601" t="str">
        <f t="shared" si="68"/>
        <v/>
      </c>
      <c r="N491" s="601" t="str">
        <f t="shared" si="61"/>
        <v/>
      </c>
      <c r="O491" s="599" t="str">
        <f t="shared" si="69"/>
        <v/>
      </c>
      <c r="P491" s="601" t="str">
        <f t="shared" si="70"/>
        <v/>
      </c>
    </row>
    <row r="492" spans="1:16" s="220" customFormat="1" ht="18" hidden="1" customHeight="1">
      <c r="A492" s="591" t="str">
        <f t="shared" si="50"/>
        <v/>
      </c>
      <c r="B492" s="590">
        <f>LARGE($B$15:$B$264,222)</f>
        <v>0</v>
      </c>
      <c r="C492" s="599" t="str">
        <f t="shared" si="62"/>
        <v/>
      </c>
      <c r="D492" s="1295" t="str">
        <f t="shared" si="63"/>
        <v/>
      </c>
      <c r="E492" s="1295"/>
      <c r="F492" s="1295"/>
      <c r="G492" s="599" t="str">
        <f t="shared" si="64"/>
        <v/>
      </c>
      <c r="H492" s="599" t="str">
        <f t="shared" si="65"/>
        <v/>
      </c>
      <c r="I492" s="1296" t="str">
        <f t="shared" si="66"/>
        <v/>
      </c>
      <c r="J492" s="1296"/>
      <c r="K492" s="600" t="str">
        <f t="shared" si="67"/>
        <v/>
      </c>
      <c r="L492" s="591" t="str">
        <f t="shared" si="57"/>
        <v/>
      </c>
      <c r="M492" s="601" t="str">
        <f t="shared" si="68"/>
        <v/>
      </c>
      <c r="N492" s="601" t="str">
        <f t="shared" si="61"/>
        <v/>
      </c>
      <c r="O492" s="599" t="str">
        <f t="shared" si="69"/>
        <v/>
      </c>
      <c r="P492" s="601" t="str">
        <f t="shared" si="70"/>
        <v/>
      </c>
    </row>
    <row r="493" spans="1:16" s="220" customFormat="1" ht="18" hidden="1" customHeight="1">
      <c r="A493" s="591" t="str">
        <f t="shared" si="50"/>
        <v/>
      </c>
      <c r="B493" s="590">
        <f>LARGE($B$15:$B$264,223)</f>
        <v>0</v>
      </c>
      <c r="C493" s="599" t="str">
        <f t="shared" si="62"/>
        <v/>
      </c>
      <c r="D493" s="1295" t="str">
        <f t="shared" si="63"/>
        <v/>
      </c>
      <c r="E493" s="1295"/>
      <c r="F493" s="1295"/>
      <c r="G493" s="599" t="str">
        <f t="shared" si="64"/>
        <v/>
      </c>
      <c r="H493" s="599" t="str">
        <f t="shared" si="65"/>
        <v/>
      </c>
      <c r="I493" s="1296" t="str">
        <f t="shared" si="66"/>
        <v/>
      </c>
      <c r="J493" s="1296"/>
      <c r="K493" s="600" t="str">
        <f t="shared" si="67"/>
        <v/>
      </c>
      <c r="L493" s="591" t="str">
        <f t="shared" si="57"/>
        <v/>
      </c>
      <c r="M493" s="601" t="str">
        <f t="shared" si="68"/>
        <v/>
      </c>
      <c r="N493" s="601" t="str">
        <f t="shared" si="61"/>
        <v/>
      </c>
      <c r="O493" s="599" t="str">
        <f t="shared" si="69"/>
        <v/>
      </c>
      <c r="P493" s="601" t="str">
        <f t="shared" si="70"/>
        <v/>
      </c>
    </row>
    <row r="494" spans="1:16" s="220" customFormat="1" ht="18" hidden="1" customHeight="1">
      <c r="A494" s="591" t="str">
        <f t="shared" si="50"/>
        <v/>
      </c>
      <c r="B494" s="590">
        <f>LARGE($B$15:$B$264,224)</f>
        <v>0</v>
      </c>
      <c r="C494" s="599" t="str">
        <f t="shared" si="62"/>
        <v/>
      </c>
      <c r="D494" s="1295" t="str">
        <f t="shared" si="63"/>
        <v/>
      </c>
      <c r="E494" s="1295"/>
      <c r="F494" s="1295"/>
      <c r="G494" s="599" t="str">
        <f t="shared" si="64"/>
        <v/>
      </c>
      <c r="H494" s="599" t="str">
        <f t="shared" si="65"/>
        <v/>
      </c>
      <c r="I494" s="1296" t="str">
        <f t="shared" si="66"/>
        <v/>
      </c>
      <c r="J494" s="1296"/>
      <c r="K494" s="600" t="str">
        <f t="shared" si="67"/>
        <v/>
      </c>
      <c r="L494" s="591" t="str">
        <f t="shared" si="57"/>
        <v/>
      </c>
      <c r="M494" s="601" t="str">
        <f t="shared" si="68"/>
        <v/>
      </c>
      <c r="N494" s="601" t="str">
        <f t="shared" si="61"/>
        <v/>
      </c>
      <c r="O494" s="599" t="str">
        <f t="shared" si="69"/>
        <v/>
      </c>
      <c r="P494" s="601" t="str">
        <f t="shared" si="70"/>
        <v/>
      </c>
    </row>
    <row r="495" spans="1:16" s="220" customFormat="1" ht="18" hidden="1" customHeight="1">
      <c r="A495" s="591" t="str">
        <f t="shared" si="50"/>
        <v/>
      </c>
      <c r="B495" s="590">
        <f>LARGE($B$15:$B$264,225)</f>
        <v>0</v>
      </c>
      <c r="C495" s="599" t="str">
        <f t="shared" si="62"/>
        <v/>
      </c>
      <c r="D495" s="1295" t="str">
        <f t="shared" si="63"/>
        <v/>
      </c>
      <c r="E495" s="1295"/>
      <c r="F495" s="1295"/>
      <c r="G495" s="599" t="str">
        <f t="shared" si="64"/>
        <v/>
      </c>
      <c r="H495" s="599" t="str">
        <f t="shared" si="65"/>
        <v/>
      </c>
      <c r="I495" s="1296" t="str">
        <f t="shared" si="66"/>
        <v/>
      </c>
      <c r="J495" s="1296"/>
      <c r="K495" s="600" t="str">
        <f t="shared" si="67"/>
        <v/>
      </c>
      <c r="L495" s="591" t="str">
        <f t="shared" si="57"/>
        <v/>
      </c>
      <c r="M495" s="601" t="str">
        <f t="shared" si="68"/>
        <v/>
      </c>
      <c r="N495" s="601" t="str">
        <f t="shared" si="61"/>
        <v/>
      </c>
      <c r="O495" s="599" t="str">
        <f t="shared" si="69"/>
        <v/>
      </c>
      <c r="P495" s="601" t="str">
        <f t="shared" si="70"/>
        <v/>
      </c>
    </row>
    <row r="496" spans="1:16" s="220" customFormat="1" ht="18" hidden="1" customHeight="1">
      <c r="A496" s="591" t="str">
        <f t="shared" si="50"/>
        <v/>
      </c>
      <c r="B496" s="590">
        <f>LARGE($B$15:$B$264,226)</f>
        <v>0</v>
      </c>
      <c r="C496" s="599" t="str">
        <f t="shared" si="62"/>
        <v/>
      </c>
      <c r="D496" s="1295" t="str">
        <f t="shared" si="63"/>
        <v/>
      </c>
      <c r="E496" s="1295"/>
      <c r="F496" s="1295"/>
      <c r="G496" s="599" t="str">
        <f t="shared" si="64"/>
        <v/>
      </c>
      <c r="H496" s="599" t="str">
        <f t="shared" si="65"/>
        <v/>
      </c>
      <c r="I496" s="1296" t="str">
        <f t="shared" si="66"/>
        <v/>
      </c>
      <c r="J496" s="1296"/>
      <c r="K496" s="600" t="str">
        <f t="shared" si="67"/>
        <v/>
      </c>
      <c r="L496" s="591" t="str">
        <f t="shared" si="57"/>
        <v/>
      </c>
      <c r="M496" s="601" t="str">
        <f t="shared" si="68"/>
        <v/>
      </c>
      <c r="N496" s="601" t="str">
        <f t="shared" si="61"/>
        <v/>
      </c>
      <c r="O496" s="599" t="str">
        <f t="shared" si="69"/>
        <v/>
      </c>
      <c r="P496" s="601" t="str">
        <f t="shared" si="70"/>
        <v/>
      </c>
    </row>
    <row r="497" spans="1:16" s="220" customFormat="1" ht="18" hidden="1" customHeight="1">
      <c r="A497" s="591" t="str">
        <f t="shared" si="50"/>
        <v/>
      </c>
      <c r="B497" s="590">
        <f>LARGE($B$15:$B$264,227)</f>
        <v>0</v>
      </c>
      <c r="C497" s="599" t="str">
        <f t="shared" si="62"/>
        <v/>
      </c>
      <c r="D497" s="1295" t="str">
        <f t="shared" si="63"/>
        <v/>
      </c>
      <c r="E497" s="1295"/>
      <c r="F497" s="1295"/>
      <c r="G497" s="599" t="str">
        <f t="shared" si="64"/>
        <v/>
      </c>
      <c r="H497" s="599" t="str">
        <f t="shared" si="65"/>
        <v/>
      </c>
      <c r="I497" s="1296" t="str">
        <f t="shared" si="66"/>
        <v/>
      </c>
      <c r="J497" s="1296"/>
      <c r="K497" s="600" t="str">
        <f t="shared" si="67"/>
        <v/>
      </c>
      <c r="L497" s="591" t="str">
        <f t="shared" si="57"/>
        <v/>
      </c>
      <c r="M497" s="601" t="str">
        <f t="shared" si="68"/>
        <v/>
      </c>
      <c r="N497" s="601" t="str">
        <f t="shared" si="61"/>
        <v/>
      </c>
      <c r="O497" s="599" t="str">
        <f t="shared" si="69"/>
        <v/>
      </c>
      <c r="P497" s="601" t="str">
        <f t="shared" si="70"/>
        <v/>
      </c>
    </row>
    <row r="498" spans="1:16" s="220" customFormat="1" ht="18" hidden="1" customHeight="1">
      <c r="A498" s="591" t="str">
        <f t="shared" si="50"/>
        <v/>
      </c>
      <c r="B498" s="590">
        <f>LARGE($B$15:$B$264,228)</f>
        <v>0</v>
      </c>
      <c r="C498" s="599" t="str">
        <f t="shared" si="62"/>
        <v/>
      </c>
      <c r="D498" s="1295" t="str">
        <f t="shared" si="63"/>
        <v/>
      </c>
      <c r="E498" s="1295"/>
      <c r="F498" s="1295"/>
      <c r="G498" s="599" t="str">
        <f t="shared" si="64"/>
        <v/>
      </c>
      <c r="H498" s="599" t="str">
        <f t="shared" si="65"/>
        <v/>
      </c>
      <c r="I498" s="1296" t="str">
        <f t="shared" si="66"/>
        <v/>
      </c>
      <c r="J498" s="1296"/>
      <c r="K498" s="600" t="str">
        <f t="shared" si="67"/>
        <v/>
      </c>
      <c r="L498" s="591" t="str">
        <f t="shared" si="57"/>
        <v/>
      </c>
      <c r="M498" s="601" t="str">
        <f t="shared" si="68"/>
        <v/>
      </c>
      <c r="N498" s="601" t="str">
        <f t="shared" si="61"/>
        <v/>
      </c>
      <c r="O498" s="599" t="str">
        <f t="shared" si="69"/>
        <v/>
      </c>
      <c r="P498" s="601" t="str">
        <f t="shared" si="70"/>
        <v/>
      </c>
    </row>
    <row r="499" spans="1:16" s="220" customFormat="1" ht="18" hidden="1" customHeight="1">
      <c r="A499" s="591" t="str">
        <f t="shared" si="50"/>
        <v/>
      </c>
      <c r="B499" s="590">
        <f>LARGE($B$15:$B$264,229)</f>
        <v>0</v>
      </c>
      <c r="C499" s="599" t="str">
        <f t="shared" si="62"/>
        <v/>
      </c>
      <c r="D499" s="1295" t="str">
        <f t="shared" si="63"/>
        <v/>
      </c>
      <c r="E499" s="1295"/>
      <c r="F499" s="1295"/>
      <c r="G499" s="599" t="str">
        <f t="shared" si="64"/>
        <v/>
      </c>
      <c r="H499" s="599" t="str">
        <f t="shared" si="65"/>
        <v/>
      </c>
      <c r="I499" s="1296" t="str">
        <f t="shared" si="66"/>
        <v/>
      </c>
      <c r="J499" s="1296"/>
      <c r="K499" s="600" t="str">
        <f t="shared" si="67"/>
        <v/>
      </c>
      <c r="L499" s="591" t="str">
        <f t="shared" si="57"/>
        <v/>
      </c>
      <c r="M499" s="601" t="str">
        <f t="shared" si="68"/>
        <v/>
      </c>
      <c r="N499" s="601" t="str">
        <f t="shared" si="61"/>
        <v/>
      </c>
      <c r="O499" s="599" t="str">
        <f t="shared" si="69"/>
        <v/>
      </c>
      <c r="P499" s="601" t="str">
        <f t="shared" si="70"/>
        <v/>
      </c>
    </row>
    <row r="500" spans="1:16" s="220" customFormat="1" ht="18" hidden="1" customHeight="1">
      <c r="A500" s="591" t="str">
        <f t="shared" si="50"/>
        <v/>
      </c>
      <c r="B500" s="590">
        <f>LARGE($B$15:$B$264,230)</f>
        <v>0</v>
      </c>
      <c r="C500" s="599" t="str">
        <f t="shared" si="62"/>
        <v/>
      </c>
      <c r="D500" s="1295" t="str">
        <f t="shared" si="63"/>
        <v/>
      </c>
      <c r="E500" s="1295"/>
      <c r="F500" s="1295"/>
      <c r="G500" s="599" t="str">
        <f t="shared" si="64"/>
        <v/>
      </c>
      <c r="H500" s="599" t="str">
        <f t="shared" si="65"/>
        <v/>
      </c>
      <c r="I500" s="1296" t="str">
        <f t="shared" si="66"/>
        <v/>
      </c>
      <c r="J500" s="1296"/>
      <c r="K500" s="600" t="str">
        <f t="shared" si="67"/>
        <v/>
      </c>
      <c r="L500" s="591" t="str">
        <f t="shared" si="57"/>
        <v/>
      </c>
      <c r="M500" s="601" t="str">
        <f t="shared" si="68"/>
        <v/>
      </c>
      <c r="N500" s="601" t="str">
        <f t="shared" si="61"/>
        <v/>
      </c>
      <c r="O500" s="599" t="str">
        <f t="shared" si="69"/>
        <v/>
      </c>
      <c r="P500" s="601" t="str">
        <f t="shared" si="70"/>
        <v/>
      </c>
    </row>
    <row r="501" spans="1:16" s="220" customFormat="1" ht="18" hidden="1" customHeight="1">
      <c r="A501" s="591" t="str">
        <f t="shared" si="50"/>
        <v/>
      </c>
      <c r="B501" s="590">
        <f>LARGE($B$15:$B$264,231)</f>
        <v>0</v>
      </c>
      <c r="C501" s="599" t="str">
        <f t="shared" si="62"/>
        <v/>
      </c>
      <c r="D501" s="1295" t="str">
        <f t="shared" si="63"/>
        <v/>
      </c>
      <c r="E501" s="1295"/>
      <c r="F501" s="1295"/>
      <c r="G501" s="599" t="str">
        <f t="shared" si="64"/>
        <v/>
      </c>
      <c r="H501" s="599" t="str">
        <f t="shared" si="65"/>
        <v/>
      </c>
      <c r="I501" s="1296" t="str">
        <f t="shared" si="66"/>
        <v/>
      </c>
      <c r="J501" s="1296"/>
      <c r="K501" s="600" t="str">
        <f t="shared" si="67"/>
        <v/>
      </c>
      <c r="L501" s="591" t="str">
        <f t="shared" si="57"/>
        <v/>
      </c>
      <c r="M501" s="601" t="str">
        <f t="shared" si="68"/>
        <v/>
      </c>
      <c r="N501" s="601" t="str">
        <f t="shared" si="61"/>
        <v/>
      </c>
      <c r="O501" s="599" t="str">
        <f t="shared" si="69"/>
        <v/>
      </c>
      <c r="P501" s="601" t="str">
        <f t="shared" si="70"/>
        <v/>
      </c>
    </row>
    <row r="502" spans="1:16" s="220" customFormat="1" ht="18" hidden="1" customHeight="1">
      <c r="A502" s="591" t="str">
        <f t="shared" si="50"/>
        <v/>
      </c>
      <c r="B502" s="590">
        <f>LARGE($B$15:$B$264,232)</f>
        <v>0</v>
      </c>
      <c r="C502" s="599" t="str">
        <f t="shared" si="62"/>
        <v/>
      </c>
      <c r="D502" s="1295" t="str">
        <f t="shared" si="63"/>
        <v/>
      </c>
      <c r="E502" s="1295"/>
      <c r="F502" s="1295"/>
      <c r="G502" s="599" t="str">
        <f t="shared" si="64"/>
        <v/>
      </c>
      <c r="H502" s="599" t="str">
        <f t="shared" si="65"/>
        <v/>
      </c>
      <c r="I502" s="1296" t="str">
        <f t="shared" si="66"/>
        <v/>
      </c>
      <c r="J502" s="1296"/>
      <c r="K502" s="600" t="str">
        <f t="shared" si="67"/>
        <v/>
      </c>
      <c r="L502" s="591" t="str">
        <f t="shared" si="57"/>
        <v/>
      </c>
      <c r="M502" s="601" t="str">
        <f t="shared" si="68"/>
        <v/>
      </c>
      <c r="N502" s="601" t="str">
        <f t="shared" si="61"/>
        <v/>
      </c>
      <c r="O502" s="599" t="str">
        <f t="shared" si="69"/>
        <v/>
      </c>
      <c r="P502" s="601" t="str">
        <f t="shared" si="70"/>
        <v/>
      </c>
    </row>
    <row r="503" spans="1:16" s="220" customFormat="1" ht="18" hidden="1" customHeight="1">
      <c r="A503" s="591" t="str">
        <f t="shared" si="50"/>
        <v/>
      </c>
      <c r="B503" s="590">
        <f>LARGE($B$15:$B$264,233)</f>
        <v>0</v>
      </c>
      <c r="C503" s="599" t="str">
        <f t="shared" si="62"/>
        <v/>
      </c>
      <c r="D503" s="1295" t="str">
        <f t="shared" si="63"/>
        <v/>
      </c>
      <c r="E503" s="1295"/>
      <c r="F503" s="1295"/>
      <c r="G503" s="599" t="str">
        <f t="shared" si="64"/>
        <v/>
      </c>
      <c r="H503" s="599" t="str">
        <f t="shared" si="65"/>
        <v/>
      </c>
      <c r="I503" s="1296" t="str">
        <f t="shared" si="66"/>
        <v/>
      </c>
      <c r="J503" s="1296"/>
      <c r="K503" s="600" t="str">
        <f t="shared" ref="K503:K520" si="71">IF(B503=0,"",H503*I503)</f>
        <v/>
      </c>
      <c r="L503" s="591" t="str">
        <f t="shared" si="57"/>
        <v/>
      </c>
      <c r="M503" s="601" t="str">
        <f t="shared" ref="M503:M520" si="72">IF(B503=0,"",B503)</f>
        <v/>
      </c>
      <c r="N503" s="601" t="str">
        <f t="shared" si="61"/>
        <v/>
      </c>
      <c r="O503" s="599" t="str">
        <f t="shared" ref="O503:O520" si="73">IF(B503=0,"",(IF(N503&lt;80%,"Si","No")))</f>
        <v/>
      </c>
      <c r="P503" s="601" t="str">
        <f t="shared" ref="P503:P520" si="74">IF(B503=0,"",(IF(M503=$M$521,"Si",(IF(M503&gt;$M$521,"Si","No")))))</f>
        <v/>
      </c>
    </row>
    <row r="504" spans="1:16" s="220" customFormat="1" ht="18" hidden="1" customHeight="1">
      <c r="A504" s="591" t="str">
        <f t="shared" si="50"/>
        <v/>
      </c>
      <c r="B504" s="590">
        <f>LARGE($B$15:$B$264,234)</f>
        <v>0</v>
      </c>
      <c r="C504" s="599" t="str">
        <f t="shared" ref="C504:C520" si="75">IFERROR(IF(B504=0,"",VLOOKUP(B504,$B$15:$J$264,2,FALSE)),"")</f>
        <v/>
      </c>
      <c r="D504" s="1295" t="str">
        <f t="shared" ref="D504:D520" si="76">IF(B504=0,"",VLOOKUP(B504,$B$15:$J$264,3,FALSE))</f>
        <v/>
      </c>
      <c r="E504" s="1295"/>
      <c r="F504" s="1295"/>
      <c r="G504" s="599" t="str">
        <f t="shared" ref="G504:G520" si="77">IF(B504=0,"",VLOOKUP(B504,$B$15:$J$264,6,FALSE))</f>
        <v/>
      </c>
      <c r="H504" s="599" t="str">
        <f t="shared" ref="H504:H520" si="78">IF(B504=0,"",VLOOKUP(B504,$B$15:$J$264,7,FALSE))</f>
        <v/>
      </c>
      <c r="I504" s="1296" t="str">
        <f t="shared" ref="I504:I520" si="79">IF(B504=0,"",VLOOKUP(B504,$B$15:$J$264,8,FALSE))</f>
        <v/>
      </c>
      <c r="J504" s="1296"/>
      <c r="K504" s="600" t="str">
        <f t="shared" si="71"/>
        <v/>
      </c>
      <c r="L504" s="591" t="str">
        <f t="shared" si="57"/>
        <v/>
      </c>
      <c r="M504" s="601" t="str">
        <f t="shared" si="72"/>
        <v/>
      </c>
      <c r="N504" s="601" t="str">
        <f t="shared" si="61"/>
        <v/>
      </c>
      <c r="O504" s="599" t="str">
        <f t="shared" si="73"/>
        <v/>
      </c>
      <c r="P504" s="601" t="str">
        <f t="shared" si="74"/>
        <v/>
      </c>
    </row>
    <row r="505" spans="1:16" s="220" customFormat="1" ht="18" hidden="1" customHeight="1">
      <c r="A505" s="591" t="str">
        <f t="shared" si="50"/>
        <v/>
      </c>
      <c r="B505" s="590">
        <f>LARGE($B$15:$B$264,235)</f>
        <v>0</v>
      </c>
      <c r="C505" s="599" t="str">
        <f t="shared" si="75"/>
        <v/>
      </c>
      <c r="D505" s="1295" t="str">
        <f t="shared" si="76"/>
        <v/>
      </c>
      <c r="E505" s="1295"/>
      <c r="F505" s="1295"/>
      <c r="G505" s="599" t="str">
        <f t="shared" si="77"/>
        <v/>
      </c>
      <c r="H505" s="599" t="str">
        <f t="shared" si="78"/>
        <v/>
      </c>
      <c r="I505" s="1296" t="str">
        <f t="shared" si="79"/>
        <v/>
      </c>
      <c r="J505" s="1296"/>
      <c r="K505" s="600" t="str">
        <f t="shared" si="71"/>
        <v/>
      </c>
      <c r="L505" s="591" t="str">
        <f t="shared" si="57"/>
        <v/>
      </c>
      <c r="M505" s="601" t="str">
        <f t="shared" si="72"/>
        <v/>
      </c>
      <c r="N505" s="601" t="str">
        <f t="shared" si="61"/>
        <v/>
      </c>
      <c r="O505" s="599" t="str">
        <f t="shared" si="73"/>
        <v/>
      </c>
      <c r="P505" s="601" t="str">
        <f t="shared" si="74"/>
        <v/>
      </c>
    </row>
    <row r="506" spans="1:16" s="220" customFormat="1" ht="18" hidden="1" customHeight="1">
      <c r="A506" s="591" t="str">
        <f t="shared" si="50"/>
        <v/>
      </c>
      <c r="B506" s="590">
        <f>LARGE($B$15:$B$264,236)</f>
        <v>0</v>
      </c>
      <c r="C506" s="599" t="str">
        <f t="shared" si="75"/>
        <v/>
      </c>
      <c r="D506" s="1295" t="str">
        <f t="shared" si="76"/>
        <v/>
      </c>
      <c r="E506" s="1295"/>
      <c r="F506" s="1295"/>
      <c r="G506" s="599" t="str">
        <f t="shared" si="77"/>
        <v/>
      </c>
      <c r="H506" s="599" t="str">
        <f t="shared" si="78"/>
        <v/>
      </c>
      <c r="I506" s="1296" t="str">
        <f t="shared" si="79"/>
        <v/>
      </c>
      <c r="J506" s="1296"/>
      <c r="K506" s="600" t="str">
        <f t="shared" si="71"/>
        <v/>
      </c>
      <c r="L506" s="591" t="str">
        <f t="shared" si="57"/>
        <v/>
      </c>
      <c r="M506" s="601" t="str">
        <f t="shared" si="72"/>
        <v/>
      </c>
      <c r="N506" s="601" t="str">
        <f t="shared" si="61"/>
        <v/>
      </c>
      <c r="O506" s="599" t="str">
        <f t="shared" si="73"/>
        <v/>
      </c>
      <c r="P506" s="601" t="str">
        <f t="shared" si="74"/>
        <v/>
      </c>
    </row>
    <row r="507" spans="1:16" s="220" customFormat="1" ht="18" hidden="1" customHeight="1">
      <c r="A507" s="591" t="str">
        <f t="shared" si="50"/>
        <v/>
      </c>
      <c r="B507" s="590">
        <f>LARGE($B$15:$B$264,237)</f>
        <v>0</v>
      </c>
      <c r="C507" s="599" t="str">
        <f t="shared" si="75"/>
        <v/>
      </c>
      <c r="D507" s="1295" t="str">
        <f t="shared" si="76"/>
        <v/>
      </c>
      <c r="E507" s="1295"/>
      <c r="F507" s="1295"/>
      <c r="G507" s="599" t="str">
        <f t="shared" si="77"/>
        <v/>
      </c>
      <c r="H507" s="599" t="str">
        <f t="shared" si="78"/>
        <v/>
      </c>
      <c r="I507" s="1296" t="str">
        <f t="shared" si="79"/>
        <v/>
      </c>
      <c r="J507" s="1296"/>
      <c r="K507" s="600" t="str">
        <f t="shared" si="71"/>
        <v/>
      </c>
      <c r="L507" s="591" t="str">
        <f t="shared" si="57"/>
        <v/>
      </c>
      <c r="M507" s="601" t="str">
        <f t="shared" si="72"/>
        <v/>
      </c>
      <c r="N507" s="601" t="str">
        <f t="shared" si="61"/>
        <v/>
      </c>
      <c r="O507" s="599" t="str">
        <f t="shared" si="73"/>
        <v/>
      </c>
      <c r="P507" s="601" t="str">
        <f t="shared" si="74"/>
        <v/>
      </c>
    </row>
    <row r="508" spans="1:16" s="220" customFormat="1" ht="18" hidden="1" customHeight="1">
      <c r="A508" s="591" t="str">
        <f t="shared" si="50"/>
        <v/>
      </c>
      <c r="B508" s="590">
        <f>LARGE($B$15:$B$264,238)</f>
        <v>0</v>
      </c>
      <c r="C508" s="599" t="str">
        <f t="shared" si="75"/>
        <v/>
      </c>
      <c r="D508" s="1295" t="str">
        <f t="shared" si="76"/>
        <v/>
      </c>
      <c r="E508" s="1295"/>
      <c r="F508" s="1295"/>
      <c r="G508" s="599" t="str">
        <f t="shared" si="77"/>
        <v/>
      </c>
      <c r="H508" s="599" t="str">
        <f t="shared" si="78"/>
        <v/>
      </c>
      <c r="I508" s="1296" t="str">
        <f t="shared" si="79"/>
        <v/>
      </c>
      <c r="J508" s="1296"/>
      <c r="K508" s="600" t="str">
        <f t="shared" si="71"/>
        <v/>
      </c>
      <c r="L508" s="591" t="str">
        <f t="shared" si="57"/>
        <v/>
      </c>
      <c r="M508" s="601" t="str">
        <f t="shared" si="72"/>
        <v/>
      </c>
      <c r="N508" s="601" t="str">
        <f t="shared" si="61"/>
        <v/>
      </c>
      <c r="O508" s="599" t="str">
        <f t="shared" si="73"/>
        <v/>
      </c>
      <c r="P508" s="601" t="str">
        <f t="shared" si="74"/>
        <v/>
      </c>
    </row>
    <row r="509" spans="1:16" s="220" customFormat="1" ht="18" hidden="1" customHeight="1">
      <c r="A509" s="591" t="str">
        <f t="shared" si="50"/>
        <v/>
      </c>
      <c r="B509" s="590">
        <f>LARGE($B$15:$B$264,239)</f>
        <v>0</v>
      </c>
      <c r="C509" s="599" t="str">
        <f t="shared" si="75"/>
        <v/>
      </c>
      <c r="D509" s="1295" t="str">
        <f t="shared" si="76"/>
        <v/>
      </c>
      <c r="E509" s="1295"/>
      <c r="F509" s="1295"/>
      <c r="G509" s="599" t="str">
        <f t="shared" si="77"/>
        <v/>
      </c>
      <c r="H509" s="599" t="str">
        <f t="shared" si="78"/>
        <v/>
      </c>
      <c r="I509" s="1296" t="str">
        <f t="shared" si="79"/>
        <v/>
      </c>
      <c r="J509" s="1296"/>
      <c r="K509" s="600" t="str">
        <f t="shared" si="71"/>
        <v/>
      </c>
      <c r="L509" s="591" t="str">
        <f t="shared" si="57"/>
        <v/>
      </c>
      <c r="M509" s="601" t="str">
        <f t="shared" si="72"/>
        <v/>
      </c>
      <c r="N509" s="601" t="str">
        <f t="shared" si="61"/>
        <v/>
      </c>
      <c r="O509" s="599" t="str">
        <f t="shared" si="73"/>
        <v/>
      </c>
      <c r="P509" s="601" t="str">
        <f t="shared" si="74"/>
        <v/>
      </c>
    </row>
    <row r="510" spans="1:16" s="220" customFormat="1" ht="18" hidden="1" customHeight="1">
      <c r="A510" s="591" t="str">
        <f t="shared" si="50"/>
        <v/>
      </c>
      <c r="B510" s="590">
        <f>LARGE($B$15:$B$264,240)</f>
        <v>0</v>
      </c>
      <c r="C510" s="599" t="str">
        <f t="shared" si="75"/>
        <v/>
      </c>
      <c r="D510" s="1295" t="str">
        <f t="shared" si="76"/>
        <v/>
      </c>
      <c r="E510" s="1295"/>
      <c r="F510" s="1295"/>
      <c r="G510" s="599" t="str">
        <f t="shared" si="77"/>
        <v/>
      </c>
      <c r="H510" s="599" t="str">
        <f t="shared" si="78"/>
        <v/>
      </c>
      <c r="I510" s="1296" t="str">
        <f t="shared" si="79"/>
        <v/>
      </c>
      <c r="J510" s="1296"/>
      <c r="K510" s="600" t="str">
        <f t="shared" si="71"/>
        <v/>
      </c>
      <c r="L510" s="591" t="str">
        <f t="shared" si="57"/>
        <v/>
      </c>
      <c r="M510" s="601" t="str">
        <f t="shared" si="72"/>
        <v/>
      </c>
      <c r="N510" s="601" t="str">
        <f t="shared" si="61"/>
        <v/>
      </c>
      <c r="O510" s="599" t="str">
        <f t="shared" si="73"/>
        <v/>
      </c>
      <c r="P510" s="601" t="str">
        <f>IF(B510=0,"",(IF(M510=$M$521,"Si",(IF(M510&gt;$M$521,"Si","No")))))</f>
        <v/>
      </c>
    </row>
    <row r="511" spans="1:16" s="220" customFormat="1" ht="18" hidden="1" customHeight="1">
      <c r="A511" s="591" t="str">
        <f t="shared" si="50"/>
        <v/>
      </c>
      <c r="B511" s="590">
        <f>LARGE($B$15:$B$264,241)</f>
        <v>0</v>
      </c>
      <c r="C511" s="599" t="str">
        <f t="shared" si="75"/>
        <v/>
      </c>
      <c r="D511" s="1295" t="str">
        <f t="shared" si="76"/>
        <v/>
      </c>
      <c r="E511" s="1295"/>
      <c r="F511" s="1295"/>
      <c r="G511" s="599" t="str">
        <f t="shared" si="77"/>
        <v/>
      </c>
      <c r="H511" s="599" t="str">
        <f t="shared" si="78"/>
        <v/>
      </c>
      <c r="I511" s="1296" t="str">
        <f t="shared" si="79"/>
        <v/>
      </c>
      <c r="J511" s="1296"/>
      <c r="K511" s="600" t="str">
        <f t="shared" si="71"/>
        <v/>
      </c>
      <c r="L511" s="591" t="str">
        <f t="shared" si="57"/>
        <v/>
      </c>
      <c r="M511" s="601" t="str">
        <f t="shared" si="72"/>
        <v/>
      </c>
      <c r="N511" s="601" t="str">
        <f t="shared" si="61"/>
        <v/>
      </c>
      <c r="O511" s="599" t="str">
        <f t="shared" si="73"/>
        <v/>
      </c>
      <c r="P511" s="601" t="str">
        <f t="shared" si="74"/>
        <v/>
      </c>
    </row>
    <row r="512" spans="1:16" s="220" customFormat="1" ht="18" hidden="1" customHeight="1">
      <c r="A512" s="591" t="str">
        <f t="shared" si="50"/>
        <v/>
      </c>
      <c r="B512" s="590">
        <f>LARGE($B$15:$B$264,242)</f>
        <v>0</v>
      </c>
      <c r="C512" s="599" t="str">
        <f t="shared" si="75"/>
        <v/>
      </c>
      <c r="D512" s="1295" t="str">
        <f t="shared" si="76"/>
        <v/>
      </c>
      <c r="E512" s="1295"/>
      <c r="F512" s="1295"/>
      <c r="G512" s="599" t="str">
        <f t="shared" si="77"/>
        <v/>
      </c>
      <c r="H512" s="599" t="str">
        <f t="shared" si="78"/>
        <v/>
      </c>
      <c r="I512" s="1296" t="str">
        <f t="shared" si="79"/>
        <v/>
      </c>
      <c r="J512" s="1296"/>
      <c r="K512" s="600" t="str">
        <f t="shared" si="71"/>
        <v/>
      </c>
      <c r="L512" s="591" t="str">
        <f t="shared" si="57"/>
        <v/>
      </c>
      <c r="M512" s="601" t="str">
        <f t="shared" si="72"/>
        <v/>
      </c>
      <c r="N512" s="601" t="str">
        <f t="shared" si="61"/>
        <v/>
      </c>
      <c r="O512" s="599" t="str">
        <f t="shared" si="73"/>
        <v/>
      </c>
      <c r="P512" s="601" t="str">
        <f t="shared" si="74"/>
        <v/>
      </c>
    </row>
    <row r="513" spans="1:17" s="220" customFormat="1" ht="18" hidden="1" customHeight="1">
      <c r="A513" s="591" t="str">
        <f t="shared" si="50"/>
        <v/>
      </c>
      <c r="B513" s="590">
        <f>LARGE($B$15:$B$264,243)</f>
        <v>0</v>
      </c>
      <c r="C513" s="599" t="str">
        <f t="shared" si="75"/>
        <v/>
      </c>
      <c r="D513" s="1295" t="str">
        <f t="shared" si="76"/>
        <v/>
      </c>
      <c r="E513" s="1295"/>
      <c r="F513" s="1295"/>
      <c r="G513" s="599" t="str">
        <f t="shared" si="77"/>
        <v/>
      </c>
      <c r="H513" s="599" t="str">
        <f t="shared" si="78"/>
        <v/>
      </c>
      <c r="I513" s="1296" t="str">
        <f t="shared" si="79"/>
        <v/>
      </c>
      <c r="J513" s="1296"/>
      <c r="K513" s="600" t="str">
        <f t="shared" si="71"/>
        <v/>
      </c>
      <c r="L513" s="591" t="str">
        <f t="shared" si="57"/>
        <v/>
      </c>
      <c r="M513" s="601" t="str">
        <f t="shared" si="72"/>
        <v/>
      </c>
      <c r="N513" s="601" t="str">
        <f t="shared" si="61"/>
        <v/>
      </c>
      <c r="O513" s="599" t="str">
        <f t="shared" si="73"/>
        <v/>
      </c>
      <c r="P513" s="601" t="str">
        <f t="shared" si="74"/>
        <v/>
      </c>
    </row>
    <row r="514" spans="1:17" s="220" customFormat="1" ht="18" hidden="1" customHeight="1">
      <c r="A514" s="591" t="str">
        <f t="shared" si="50"/>
        <v/>
      </c>
      <c r="B514" s="590">
        <f>LARGE($B$15:$B$264,244)</f>
        <v>0</v>
      </c>
      <c r="C514" s="599" t="str">
        <f t="shared" si="75"/>
        <v/>
      </c>
      <c r="D514" s="1295" t="str">
        <f t="shared" si="76"/>
        <v/>
      </c>
      <c r="E514" s="1295"/>
      <c r="F514" s="1295"/>
      <c r="G514" s="599" t="str">
        <f t="shared" si="77"/>
        <v/>
      </c>
      <c r="H514" s="599" t="str">
        <f t="shared" si="78"/>
        <v/>
      </c>
      <c r="I514" s="1296" t="str">
        <f t="shared" si="79"/>
        <v/>
      </c>
      <c r="J514" s="1296"/>
      <c r="K514" s="600" t="str">
        <f t="shared" si="71"/>
        <v/>
      </c>
      <c r="L514" s="591" t="str">
        <f t="shared" si="57"/>
        <v/>
      </c>
      <c r="M514" s="601" t="str">
        <f t="shared" si="72"/>
        <v/>
      </c>
      <c r="N514" s="601" t="str">
        <f t="shared" si="61"/>
        <v/>
      </c>
      <c r="O514" s="599" t="str">
        <f t="shared" si="73"/>
        <v/>
      </c>
      <c r="P514" s="601" t="str">
        <f t="shared" si="74"/>
        <v/>
      </c>
    </row>
    <row r="515" spans="1:17" s="220" customFormat="1" ht="18" hidden="1" customHeight="1">
      <c r="A515" s="591" t="str">
        <f t="shared" si="50"/>
        <v/>
      </c>
      <c r="B515" s="590">
        <f>LARGE($B$15:$B$264,245)</f>
        <v>0</v>
      </c>
      <c r="C515" s="599" t="str">
        <f t="shared" si="75"/>
        <v/>
      </c>
      <c r="D515" s="1295" t="str">
        <f t="shared" si="76"/>
        <v/>
      </c>
      <c r="E515" s="1295"/>
      <c r="F515" s="1295"/>
      <c r="G515" s="599" t="str">
        <f t="shared" si="77"/>
        <v/>
      </c>
      <c r="H515" s="599" t="str">
        <f t="shared" si="78"/>
        <v/>
      </c>
      <c r="I515" s="1296" t="str">
        <f t="shared" si="79"/>
        <v/>
      </c>
      <c r="J515" s="1296"/>
      <c r="K515" s="600" t="str">
        <f t="shared" si="71"/>
        <v/>
      </c>
      <c r="L515" s="591" t="str">
        <f t="shared" si="57"/>
        <v/>
      </c>
      <c r="M515" s="601" t="str">
        <f t="shared" si="72"/>
        <v/>
      </c>
      <c r="N515" s="601" t="str">
        <f t="shared" si="61"/>
        <v/>
      </c>
      <c r="O515" s="599" t="str">
        <f t="shared" si="73"/>
        <v/>
      </c>
      <c r="P515" s="601" t="str">
        <f t="shared" si="74"/>
        <v/>
      </c>
    </row>
    <row r="516" spans="1:17" s="220" customFormat="1" ht="18" hidden="1" customHeight="1">
      <c r="A516" s="591" t="str">
        <f t="shared" si="50"/>
        <v/>
      </c>
      <c r="B516" s="590">
        <f>LARGE($B$15:$B$264,246)</f>
        <v>0</v>
      </c>
      <c r="C516" s="599" t="str">
        <f t="shared" si="75"/>
        <v/>
      </c>
      <c r="D516" s="1295" t="str">
        <f t="shared" si="76"/>
        <v/>
      </c>
      <c r="E516" s="1295"/>
      <c r="F516" s="1295"/>
      <c r="G516" s="599" t="str">
        <f t="shared" si="77"/>
        <v/>
      </c>
      <c r="H516" s="599" t="str">
        <f t="shared" si="78"/>
        <v/>
      </c>
      <c r="I516" s="1296" t="str">
        <f t="shared" si="79"/>
        <v/>
      </c>
      <c r="J516" s="1296"/>
      <c r="K516" s="600" t="str">
        <f t="shared" si="71"/>
        <v/>
      </c>
      <c r="L516" s="591" t="str">
        <f t="shared" si="57"/>
        <v/>
      </c>
      <c r="M516" s="601" t="str">
        <f t="shared" si="72"/>
        <v/>
      </c>
      <c r="N516" s="601" t="str">
        <f t="shared" si="61"/>
        <v/>
      </c>
      <c r="O516" s="599" t="str">
        <f t="shared" si="73"/>
        <v/>
      </c>
      <c r="P516" s="601" t="str">
        <f t="shared" si="74"/>
        <v/>
      </c>
    </row>
    <row r="517" spans="1:17" s="220" customFormat="1" ht="18" hidden="1" customHeight="1">
      <c r="A517" s="591" t="str">
        <f t="shared" si="50"/>
        <v/>
      </c>
      <c r="B517" s="590">
        <f>LARGE($B$15:$B$264,247)</f>
        <v>0</v>
      </c>
      <c r="C517" s="599" t="str">
        <f t="shared" si="75"/>
        <v/>
      </c>
      <c r="D517" s="1295" t="str">
        <f t="shared" si="76"/>
        <v/>
      </c>
      <c r="E517" s="1295"/>
      <c r="F517" s="1295"/>
      <c r="G517" s="599" t="str">
        <f t="shared" si="77"/>
        <v/>
      </c>
      <c r="H517" s="599" t="str">
        <f t="shared" si="78"/>
        <v/>
      </c>
      <c r="I517" s="1296" t="str">
        <f t="shared" si="79"/>
        <v/>
      </c>
      <c r="J517" s="1296"/>
      <c r="K517" s="600" t="str">
        <f t="shared" si="71"/>
        <v/>
      </c>
      <c r="L517" s="591" t="str">
        <f t="shared" si="57"/>
        <v/>
      </c>
      <c r="M517" s="601" t="str">
        <f t="shared" si="72"/>
        <v/>
      </c>
      <c r="N517" s="601" t="str">
        <f t="shared" si="61"/>
        <v/>
      </c>
      <c r="O517" s="599" t="str">
        <f t="shared" si="73"/>
        <v/>
      </c>
      <c r="P517" s="601" t="str">
        <f t="shared" si="74"/>
        <v/>
      </c>
    </row>
    <row r="518" spans="1:17" s="220" customFormat="1" ht="18" hidden="1" customHeight="1">
      <c r="A518" s="591" t="str">
        <f t="shared" si="50"/>
        <v/>
      </c>
      <c r="B518" s="590">
        <f>LARGE($B$15:$B$264,248)</f>
        <v>0</v>
      </c>
      <c r="C518" s="599" t="str">
        <f t="shared" si="75"/>
        <v/>
      </c>
      <c r="D518" s="1295" t="str">
        <f t="shared" si="76"/>
        <v/>
      </c>
      <c r="E518" s="1295"/>
      <c r="F518" s="1295"/>
      <c r="G518" s="599" t="str">
        <f t="shared" si="77"/>
        <v/>
      </c>
      <c r="H518" s="599" t="str">
        <f t="shared" si="78"/>
        <v/>
      </c>
      <c r="I518" s="1296" t="str">
        <f t="shared" si="79"/>
        <v/>
      </c>
      <c r="J518" s="1296"/>
      <c r="K518" s="600" t="str">
        <f t="shared" si="71"/>
        <v/>
      </c>
      <c r="L518" s="591" t="str">
        <f t="shared" si="57"/>
        <v/>
      </c>
      <c r="M518" s="601" t="str">
        <f t="shared" si="72"/>
        <v/>
      </c>
      <c r="N518" s="601" t="str">
        <f t="shared" si="61"/>
        <v/>
      </c>
      <c r="O518" s="599" t="str">
        <f t="shared" si="73"/>
        <v/>
      </c>
      <c r="P518" s="601" t="str">
        <f t="shared" si="74"/>
        <v/>
      </c>
    </row>
    <row r="519" spans="1:17" s="220" customFormat="1" ht="18" hidden="1" customHeight="1">
      <c r="A519" s="591" t="str">
        <f t="shared" si="50"/>
        <v/>
      </c>
      <c r="B519" s="590">
        <f>LARGE($B$15:$B$264,249)</f>
        <v>0</v>
      </c>
      <c r="C519" s="599" t="str">
        <f t="shared" si="75"/>
        <v/>
      </c>
      <c r="D519" s="1295" t="str">
        <f t="shared" si="76"/>
        <v/>
      </c>
      <c r="E519" s="1295"/>
      <c r="F519" s="1295"/>
      <c r="G519" s="599" t="str">
        <f t="shared" si="77"/>
        <v/>
      </c>
      <c r="H519" s="599" t="str">
        <f t="shared" si="78"/>
        <v/>
      </c>
      <c r="I519" s="1296" t="str">
        <f t="shared" si="79"/>
        <v/>
      </c>
      <c r="J519" s="1296"/>
      <c r="K519" s="600" t="str">
        <f t="shared" si="71"/>
        <v/>
      </c>
      <c r="L519" s="591" t="str">
        <f t="shared" si="57"/>
        <v/>
      </c>
      <c r="M519" s="601" t="str">
        <f>IF(B519=0,"",B519)</f>
        <v/>
      </c>
      <c r="N519" s="601" t="str">
        <f t="shared" si="61"/>
        <v/>
      </c>
      <c r="O519" s="599" t="str">
        <f t="shared" si="73"/>
        <v/>
      </c>
      <c r="P519" s="601" t="str">
        <f t="shared" si="74"/>
        <v/>
      </c>
    </row>
    <row r="520" spans="1:17" s="220" customFormat="1" ht="18" hidden="1" customHeight="1">
      <c r="A520" s="591" t="str">
        <f t="shared" si="50"/>
        <v/>
      </c>
      <c r="B520" s="590">
        <f>LARGE($B$15:$B$264,250)</f>
        <v>0</v>
      </c>
      <c r="C520" s="599" t="str">
        <f t="shared" si="75"/>
        <v/>
      </c>
      <c r="D520" s="1295" t="str">
        <f t="shared" si="76"/>
        <v/>
      </c>
      <c r="E520" s="1295"/>
      <c r="F520" s="1295"/>
      <c r="G520" s="599" t="str">
        <f t="shared" si="77"/>
        <v/>
      </c>
      <c r="H520" s="599" t="str">
        <f t="shared" si="78"/>
        <v/>
      </c>
      <c r="I520" s="1296" t="str">
        <f t="shared" si="79"/>
        <v/>
      </c>
      <c r="J520" s="1296"/>
      <c r="K520" s="600" t="str">
        <f t="shared" si="71"/>
        <v/>
      </c>
      <c r="L520" s="591" t="str">
        <f t="shared" si="57"/>
        <v/>
      </c>
      <c r="M520" s="601" t="str">
        <f t="shared" si="72"/>
        <v/>
      </c>
      <c r="N520" s="601" t="str">
        <f t="shared" si="61"/>
        <v/>
      </c>
      <c r="O520" s="599" t="str">
        <f t="shared" si="73"/>
        <v/>
      </c>
      <c r="P520" s="601" t="str">
        <f t="shared" si="74"/>
        <v/>
      </c>
    </row>
    <row r="521" spans="1:17" s="220" customFormat="1" ht="18" customHeight="1">
      <c r="A521" s="588"/>
      <c r="B521" s="586"/>
      <c r="C521" s="1317" t="s">
        <v>526</v>
      </c>
      <c r="D521" s="1318"/>
      <c r="E521" s="1318"/>
      <c r="F521" s="1318"/>
      <c r="G521" s="1318"/>
      <c r="H521" s="1318"/>
      <c r="I521" s="1318"/>
      <c r="J521" s="1318"/>
      <c r="K521" s="1318"/>
      <c r="L521" s="1319"/>
      <c r="M521" s="602" t="str">
        <f>IFERROR(AVERAGEIF(L271:L520,"Si",M271:M520),"No aplica")</f>
        <v>No aplica</v>
      </c>
      <c r="N521" s="1326"/>
      <c r="O521" s="1327"/>
      <c r="P521" s="1328"/>
    </row>
    <row r="522" spans="1:17" s="220" customFormat="1" ht="18" customHeight="1" thickBot="1">
      <c r="A522" s="586"/>
      <c r="B522" s="587"/>
      <c r="G522" s="222"/>
      <c r="H522" s="222"/>
      <c r="L522" s="579"/>
    </row>
    <row r="523" spans="1:17" s="220" customFormat="1" ht="106.5" customHeight="1" thickBot="1">
      <c r="A523" s="586"/>
      <c r="B523" s="587"/>
      <c r="C523" s="1302" t="s">
        <v>527</v>
      </c>
      <c r="D523" s="1303"/>
      <c r="E523" s="1303"/>
      <c r="F523" s="1303"/>
      <c r="G523" s="1303"/>
      <c r="H523" s="1303"/>
      <c r="I523" s="1303"/>
      <c r="J523" s="1303"/>
      <c r="K523" s="1303"/>
      <c r="L523" s="1303"/>
      <c r="M523" s="1303"/>
      <c r="N523" s="1303"/>
      <c r="O523" s="1303"/>
      <c r="P523" s="1304"/>
    </row>
    <row r="524" spans="1:17" s="220" customFormat="1" ht="18" customHeight="1">
      <c r="A524" s="586"/>
      <c r="B524" s="587"/>
      <c r="G524" s="222"/>
      <c r="H524" s="222"/>
      <c r="L524" s="579"/>
    </row>
    <row r="525" spans="1:17" s="220" customFormat="1" ht="18" customHeight="1">
      <c r="A525" s="586"/>
      <c r="B525" s="587"/>
      <c r="C525" s="1329" t="s">
        <v>528</v>
      </c>
      <c r="D525" s="1329"/>
      <c r="E525" s="1329"/>
      <c r="F525" s="1329"/>
      <c r="G525" s="1329"/>
      <c r="H525" s="1329"/>
      <c r="I525" s="1329"/>
      <c r="J525" s="1329"/>
      <c r="K525" s="1329"/>
      <c r="L525" s="1329"/>
      <c r="M525" s="1329"/>
      <c r="N525" s="1329"/>
      <c r="O525" s="1329"/>
      <c r="P525" s="1329"/>
      <c r="Q525" s="224"/>
    </row>
    <row r="526" spans="1:17" s="220" customFormat="1" ht="18" customHeight="1">
      <c r="A526" s="586"/>
      <c r="B526" s="587"/>
      <c r="C526" s="1333" t="s">
        <v>529</v>
      </c>
      <c r="D526" s="1334"/>
      <c r="E526" s="1330" t="s">
        <v>530</v>
      </c>
      <c r="F526" s="1331"/>
      <c r="G526" s="1331"/>
      <c r="H526" s="1331"/>
      <c r="I526" s="1331"/>
      <c r="J526" s="1331"/>
      <c r="K526" s="1331"/>
      <c r="L526" s="1331"/>
      <c r="M526" s="1331"/>
      <c r="N526" s="1331"/>
      <c r="O526" s="1331"/>
      <c r="P526" s="1332"/>
      <c r="Q526" s="224"/>
    </row>
    <row r="527" spans="1:17" s="220" customFormat="1" ht="32.25" customHeight="1">
      <c r="A527" s="586"/>
      <c r="B527" s="587"/>
      <c r="C527" s="598" t="s">
        <v>516</v>
      </c>
      <c r="D527" s="1297" t="s">
        <v>391</v>
      </c>
      <c r="E527" s="1297"/>
      <c r="F527" s="1297"/>
      <c r="G527" s="598" t="s">
        <v>522</v>
      </c>
      <c r="H527" s="117" t="s">
        <v>531</v>
      </c>
      <c r="I527" s="1068" t="s">
        <v>532</v>
      </c>
      <c r="J527" s="1068"/>
      <c r="K527" s="1068"/>
      <c r="L527" s="1068"/>
      <c r="M527" s="1068"/>
      <c r="N527" s="1068"/>
      <c r="O527" s="1068"/>
      <c r="P527" s="1068"/>
    </row>
    <row r="528" spans="1:17" s="220" customFormat="1" ht="18" customHeight="1">
      <c r="A528" s="586"/>
      <c r="B528" s="587"/>
      <c r="C528" s="599" t="str">
        <f>IF(A271="Si",C271,"")</f>
        <v/>
      </c>
      <c r="D528" s="1295" t="str">
        <f>IF(A271="Si",D271,"")</f>
        <v/>
      </c>
      <c r="E528" s="1295"/>
      <c r="F528" s="1295"/>
      <c r="G528" s="831" t="str">
        <f>IF(A271="Si",M271,"")</f>
        <v/>
      </c>
      <c r="H528" s="580"/>
      <c r="I528" s="1298"/>
      <c r="J528" s="1298"/>
      <c r="K528" s="1298"/>
      <c r="L528" s="1298"/>
      <c r="M528" s="1298"/>
      <c r="N528" s="1298"/>
      <c r="O528" s="1298"/>
      <c r="P528" s="1298"/>
    </row>
    <row r="529" spans="1:16" s="220" customFormat="1" ht="18" customHeight="1">
      <c r="A529" s="586"/>
      <c r="B529" s="587"/>
      <c r="C529" s="599" t="str">
        <f t="shared" ref="C529:C592" si="80">IF(A272="Si",C272,"")</f>
        <v/>
      </c>
      <c r="D529" s="1295" t="str">
        <f t="shared" ref="D529:D592" si="81">IF(A272="Si",D272,"")</f>
        <v/>
      </c>
      <c r="E529" s="1295"/>
      <c r="F529" s="1295"/>
      <c r="G529" s="831" t="str">
        <f t="shared" ref="G529:G592" si="82">IF(A272="Si",M272,"")</f>
        <v/>
      </c>
      <c r="H529" s="580"/>
      <c r="I529" s="1298"/>
      <c r="J529" s="1298"/>
      <c r="K529" s="1298"/>
      <c r="L529" s="1298"/>
      <c r="M529" s="1298"/>
      <c r="N529" s="1298"/>
      <c r="O529" s="1298"/>
      <c r="P529" s="1298"/>
    </row>
    <row r="530" spans="1:16" s="220" customFormat="1" ht="18" customHeight="1">
      <c r="A530" s="586"/>
      <c r="B530" s="587"/>
      <c r="C530" s="599" t="str">
        <f t="shared" si="80"/>
        <v/>
      </c>
      <c r="D530" s="1295" t="str">
        <f t="shared" si="81"/>
        <v/>
      </c>
      <c r="E530" s="1295"/>
      <c r="F530" s="1295"/>
      <c r="G530" s="831" t="str">
        <f t="shared" si="82"/>
        <v/>
      </c>
      <c r="H530" s="580"/>
      <c r="I530" s="1298"/>
      <c r="J530" s="1298"/>
      <c r="K530" s="1298"/>
      <c r="L530" s="1298"/>
      <c r="M530" s="1298"/>
      <c r="N530" s="1298"/>
      <c r="O530" s="1298"/>
      <c r="P530" s="1298"/>
    </row>
    <row r="531" spans="1:16" s="220" customFormat="1" ht="18" customHeight="1">
      <c r="A531" s="586"/>
      <c r="B531" s="587"/>
      <c r="C531" s="599" t="str">
        <f t="shared" si="80"/>
        <v/>
      </c>
      <c r="D531" s="1295" t="str">
        <f t="shared" si="81"/>
        <v/>
      </c>
      <c r="E531" s="1295"/>
      <c r="F531" s="1295"/>
      <c r="G531" s="831" t="str">
        <f t="shared" si="82"/>
        <v/>
      </c>
      <c r="H531" s="580"/>
      <c r="I531" s="1298"/>
      <c r="J531" s="1298"/>
      <c r="K531" s="1298"/>
      <c r="L531" s="1298"/>
      <c r="M531" s="1298"/>
      <c r="N531" s="1298"/>
      <c r="O531" s="1298"/>
      <c r="P531" s="1298"/>
    </row>
    <row r="532" spans="1:16" s="220" customFormat="1" ht="18" customHeight="1">
      <c r="A532" s="586"/>
      <c r="B532" s="587"/>
      <c r="C532" s="599" t="str">
        <f t="shared" si="80"/>
        <v/>
      </c>
      <c r="D532" s="1295" t="str">
        <f t="shared" si="81"/>
        <v/>
      </c>
      <c r="E532" s="1295"/>
      <c r="F532" s="1295"/>
      <c r="G532" s="831" t="str">
        <f t="shared" si="82"/>
        <v/>
      </c>
      <c r="H532" s="580"/>
      <c r="I532" s="1298"/>
      <c r="J532" s="1298"/>
      <c r="K532" s="1298"/>
      <c r="L532" s="1298"/>
      <c r="M532" s="1298"/>
      <c r="N532" s="1298"/>
      <c r="O532" s="1298"/>
      <c r="P532" s="1298"/>
    </row>
    <row r="533" spans="1:16" s="220" customFormat="1" ht="18" hidden="1" customHeight="1">
      <c r="A533" s="586"/>
      <c r="B533" s="587"/>
      <c r="C533" s="599" t="str">
        <f t="shared" si="80"/>
        <v/>
      </c>
      <c r="D533" s="1295" t="str">
        <f t="shared" si="81"/>
        <v/>
      </c>
      <c r="E533" s="1295"/>
      <c r="F533" s="1295"/>
      <c r="G533" s="831" t="str">
        <f t="shared" si="82"/>
        <v/>
      </c>
      <c r="H533" s="580"/>
      <c r="I533" s="1298"/>
      <c r="J533" s="1298"/>
      <c r="K533" s="1298"/>
      <c r="L533" s="1298"/>
      <c r="M533" s="1298"/>
      <c r="N533" s="1298"/>
      <c r="O533" s="1298"/>
      <c r="P533" s="1298"/>
    </row>
    <row r="534" spans="1:16" s="220" customFormat="1" ht="18" hidden="1" customHeight="1">
      <c r="A534" s="586"/>
      <c r="B534" s="587"/>
      <c r="C534" s="599" t="str">
        <f t="shared" si="80"/>
        <v/>
      </c>
      <c r="D534" s="1295" t="str">
        <f t="shared" si="81"/>
        <v/>
      </c>
      <c r="E534" s="1295"/>
      <c r="F534" s="1295"/>
      <c r="G534" s="831" t="str">
        <f t="shared" si="82"/>
        <v/>
      </c>
      <c r="H534" s="580"/>
      <c r="I534" s="1298"/>
      <c r="J534" s="1298"/>
      <c r="K534" s="1298"/>
      <c r="L534" s="1298"/>
      <c r="M534" s="1298"/>
      <c r="N534" s="1298"/>
      <c r="O534" s="1298"/>
      <c r="P534" s="1298"/>
    </row>
    <row r="535" spans="1:16" s="220" customFormat="1" ht="18" hidden="1" customHeight="1">
      <c r="A535" s="586"/>
      <c r="B535" s="587"/>
      <c r="C535" s="599" t="str">
        <f t="shared" si="80"/>
        <v/>
      </c>
      <c r="D535" s="1295" t="str">
        <f t="shared" si="81"/>
        <v/>
      </c>
      <c r="E535" s="1295"/>
      <c r="F535" s="1295"/>
      <c r="G535" s="831" t="str">
        <f t="shared" si="82"/>
        <v/>
      </c>
      <c r="H535" s="580"/>
      <c r="I535" s="1298"/>
      <c r="J535" s="1298"/>
      <c r="K535" s="1298"/>
      <c r="L535" s="1298"/>
      <c r="M535" s="1298"/>
      <c r="N535" s="1298"/>
      <c r="O535" s="1298"/>
      <c r="P535" s="1298"/>
    </row>
    <row r="536" spans="1:16" s="220" customFormat="1" ht="18" hidden="1" customHeight="1">
      <c r="A536" s="586"/>
      <c r="B536" s="587"/>
      <c r="C536" s="599" t="str">
        <f t="shared" si="80"/>
        <v/>
      </c>
      <c r="D536" s="1295" t="str">
        <f t="shared" si="81"/>
        <v/>
      </c>
      <c r="E536" s="1295"/>
      <c r="F536" s="1295"/>
      <c r="G536" s="831" t="str">
        <f t="shared" si="82"/>
        <v/>
      </c>
      <c r="H536" s="580"/>
      <c r="I536" s="1298"/>
      <c r="J536" s="1298"/>
      <c r="K536" s="1298"/>
      <c r="L536" s="1298"/>
      <c r="M536" s="1298"/>
      <c r="N536" s="1298"/>
      <c r="O536" s="1298"/>
      <c r="P536" s="1298"/>
    </row>
    <row r="537" spans="1:16" s="220" customFormat="1" ht="18" hidden="1" customHeight="1">
      <c r="A537" s="586"/>
      <c r="B537" s="587"/>
      <c r="C537" s="599" t="str">
        <f t="shared" si="80"/>
        <v/>
      </c>
      <c r="D537" s="1295" t="str">
        <f t="shared" si="81"/>
        <v/>
      </c>
      <c r="E537" s="1295"/>
      <c r="F537" s="1295"/>
      <c r="G537" s="831" t="str">
        <f t="shared" si="82"/>
        <v/>
      </c>
      <c r="H537" s="580"/>
      <c r="I537" s="1298"/>
      <c r="J537" s="1298"/>
      <c r="K537" s="1298"/>
      <c r="L537" s="1298"/>
      <c r="M537" s="1298"/>
      <c r="N537" s="1298"/>
      <c r="O537" s="1298"/>
      <c r="P537" s="1298"/>
    </row>
    <row r="538" spans="1:16" s="220" customFormat="1" ht="18" hidden="1" customHeight="1">
      <c r="A538" s="586"/>
      <c r="B538" s="587"/>
      <c r="C538" s="599" t="str">
        <f t="shared" si="80"/>
        <v/>
      </c>
      <c r="D538" s="1295" t="str">
        <f t="shared" si="81"/>
        <v/>
      </c>
      <c r="E538" s="1295"/>
      <c r="F538" s="1295"/>
      <c r="G538" s="831" t="str">
        <f t="shared" si="82"/>
        <v/>
      </c>
      <c r="H538" s="580"/>
      <c r="I538" s="1298"/>
      <c r="J538" s="1298"/>
      <c r="K538" s="1298"/>
      <c r="L538" s="1298"/>
      <c r="M538" s="1298"/>
      <c r="N538" s="1298"/>
      <c r="O538" s="1298"/>
      <c r="P538" s="1298"/>
    </row>
    <row r="539" spans="1:16" s="220" customFormat="1" ht="18" hidden="1" customHeight="1">
      <c r="A539" s="586"/>
      <c r="B539" s="587"/>
      <c r="C539" s="599" t="str">
        <f t="shared" si="80"/>
        <v/>
      </c>
      <c r="D539" s="1295" t="str">
        <f t="shared" si="81"/>
        <v/>
      </c>
      <c r="E539" s="1295"/>
      <c r="F539" s="1295"/>
      <c r="G539" s="831" t="str">
        <f t="shared" si="82"/>
        <v/>
      </c>
      <c r="H539" s="580"/>
      <c r="I539" s="1298"/>
      <c r="J539" s="1298"/>
      <c r="K539" s="1298"/>
      <c r="L539" s="1298"/>
      <c r="M539" s="1298"/>
      <c r="N539" s="1298"/>
      <c r="O539" s="1298"/>
      <c r="P539" s="1298"/>
    </row>
    <row r="540" spans="1:16" s="220" customFormat="1" ht="18" hidden="1" customHeight="1">
      <c r="A540" s="586"/>
      <c r="B540" s="587"/>
      <c r="C540" s="599" t="str">
        <f t="shared" si="80"/>
        <v/>
      </c>
      <c r="D540" s="1295" t="str">
        <f t="shared" si="81"/>
        <v/>
      </c>
      <c r="E540" s="1295"/>
      <c r="F540" s="1295"/>
      <c r="G540" s="831" t="str">
        <f t="shared" si="82"/>
        <v/>
      </c>
      <c r="H540" s="580"/>
      <c r="I540" s="1298"/>
      <c r="J540" s="1298"/>
      <c r="K540" s="1298"/>
      <c r="L540" s="1298"/>
      <c r="M540" s="1298"/>
      <c r="N540" s="1298"/>
      <c r="O540" s="1298"/>
      <c r="P540" s="1298"/>
    </row>
    <row r="541" spans="1:16" s="220" customFormat="1" ht="18" hidden="1" customHeight="1">
      <c r="A541" s="586"/>
      <c r="B541" s="587"/>
      <c r="C541" s="599" t="str">
        <f t="shared" si="80"/>
        <v/>
      </c>
      <c r="D541" s="1295" t="str">
        <f t="shared" si="81"/>
        <v/>
      </c>
      <c r="E541" s="1295"/>
      <c r="F541" s="1295"/>
      <c r="G541" s="831" t="str">
        <f t="shared" si="82"/>
        <v/>
      </c>
      <c r="H541" s="580"/>
      <c r="I541" s="1298"/>
      <c r="J541" s="1298"/>
      <c r="K541" s="1298"/>
      <c r="L541" s="1298"/>
      <c r="M541" s="1298"/>
      <c r="N541" s="1298"/>
      <c r="O541" s="1298"/>
      <c r="P541" s="1298"/>
    </row>
    <row r="542" spans="1:16" s="220" customFormat="1" ht="18" hidden="1" customHeight="1">
      <c r="A542" s="586"/>
      <c r="B542" s="587"/>
      <c r="C542" s="599" t="str">
        <f t="shared" si="80"/>
        <v/>
      </c>
      <c r="D542" s="1295" t="str">
        <f t="shared" si="81"/>
        <v/>
      </c>
      <c r="E542" s="1295"/>
      <c r="F542" s="1295"/>
      <c r="G542" s="831" t="str">
        <f t="shared" si="82"/>
        <v/>
      </c>
      <c r="H542" s="580"/>
      <c r="I542" s="1298"/>
      <c r="J542" s="1298"/>
      <c r="K542" s="1298"/>
      <c r="L542" s="1298"/>
      <c r="M542" s="1298"/>
      <c r="N542" s="1298"/>
      <c r="O542" s="1298"/>
      <c r="P542" s="1298"/>
    </row>
    <row r="543" spans="1:16" s="220" customFormat="1" ht="18" hidden="1" customHeight="1">
      <c r="A543" s="586"/>
      <c r="B543" s="587"/>
      <c r="C543" s="599" t="str">
        <f t="shared" si="80"/>
        <v/>
      </c>
      <c r="D543" s="1295" t="str">
        <f t="shared" si="81"/>
        <v/>
      </c>
      <c r="E543" s="1295"/>
      <c r="F543" s="1295"/>
      <c r="G543" s="831" t="str">
        <f t="shared" si="82"/>
        <v/>
      </c>
      <c r="H543" s="580"/>
      <c r="I543" s="1298"/>
      <c r="J543" s="1298"/>
      <c r="K543" s="1298"/>
      <c r="L543" s="1298"/>
      <c r="M543" s="1298"/>
      <c r="N543" s="1298"/>
      <c r="O543" s="1298"/>
      <c r="P543" s="1298"/>
    </row>
    <row r="544" spans="1:16" s="220" customFormat="1" ht="18" hidden="1" customHeight="1">
      <c r="A544" s="586"/>
      <c r="B544" s="587"/>
      <c r="C544" s="599" t="str">
        <f t="shared" si="80"/>
        <v/>
      </c>
      <c r="D544" s="1295" t="str">
        <f t="shared" si="81"/>
        <v/>
      </c>
      <c r="E544" s="1295"/>
      <c r="F544" s="1295"/>
      <c r="G544" s="831" t="str">
        <f t="shared" si="82"/>
        <v/>
      </c>
      <c r="H544" s="580"/>
      <c r="I544" s="1298"/>
      <c r="J544" s="1298"/>
      <c r="K544" s="1298"/>
      <c r="L544" s="1298"/>
      <c r="M544" s="1298"/>
      <c r="N544" s="1298"/>
      <c r="O544" s="1298"/>
      <c r="P544" s="1298"/>
    </row>
    <row r="545" spans="1:16" s="220" customFormat="1" ht="18" hidden="1" customHeight="1">
      <c r="A545" s="586"/>
      <c r="B545" s="587"/>
      <c r="C545" s="599" t="str">
        <f t="shared" si="80"/>
        <v/>
      </c>
      <c r="D545" s="1295" t="str">
        <f t="shared" si="81"/>
        <v/>
      </c>
      <c r="E545" s="1295"/>
      <c r="F545" s="1295"/>
      <c r="G545" s="831" t="str">
        <f t="shared" si="82"/>
        <v/>
      </c>
      <c r="H545" s="580"/>
      <c r="I545" s="1298"/>
      <c r="J545" s="1298"/>
      <c r="K545" s="1298"/>
      <c r="L545" s="1298"/>
      <c r="M545" s="1298"/>
      <c r="N545" s="1298"/>
      <c r="O545" s="1298"/>
      <c r="P545" s="1298"/>
    </row>
    <row r="546" spans="1:16" s="220" customFormat="1" ht="18" hidden="1" customHeight="1">
      <c r="A546" s="586"/>
      <c r="B546" s="587"/>
      <c r="C546" s="599" t="str">
        <f t="shared" si="80"/>
        <v/>
      </c>
      <c r="D546" s="1295" t="str">
        <f t="shared" si="81"/>
        <v/>
      </c>
      <c r="E546" s="1295"/>
      <c r="F546" s="1295"/>
      <c r="G546" s="831" t="str">
        <f t="shared" si="82"/>
        <v/>
      </c>
      <c r="H546" s="580"/>
      <c r="I546" s="1298"/>
      <c r="J546" s="1298"/>
      <c r="K546" s="1298"/>
      <c r="L546" s="1298"/>
      <c r="M546" s="1298"/>
      <c r="N546" s="1298"/>
      <c r="O546" s="1298"/>
      <c r="P546" s="1298"/>
    </row>
    <row r="547" spans="1:16" s="220" customFormat="1" ht="18" hidden="1" customHeight="1">
      <c r="A547" s="586"/>
      <c r="B547" s="587"/>
      <c r="C547" s="599" t="str">
        <f t="shared" si="80"/>
        <v/>
      </c>
      <c r="D547" s="1295" t="str">
        <f t="shared" si="81"/>
        <v/>
      </c>
      <c r="E547" s="1295"/>
      <c r="F547" s="1295"/>
      <c r="G547" s="831" t="str">
        <f t="shared" si="82"/>
        <v/>
      </c>
      <c r="H547" s="580"/>
      <c r="I547" s="1298"/>
      <c r="J547" s="1298"/>
      <c r="K547" s="1298"/>
      <c r="L547" s="1298"/>
      <c r="M547" s="1298"/>
      <c r="N547" s="1298"/>
      <c r="O547" s="1298"/>
      <c r="P547" s="1298"/>
    </row>
    <row r="548" spans="1:16" s="220" customFormat="1" ht="18" hidden="1" customHeight="1">
      <c r="A548" s="586"/>
      <c r="B548" s="587"/>
      <c r="C548" s="599" t="str">
        <f t="shared" si="80"/>
        <v/>
      </c>
      <c r="D548" s="1295" t="str">
        <f t="shared" si="81"/>
        <v/>
      </c>
      <c r="E548" s="1295"/>
      <c r="F548" s="1295"/>
      <c r="G548" s="831" t="str">
        <f t="shared" si="82"/>
        <v/>
      </c>
      <c r="H548" s="580"/>
      <c r="I548" s="1298"/>
      <c r="J548" s="1298"/>
      <c r="K548" s="1298"/>
      <c r="L548" s="1298"/>
      <c r="M548" s="1298"/>
      <c r="N548" s="1298"/>
      <c r="O548" s="1298"/>
      <c r="P548" s="1298"/>
    </row>
    <row r="549" spans="1:16" s="220" customFormat="1" ht="18" hidden="1" customHeight="1">
      <c r="A549" s="586"/>
      <c r="B549" s="587"/>
      <c r="C549" s="599" t="str">
        <f t="shared" si="80"/>
        <v/>
      </c>
      <c r="D549" s="1295" t="str">
        <f t="shared" si="81"/>
        <v/>
      </c>
      <c r="E549" s="1295"/>
      <c r="F549" s="1295"/>
      <c r="G549" s="831" t="str">
        <f t="shared" si="82"/>
        <v/>
      </c>
      <c r="H549" s="580"/>
      <c r="I549" s="1298"/>
      <c r="J549" s="1298"/>
      <c r="K549" s="1298"/>
      <c r="L549" s="1298"/>
      <c r="M549" s="1298"/>
      <c r="N549" s="1298"/>
      <c r="O549" s="1298"/>
      <c r="P549" s="1298"/>
    </row>
    <row r="550" spans="1:16" s="220" customFormat="1" ht="18" hidden="1" customHeight="1">
      <c r="A550" s="586"/>
      <c r="B550" s="587"/>
      <c r="C550" s="599" t="str">
        <f t="shared" si="80"/>
        <v/>
      </c>
      <c r="D550" s="1295" t="str">
        <f t="shared" si="81"/>
        <v/>
      </c>
      <c r="E550" s="1295"/>
      <c r="F550" s="1295"/>
      <c r="G550" s="831" t="str">
        <f t="shared" si="82"/>
        <v/>
      </c>
      <c r="H550" s="580"/>
      <c r="I550" s="1298"/>
      <c r="J550" s="1298"/>
      <c r="K550" s="1298"/>
      <c r="L550" s="1298"/>
      <c r="M550" s="1298"/>
      <c r="N550" s="1298"/>
      <c r="O550" s="1298"/>
      <c r="P550" s="1298"/>
    </row>
    <row r="551" spans="1:16" s="220" customFormat="1" ht="18" hidden="1" customHeight="1">
      <c r="A551" s="586"/>
      <c r="B551" s="587"/>
      <c r="C551" s="599" t="str">
        <f t="shared" si="80"/>
        <v/>
      </c>
      <c r="D551" s="1295" t="str">
        <f t="shared" si="81"/>
        <v/>
      </c>
      <c r="E551" s="1295"/>
      <c r="F551" s="1295"/>
      <c r="G551" s="831" t="str">
        <f t="shared" si="82"/>
        <v/>
      </c>
      <c r="H551" s="580"/>
      <c r="I551" s="1298"/>
      <c r="J551" s="1298"/>
      <c r="K551" s="1298"/>
      <c r="L551" s="1298"/>
      <c r="M551" s="1298"/>
      <c r="N551" s="1298"/>
      <c r="O551" s="1298"/>
      <c r="P551" s="1298"/>
    </row>
    <row r="552" spans="1:16" s="220" customFormat="1" ht="18" hidden="1" customHeight="1">
      <c r="A552" s="586"/>
      <c r="B552" s="587"/>
      <c r="C552" s="599" t="str">
        <f t="shared" si="80"/>
        <v/>
      </c>
      <c r="D552" s="1295" t="str">
        <f t="shared" si="81"/>
        <v/>
      </c>
      <c r="E552" s="1295"/>
      <c r="F552" s="1295"/>
      <c r="G552" s="831" t="str">
        <f t="shared" si="82"/>
        <v/>
      </c>
      <c r="H552" s="580"/>
      <c r="I552" s="1298"/>
      <c r="J552" s="1298"/>
      <c r="K552" s="1298"/>
      <c r="L552" s="1298"/>
      <c r="M552" s="1298"/>
      <c r="N552" s="1298"/>
      <c r="O552" s="1298"/>
      <c r="P552" s="1298"/>
    </row>
    <row r="553" spans="1:16" s="220" customFormat="1" ht="18" hidden="1" customHeight="1">
      <c r="A553" s="586"/>
      <c r="B553" s="587"/>
      <c r="C553" s="599" t="str">
        <f t="shared" si="80"/>
        <v/>
      </c>
      <c r="D553" s="1295" t="str">
        <f t="shared" si="81"/>
        <v/>
      </c>
      <c r="E553" s="1295"/>
      <c r="F553" s="1295"/>
      <c r="G553" s="831" t="str">
        <f t="shared" si="82"/>
        <v/>
      </c>
      <c r="H553" s="580"/>
      <c r="I553" s="1298"/>
      <c r="J553" s="1298"/>
      <c r="K553" s="1298"/>
      <c r="L553" s="1298"/>
      <c r="M553" s="1298"/>
      <c r="N553" s="1298"/>
      <c r="O553" s="1298"/>
      <c r="P553" s="1298"/>
    </row>
    <row r="554" spans="1:16" ht="18" hidden="1" customHeight="1">
      <c r="C554" s="599" t="str">
        <f t="shared" si="80"/>
        <v/>
      </c>
      <c r="D554" s="1295" t="str">
        <f t="shared" si="81"/>
        <v/>
      </c>
      <c r="E554" s="1295"/>
      <c r="F554" s="1295"/>
      <c r="G554" s="831" t="str">
        <f t="shared" si="82"/>
        <v/>
      </c>
      <c r="H554" s="580"/>
      <c r="I554" s="1298"/>
      <c r="J554" s="1298"/>
      <c r="K554" s="1298"/>
      <c r="L554" s="1298"/>
      <c r="M554" s="1298"/>
      <c r="N554" s="1298"/>
      <c r="O554" s="1298"/>
      <c r="P554" s="1298"/>
    </row>
    <row r="555" spans="1:16" ht="18" hidden="1" customHeight="1">
      <c r="C555" s="599" t="str">
        <f t="shared" si="80"/>
        <v/>
      </c>
      <c r="D555" s="1295" t="str">
        <f t="shared" si="81"/>
        <v/>
      </c>
      <c r="E555" s="1295"/>
      <c r="F555" s="1295"/>
      <c r="G555" s="831" t="str">
        <f t="shared" si="82"/>
        <v/>
      </c>
      <c r="H555" s="580"/>
      <c r="I555" s="1298"/>
      <c r="J555" s="1298"/>
      <c r="K555" s="1298"/>
      <c r="L555" s="1298"/>
      <c r="M555" s="1298"/>
      <c r="N555" s="1298"/>
      <c r="O555" s="1298"/>
      <c r="P555" s="1298"/>
    </row>
    <row r="556" spans="1:16" ht="18" hidden="1" customHeight="1">
      <c r="C556" s="599" t="str">
        <f t="shared" si="80"/>
        <v/>
      </c>
      <c r="D556" s="1295" t="str">
        <f t="shared" si="81"/>
        <v/>
      </c>
      <c r="E556" s="1295"/>
      <c r="F556" s="1295"/>
      <c r="G556" s="831" t="str">
        <f t="shared" si="82"/>
        <v/>
      </c>
      <c r="H556" s="580"/>
      <c r="I556" s="1298"/>
      <c r="J556" s="1298"/>
      <c r="K556" s="1298"/>
      <c r="L556" s="1298"/>
      <c r="M556" s="1298"/>
      <c r="N556" s="1298"/>
      <c r="O556" s="1298"/>
      <c r="P556" s="1298"/>
    </row>
    <row r="557" spans="1:16" ht="18" hidden="1" customHeight="1">
      <c r="C557" s="599" t="str">
        <f t="shared" si="80"/>
        <v/>
      </c>
      <c r="D557" s="1295" t="str">
        <f t="shared" si="81"/>
        <v/>
      </c>
      <c r="E557" s="1295"/>
      <c r="F557" s="1295"/>
      <c r="G557" s="831" t="str">
        <f t="shared" si="82"/>
        <v/>
      </c>
      <c r="H557" s="580"/>
      <c r="I557" s="1298"/>
      <c r="J557" s="1298"/>
      <c r="K557" s="1298"/>
      <c r="L557" s="1298"/>
      <c r="M557" s="1298"/>
      <c r="N557" s="1298"/>
      <c r="O557" s="1298"/>
      <c r="P557" s="1298"/>
    </row>
    <row r="558" spans="1:16" ht="18" hidden="1" customHeight="1">
      <c r="C558" s="599" t="str">
        <f t="shared" si="80"/>
        <v/>
      </c>
      <c r="D558" s="1295" t="str">
        <f t="shared" si="81"/>
        <v/>
      </c>
      <c r="E558" s="1295"/>
      <c r="F558" s="1295"/>
      <c r="G558" s="831" t="str">
        <f t="shared" si="82"/>
        <v/>
      </c>
      <c r="H558" s="580"/>
      <c r="I558" s="1298"/>
      <c r="J558" s="1298"/>
      <c r="K558" s="1298"/>
      <c r="L558" s="1298"/>
      <c r="M558" s="1298"/>
      <c r="N558" s="1298"/>
      <c r="O558" s="1298"/>
      <c r="P558" s="1298"/>
    </row>
    <row r="559" spans="1:16" ht="18" hidden="1" customHeight="1">
      <c r="C559" s="599" t="str">
        <f t="shared" si="80"/>
        <v/>
      </c>
      <c r="D559" s="1295" t="str">
        <f t="shared" si="81"/>
        <v/>
      </c>
      <c r="E559" s="1295"/>
      <c r="F559" s="1295"/>
      <c r="G559" s="831" t="str">
        <f t="shared" si="82"/>
        <v/>
      </c>
      <c r="H559" s="580"/>
      <c r="I559" s="1298"/>
      <c r="J559" s="1298"/>
      <c r="K559" s="1298"/>
      <c r="L559" s="1298"/>
      <c r="M559" s="1298"/>
      <c r="N559" s="1298"/>
      <c r="O559" s="1298"/>
      <c r="P559" s="1298"/>
    </row>
    <row r="560" spans="1:16" ht="18" hidden="1" customHeight="1">
      <c r="C560" s="599" t="str">
        <f t="shared" si="80"/>
        <v/>
      </c>
      <c r="D560" s="1295" t="str">
        <f t="shared" si="81"/>
        <v/>
      </c>
      <c r="E560" s="1295"/>
      <c r="F560" s="1295"/>
      <c r="G560" s="831" t="str">
        <f t="shared" si="82"/>
        <v/>
      </c>
      <c r="H560" s="580"/>
      <c r="I560" s="1298"/>
      <c r="J560" s="1298"/>
      <c r="K560" s="1298"/>
      <c r="L560" s="1298"/>
      <c r="M560" s="1298"/>
      <c r="N560" s="1298"/>
      <c r="O560" s="1298"/>
      <c r="P560" s="1298"/>
    </row>
    <row r="561" spans="3:16" ht="18" hidden="1" customHeight="1">
      <c r="C561" s="599" t="str">
        <f t="shared" si="80"/>
        <v/>
      </c>
      <c r="D561" s="1295" t="str">
        <f t="shared" si="81"/>
        <v/>
      </c>
      <c r="E561" s="1295"/>
      <c r="F561" s="1295"/>
      <c r="G561" s="831" t="str">
        <f t="shared" si="82"/>
        <v/>
      </c>
      <c r="H561" s="580"/>
      <c r="I561" s="1298"/>
      <c r="J561" s="1298"/>
      <c r="K561" s="1298"/>
      <c r="L561" s="1298"/>
      <c r="M561" s="1298"/>
      <c r="N561" s="1298"/>
      <c r="O561" s="1298"/>
      <c r="P561" s="1298"/>
    </row>
    <row r="562" spans="3:16" ht="18" hidden="1" customHeight="1">
      <c r="C562" s="599" t="str">
        <f t="shared" si="80"/>
        <v/>
      </c>
      <c r="D562" s="1295" t="str">
        <f t="shared" si="81"/>
        <v/>
      </c>
      <c r="E562" s="1295"/>
      <c r="F562" s="1295"/>
      <c r="G562" s="831" t="str">
        <f t="shared" si="82"/>
        <v/>
      </c>
      <c r="H562" s="580"/>
      <c r="I562" s="1298"/>
      <c r="J562" s="1298"/>
      <c r="K562" s="1298"/>
      <c r="L562" s="1298"/>
      <c r="M562" s="1298"/>
      <c r="N562" s="1298"/>
      <c r="O562" s="1298"/>
      <c r="P562" s="1298"/>
    </row>
    <row r="563" spans="3:16" ht="18" hidden="1" customHeight="1">
      <c r="C563" s="599" t="str">
        <f t="shared" si="80"/>
        <v/>
      </c>
      <c r="D563" s="1295" t="str">
        <f t="shared" si="81"/>
        <v/>
      </c>
      <c r="E563" s="1295"/>
      <c r="F563" s="1295"/>
      <c r="G563" s="831" t="str">
        <f t="shared" si="82"/>
        <v/>
      </c>
      <c r="H563" s="580"/>
      <c r="I563" s="1298"/>
      <c r="J563" s="1298"/>
      <c r="K563" s="1298"/>
      <c r="L563" s="1298"/>
      <c r="M563" s="1298"/>
      <c r="N563" s="1298"/>
      <c r="O563" s="1298"/>
      <c r="P563" s="1298"/>
    </row>
    <row r="564" spans="3:16" ht="18" hidden="1" customHeight="1">
      <c r="C564" s="599" t="str">
        <f t="shared" si="80"/>
        <v/>
      </c>
      <c r="D564" s="1295" t="str">
        <f t="shared" si="81"/>
        <v/>
      </c>
      <c r="E564" s="1295"/>
      <c r="F564" s="1295"/>
      <c r="G564" s="831" t="str">
        <f t="shared" si="82"/>
        <v/>
      </c>
      <c r="H564" s="580"/>
      <c r="I564" s="1298"/>
      <c r="J564" s="1298"/>
      <c r="K564" s="1298"/>
      <c r="L564" s="1298"/>
      <c r="M564" s="1298"/>
      <c r="N564" s="1298"/>
      <c r="O564" s="1298"/>
      <c r="P564" s="1298"/>
    </row>
    <row r="565" spans="3:16" ht="18" hidden="1" customHeight="1">
      <c r="C565" s="599" t="str">
        <f t="shared" si="80"/>
        <v/>
      </c>
      <c r="D565" s="1295" t="str">
        <f t="shared" si="81"/>
        <v/>
      </c>
      <c r="E565" s="1295"/>
      <c r="F565" s="1295"/>
      <c r="G565" s="831" t="str">
        <f t="shared" si="82"/>
        <v/>
      </c>
      <c r="H565" s="580"/>
      <c r="I565" s="1298"/>
      <c r="J565" s="1298"/>
      <c r="K565" s="1298"/>
      <c r="L565" s="1298"/>
      <c r="M565" s="1298"/>
      <c r="N565" s="1298"/>
      <c r="O565" s="1298"/>
      <c r="P565" s="1298"/>
    </row>
    <row r="566" spans="3:16" ht="18" hidden="1" customHeight="1">
      <c r="C566" s="599" t="str">
        <f t="shared" si="80"/>
        <v/>
      </c>
      <c r="D566" s="1295" t="str">
        <f t="shared" si="81"/>
        <v/>
      </c>
      <c r="E566" s="1295"/>
      <c r="F566" s="1295"/>
      <c r="G566" s="831" t="str">
        <f t="shared" si="82"/>
        <v/>
      </c>
      <c r="H566" s="580"/>
      <c r="I566" s="1298"/>
      <c r="J566" s="1298"/>
      <c r="K566" s="1298"/>
      <c r="L566" s="1298"/>
      <c r="M566" s="1298"/>
      <c r="N566" s="1298"/>
      <c r="O566" s="1298"/>
      <c r="P566" s="1298"/>
    </row>
    <row r="567" spans="3:16" ht="18" hidden="1" customHeight="1">
      <c r="C567" s="599" t="str">
        <f t="shared" si="80"/>
        <v/>
      </c>
      <c r="D567" s="1295" t="str">
        <f t="shared" si="81"/>
        <v/>
      </c>
      <c r="E567" s="1295"/>
      <c r="F567" s="1295"/>
      <c r="G567" s="831" t="str">
        <f t="shared" si="82"/>
        <v/>
      </c>
      <c r="H567" s="580"/>
      <c r="I567" s="1298"/>
      <c r="J567" s="1298"/>
      <c r="K567" s="1298"/>
      <c r="L567" s="1298"/>
      <c r="M567" s="1298"/>
      <c r="N567" s="1298"/>
      <c r="O567" s="1298"/>
      <c r="P567" s="1298"/>
    </row>
    <row r="568" spans="3:16" ht="18" hidden="1" customHeight="1">
      <c r="C568" s="599" t="str">
        <f t="shared" si="80"/>
        <v/>
      </c>
      <c r="D568" s="1295" t="str">
        <f t="shared" si="81"/>
        <v/>
      </c>
      <c r="E568" s="1295"/>
      <c r="F568" s="1295"/>
      <c r="G568" s="831" t="str">
        <f t="shared" si="82"/>
        <v/>
      </c>
      <c r="H568" s="580"/>
      <c r="I568" s="1298"/>
      <c r="J568" s="1298"/>
      <c r="K568" s="1298"/>
      <c r="L568" s="1298"/>
      <c r="M568" s="1298"/>
      <c r="N568" s="1298"/>
      <c r="O568" s="1298"/>
      <c r="P568" s="1298"/>
    </row>
    <row r="569" spans="3:16" ht="18" hidden="1" customHeight="1">
      <c r="C569" s="599" t="str">
        <f t="shared" si="80"/>
        <v/>
      </c>
      <c r="D569" s="1295" t="str">
        <f t="shared" si="81"/>
        <v/>
      </c>
      <c r="E569" s="1295"/>
      <c r="F569" s="1295"/>
      <c r="G569" s="831" t="str">
        <f t="shared" si="82"/>
        <v/>
      </c>
      <c r="H569" s="580"/>
      <c r="I569" s="1298"/>
      <c r="J569" s="1298"/>
      <c r="K569" s="1298"/>
      <c r="L569" s="1298"/>
      <c r="M569" s="1298"/>
      <c r="N569" s="1298"/>
      <c r="O569" s="1298"/>
      <c r="P569" s="1298"/>
    </row>
    <row r="570" spans="3:16" ht="18" hidden="1" customHeight="1">
      <c r="C570" s="599" t="str">
        <f t="shared" si="80"/>
        <v/>
      </c>
      <c r="D570" s="1295" t="str">
        <f t="shared" si="81"/>
        <v/>
      </c>
      <c r="E570" s="1295"/>
      <c r="F570" s="1295"/>
      <c r="G570" s="831" t="str">
        <f t="shared" si="82"/>
        <v/>
      </c>
      <c r="H570" s="580"/>
      <c r="I570" s="1298"/>
      <c r="J570" s="1298"/>
      <c r="K570" s="1298"/>
      <c r="L570" s="1298"/>
      <c r="M570" s="1298"/>
      <c r="N570" s="1298"/>
      <c r="O570" s="1298"/>
      <c r="P570" s="1298"/>
    </row>
    <row r="571" spans="3:16" ht="18" hidden="1" customHeight="1">
      <c r="C571" s="599" t="str">
        <f t="shared" si="80"/>
        <v/>
      </c>
      <c r="D571" s="1295" t="str">
        <f t="shared" si="81"/>
        <v/>
      </c>
      <c r="E571" s="1295"/>
      <c r="F571" s="1295"/>
      <c r="G571" s="831" t="str">
        <f t="shared" si="82"/>
        <v/>
      </c>
      <c r="H571" s="580"/>
      <c r="I571" s="1298"/>
      <c r="J571" s="1298"/>
      <c r="K571" s="1298"/>
      <c r="L571" s="1298"/>
      <c r="M571" s="1298"/>
      <c r="N571" s="1298"/>
      <c r="O571" s="1298"/>
      <c r="P571" s="1298"/>
    </row>
    <row r="572" spans="3:16" ht="18" hidden="1" customHeight="1">
      <c r="C572" s="599" t="str">
        <f t="shared" si="80"/>
        <v/>
      </c>
      <c r="D572" s="1295" t="str">
        <f t="shared" si="81"/>
        <v/>
      </c>
      <c r="E572" s="1295"/>
      <c r="F572" s="1295"/>
      <c r="G572" s="831" t="str">
        <f t="shared" si="82"/>
        <v/>
      </c>
      <c r="H572" s="580"/>
      <c r="I572" s="1298"/>
      <c r="J572" s="1298"/>
      <c r="K572" s="1298"/>
      <c r="L572" s="1298"/>
      <c r="M572" s="1298"/>
      <c r="N572" s="1298"/>
      <c r="O572" s="1298"/>
      <c r="P572" s="1298"/>
    </row>
    <row r="573" spans="3:16" ht="18" hidden="1" customHeight="1">
      <c r="C573" s="599" t="str">
        <f t="shared" si="80"/>
        <v/>
      </c>
      <c r="D573" s="1295" t="str">
        <f t="shared" si="81"/>
        <v/>
      </c>
      <c r="E573" s="1295"/>
      <c r="F573" s="1295"/>
      <c r="G573" s="831" t="str">
        <f t="shared" si="82"/>
        <v/>
      </c>
      <c r="H573" s="580"/>
      <c r="I573" s="1298"/>
      <c r="J573" s="1298"/>
      <c r="K573" s="1298"/>
      <c r="L573" s="1298"/>
      <c r="M573" s="1298"/>
      <c r="N573" s="1298"/>
      <c r="O573" s="1298"/>
      <c r="P573" s="1298"/>
    </row>
    <row r="574" spans="3:16" ht="18" hidden="1" customHeight="1">
      <c r="C574" s="599" t="str">
        <f t="shared" si="80"/>
        <v/>
      </c>
      <c r="D574" s="1295" t="str">
        <f t="shared" si="81"/>
        <v/>
      </c>
      <c r="E574" s="1295"/>
      <c r="F574" s="1295"/>
      <c r="G574" s="831" t="str">
        <f t="shared" si="82"/>
        <v/>
      </c>
      <c r="H574" s="580"/>
      <c r="I574" s="1298"/>
      <c r="J574" s="1298"/>
      <c r="K574" s="1298"/>
      <c r="L574" s="1298"/>
      <c r="M574" s="1298"/>
      <c r="N574" s="1298"/>
      <c r="O574" s="1298"/>
      <c r="P574" s="1298"/>
    </row>
    <row r="575" spans="3:16" ht="18" hidden="1" customHeight="1">
      <c r="C575" s="599" t="str">
        <f t="shared" si="80"/>
        <v/>
      </c>
      <c r="D575" s="1295" t="str">
        <f t="shared" si="81"/>
        <v/>
      </c>
      <c r="E575" s="1295"/>
      <c r="F575" s="1295"/>
      <c r="G575" s="831" t="str">
        <f t="shared" si="82"/>
        <v/>
      </c>
      <c r="H575" s="580"/>
      <c r="I575" s="1298"/>
      <c r="J575" s="1298"/>
      <c r="K575" s="1298"/>
      <c r="L575" s="1298"/>
      <c r="M575" s="1298"/>
      <c r="N575" s="1298"/>
      <c r="O575" s="1298"/>
      <c r="P575" s="1298"/>
    </row>
    <row r="576" spans="3:16" ht="18" hidden="1" customHeight="1">
      <c r="C576" s="599" t="str">
        <f t="shared" si="80"/>
        <v/>
      </c>
      <c r="D576" s="1295" t="str">
        <f t="shared" si="81"/>
        <v/>
      </c>
      <c r="E576" s="1295"/>
      <c r="F576" s="1295"/>
      <c r="G576" s="831" t="str">
        <f t="shared" si="82"/>
        <v/>
      </c>
      <c r="H576" s="580"/>
      <c r="I576" s="1298"/>
      <c r="J576" s="1298"/>
      <c r="K576" s="1298"/>
      <c r="L576" s="1298"/>
      <c r="M576" s="1298"/>
      <c r="N576" s="1298"/>
      <c r="O576" s="1298"/>
      <c r="P576" s="1298"/>
    </row>
    <row r="577" spans="3:16" ht="18" hidden="1" customHeight="1">
      <c r="C577" s="599" t="str">
        <f t="shared" si="80"/>
        <v/>
      </c>
      <c r="D577" s="1295" t="str">
        <f t="shared" si="81"/>
        <v/>
      </c>
      <c r="E577" s="1295"/>
      <c r="F577" s="1295"/>
      <c r="G577" s="831" t="str">
        <f t="shared" si="82"/>
        <v/>
      </c>
      <c r="H577" s="580"/>
      <c r="I577" s="1298"/>
      <c r="J577" s="1298"/>
      <c r="K577" s="1298"/>
      <c r="L577" s="1298"/>
      <c r="M577" s="1298"/>
      <c r="N577" s="1298"/>
      <c r="O577" s="1298"/>
      <c r="P577" s="1298"/>
    </row>
    <row r="578" spans="3:16" ht="18" hidden="1" customHeight="1">
      <c r="C578" s="599" t="str">
        <f t="shared" si="80"/>
        <v/>
      </c>
      <c r="D578" s="1295" t="str">
        <f t="shared" si="81"/>
        <v/>
      </c>
      <c r="E578" s="1295"/>
      <c r="F578" s="1295"/>
      <c r="G578" s="831" t="str">
        <f t="shared" si="82"/>
        <v/>
      </c>
      <c r="H578" s="580"/>
      <c r="I578" s="1298"/>
      <c r="J578" s="1298"/>
      <c r="K578" s="1298"/>
      <c r="L578" s="1298"/>
      <c r="M578" s="1298"/>
      <c r="N578" s="1298"/>
      <c r="O578" s="1298"/>
      <c r="P578" s="1298"/>
    </row>
    <row r="579" spans="3:16" ht="18" hidden="1" customHeight="1">
      <c r="C579" s="599" t="str">
        <f t="shared" si="80"/>
        <v/>
      </c>
      <c r="D579" s="1295" t="str">
        <f t="shared" si="81"/>
        <v/>
      </c>
      <c r="E579" s="1295"/>
      <c r="F579" s="1295"/>
      <c r="G579" s="831" t="str">
        <f t="shared" si="82"/>
        <v/>
      </c>
      <c r="H579" s="580"/>
      <c r="I579" s="1298"/>
      <c r="J579" s="1298"/>
      <c r="K579" s="1298"/>
      <c r="L579" s="1298"/>
      <c r="M579" s="1298"/>
      <c r="N579" s="1298"/>
      <c r="O579" s="1298"/>
      <c r="P579" s="1298"/>
    </row>
    <row r="580" spans="3:16" ht="18" hidden="1" customHeight="1">
      <c r="C580" s="599" t="str">
        <f t="shared" si="80"/>
        <v/>
      </c>
      <c r="D580" s="1295" t="str">
        <f t="shared" si="81"/>
        <v/>
      </c>
      <c r="E580" s="1295"/>
      <c r="F580" s="1295"/>
      <c r="G580" s="831" t="str">
        <f t="shared" si="82"/>
        <v/>
      </c>
      <c r="H580" s="580"/>
      <c r="I580" s="1298"/>
      <c r="J580" s="1298"/>
      <c r="K580" s="1298"/>
      <c r="L580" s="1298"/>
      <c r="M580" s="1298"/>
      <c r="N580" s="1298"/>
      <c r="O580" s="1298"/>
      <c r="P580" s="1298"/>
    </row>
    <row r="581" spans="3:16" ht="18" hidden="1" customHeight="1">
      <c r="C581" s="599" t="str">
        <f t="shared" si="80"/>
        <v/>
      </c>
      <c r="D581" s="1295" t="str">
        <f t="shared" si="81"/>
        <v/>
      </c>
      <c r="E581" s="1295"/>
      <c r="F581" s="1295"/>
      <c r="G581" s="831" t="str">
        <f t="shared" si="82"/>
        <v/>
      </c>
      <c r="H581" s="580"/>
      <c r="I581" s="1298"/>
      <c r="J581" s="1298"/>
      <c r="K581" s="1298"/>
      <c r="L581" s="1298"/>
      <c r="M581" s="1298"/>
      <c r="N581" s="1298"/>
      <c r="O581" s="1298"/>
      <c r="P581" s="1298"/>
    </row>
    <row r="582" spans="3:16" ht="18" hidden="1" customHeight="1">
      <c r="C582" s="599" t="str">
        <f t="shared" si="80"/>
        <v/>
      </c>
      <c r="D582" s="1295" t="str">
        <f t="shared" si="81"/>
        <v/>
      </c>
      <c r="E582" s="1295"/>
      <c r="F582" s="1295"/>
      <c r="G582" s="831" t="str">
        <f t="shared" si="82"/>
        <v/>
      </c>
      <c r="H582" s="580"/>
      <c r="I582" s="1298"/>
      <c r="J582" s="1298"/>
      <c r="K582" s="1298"/>
      <c r="L582" s="1298"/>
      <c r="M582" s="1298"/>
      <c r="N582" s="1298"/>
      <c r="O582" s="1298"/>
      <c r="P582" s="1298"/>
    </row>
    <row r="583" spans="3:16" ht="18" hidden="1" customHeight="1">
      <c r="C583" s="599" t="str">
        <f t="shared" si="80"/>
        <v/>
      </c>
      <c r="D583" s="1295" t="str">
        <f t="shared" si="81"/>
        <v/>
      </c>
      <c r="E583" s="1295"/>
      <c r="F583" s="1295"/>
      <c r="G583" s="831" t="str">
        <f t="shared" si="82"/>
        <v/>
      </c>
      <c r="H583" s="580"/>
      <c r="I583" s="1298"/>
      <c r="J583" s="1298"/>
      <c r="K583" s="1298"/>
      <c r="L583" s="1298"/>
      <c r="M583" s="1298"/>
      <c r="N583" s="1298"/>
      <c r="O583" s="1298"/>
      <c r="P583" s="1298"/>
    </row>
    <row r="584" spans="3:16" ht="18" hidden="1" customHeight="1">
      <c r="C584" s="599" t="str">
        <f t="shared" si="80"/>
        <v/>
      </c>
      <c r="D584" s="1295" t="str">
        <f t="shared" si="81"/>
        <v/>
      </c>
      <c r="E584" s="1295"/>
      <c r="F584" s="1295"/>
      <c r="G584" s="831" t="str">
        <f t="shared" si="82"/>
        <v/>
      </c>
      <c r="H584" s="580"/>
      <c r="I584" s="1298"/>
      <c r="J584" s="1298"/>
      <c r="K584" s="1298"/>
      <c r="L584" s="1298"/>
      <c r="M584" s="1298"/>
      <c r="N584" s="1298"/>
      <c r="O584" s="1298"/>
      <c r="P584" s="1298"/>
    </row>
    <row r="585" spans="3:16" ht="18" hidden="1" customHeight="1">
      <c r="C585" s="599" t="str">
        <f t="shared" si="80"/>
        <v/>
      </c>
      <c r="D585" s="1295" t="str">
        <f t="shared" si="81"/>
        <v/>
      </c>
      <c r="E585" s="1295"/>
      <c r="F585" s="1295"/>
      <c r="G585" s="831" t="str">
        <f t="shared" si="82"/>
        <v/>
      </c>
      <c r="H585" s="580"/>
      <c r="I585" s="1298"/>
      <c r="J585" s="1298"/>
      <c r="K585" s="1298"/>
      <c r="L585" s="1298"/>
      <c r="M585" s="1298"/>
      <c r="N585" s="1298"/>
      <c r="O585" s="1298"/>
      <c r="P585" s="1298"/>
    </row>
    <row r="586" spans="3:16" ht="18" hidden="1" customHeight="1">
      <c r="C586" s="599" t="str">
        <f t="shared" si="80"/>
        <v/>
      </c>
      <c r="D586" s="1295" t="str">
        <f t="shared" si="81"/>
        <v/>
      </c>
      <c r="E586" s="1295"/>
      <c r="F586" s="1295"/>
      <c r="G586" s="831" t="str">
        <f t="shared" si="82"/>
        <v/>
      </c>
      <c r="H586" s="580"/>
      <c r="I586" s="1298"/>
      <c r="J586" s="1298"/>
      <c r="K586" s="1298"/>
      <c r="L586" s="1298"/>
      <c r="M586" s="1298"/>
      <c r="N586" s="1298"/>
      <c r="O586" s="1298"/>
      <c r="P586" s="1298"/>
    </row>
    <row r="587" spans="3:16" ht="18" hidden="1" customHeight="1">
      <c r="C587" s="599" t="str">
        <f t="shared" si="80"/>
        <v/>
      </c>
      <c r="D587" s="1295" t="str">
        <f t="shared" si="81"/>
        <v/>
      </c>
      <c r="E587" s="1295"/>
      <c r="F587" s="1295"/>
      <c r="G587" s="831" t="str">
        <f t="shared" si="82"/>
        <v/>
      </c>
      <c r="H587" s="580"/>
      <c r="I587" s="1298"/>
      <c r="J587" s="1298"/>
      <c r="K587" s="1298"/>
      <c r="L587" s="1298"/>
      <c r="M587" s="1298"/>
      <c r="N587" s="1298"/>
      <c r="O587" s="1298"/>
      <c r="P587" s="1298"/>
    </row>
    <row r="588" spans="3:16" ht="18" hidden="1" customHeight="1">
      <c r="C588" s="599" t="str">
        <f t="shared" si="80"/>
        <v/>
      </c>
      <c r="D588" s="1295" t="str">
        <f t="shared" si="81"/>
        <v/>
      </c>
      <c r="E588" s="1295"/>
      <c r="F588" s="1295"/>
      <c r="G588" s="831" t="str">
        <f t="shared" si="82"/>
        <v/>
      </c>
      <c r="H588" s="580"/>
      <c r="I588" s="1298"/>
      <c r="J588" s="1298"/>
      <c r="K588" s="1298"/>
      <c r="L588" s="1298"/>
      <c r="M588" s="1298"/>
      <c r="N588" s="1298"/>
      <c r="O588" s="1298"/>
      <c r="P588" s="1298"/>
    </row>
    <row r="589" spans="3:16" ht="18" hidden="1" customHeight="1">
      <c r="C589" s="599" t="str">
        <f t="shared" si="80"/>
        <v/>
      </c>
      <c r="D589" s="1295" t="str">
        <f t="shared" si="81"/>
        <v/>
      </c>
      <c r="E589" s="1295"/>
      <c r="F589" s="1295"/>
      <c r="G589" s="831" t="str">
        <f t="shared" si="82"/>
        <v/>
      </c>
      <c r="H589" s="580"/>
      <c r="I589" s="1298"/>
      <c r="J589" s="1298"/>
      <c r="K589" s="1298"/>
      <c r="L589" s="1298"/>
      <c r="M589" s="1298"/>
      <c r="N589" s="1298"/>
      <c r="O589" s="1298"/>
      <c r="P589" s="1298"/>
    </row>
    <row r="590" spans="3:16" ht="18" hidden="1" customHeight="1">
      <c r="C590" s="599" t="str">
        <f t="shared" si="80"/>
        <v/>
      </c>
      <c r="D590" s="1295" t="str">
        <f t="shared" si="81"/>
        <v/>
      </c>
      <c r="E590" s="1295"/>
      <c r="F590" s="1295"/>
      <c r="G590" s="831" t="str">
        <f t="shared" si="82"/>
        <v/>
      </c>
      <c r="H590" s="580"/>
      <c r="I590" s="1298"/>
      <c r="J590" s="1298"/>
      <c r="K590" s="1298"/>
      <c r="L590" s="1298"/>
      <c r="M590" s="1298"/>
      <c r="N590" s="1298"/>
      <c r="O590" s="1298"/>
      <c r="P590" s="1298"/>
    </row>
    <row r="591" spans="3:16" ht="18" hidden="1" customHeight="1">
      <c r="C591" s="599" t="str">
        <f t="shared" si="80"/>
        <v/>
      </c>
      <c r="D591" s="1295" t="str">
        <f t="shared" si="81"/>
        <v/>
      </c>
      <c r="E591" s="1295"/>
      <c r="F591" s="1295"/>
      <c r="G591" s="831" t="str">
        <f t="shared" si="82"/>
        <v/>
      </c>
      <c r="H591" s="580"/>
      <c r="I591" s="1298"/>
      <c r="J591" s="1298"/>
      <c r="K591" s="1298"/>
      <c r="L591" s="1298"/>
      <c r="M591" s="1298"/>
      <c r="N591" s="1298"/>
      <c r="O591" s="1298"/>
      <c r="P591" s="1298"/>
    </row>
    <row r="592" spans="3:16" ht="18" hidden="1" customHeight="1">
      <c r="C592" s="599" t="str">
        <f t="shared" si="80"/>
        <v/>
      </c>
      <c r="D592" s="1295" t="str">
        <f t="shared" si="81"/>
        <v/>
      </c>
      <c r="E592" s="1295"/>
      <c r="F592" s="1295"/>
      <c r="G592" s="831" t="str">
        <f t="shared" si="82"/>
        <v/>
      </c>
      <c r="H592" s="580"/>
      <c r="I592" s="1298"/>
      <c r="J592" s="1298"/>
      <c r="K592" s="1298"/>
      <c r="L592" s="1298"/>
      <c r="M592" s="1298"/>
      <c r="N592" s="1298"/>
      <c r="O592" s="1298"/>
      <c r="P592" s="1298"/>
    </row>
    <row r="593" spans="3:16" ht="18" hidden="1" customHeight="1">
      <c r="C593" s="599" t="str">
        <f t="shared" ref="C593:C656" si="83">IF(A336="Si",C336,"")</f>
        <v/>
      </c>
      <c r="D593" s="1295" t="str">
        <f t="shared" ref="D593:D656" si="84">IF(A336="Si",D336,"")</f>
        <v/>
      </c>
      <c r="E593" s="1295"/>
      <c r="F593" s="1295"/>
      <c r="G593" s="831" t="str">
        <f t="shared" ref="G593:G656" si="85">IF(A336="Si",M336,"")</f>
        <v/>
      </c>
      <c r="H593" s="580"/>
      <c r="I593" s="1298"/>
      <c r="J593" s="1298"/>
      <c r="K593" s="1298"/>
      <c r="L593" s="1298"/>
      <c r="M593" s="1298"/>
      <c r="N593" s="1298"/>
      <c r="O593" s="1298"/>
      <c r="P593" s="1298"/>
    </row>
    <row r="594" spans="3:16" ht="18" hidden="1" customHeight="1">
      <c r="C594" s="599" t="str">
        <f t="shared" si="83"/>
        <v/>
      </c>
      <c r="D594" s="1295" t="str">
        <f t="shared" si="84"/>
        <v/>
      </c>
      <c r="E594" s="1295"/>
      <c r="F594" s="1295"/>
      <c r="G594" s="831" t="str">
        <f t="shared" si="85"/>
        <v/>
      </c>
      <c r="H594" s="580"/>
      <c r="I594" s="1298"/>
      <c r="J594" s="1298"/>
      <c r="K594" s="1298"/>
      <c r="L594" s="1298"/>
      <c r="M594" s="1298"/>
      <c r="N594" s="1298"/>
      <c r="O594" s="1298"/>
      <c r="P594" s="1298"/>
    </row>
    <row r="595" spans="3:16" ht="18" hidden="1" customHeight="1">
      <c r="C595" s="599" t="str">
        <f t="shared" si="83"/>
        <v/>
      </c>
      <c r="D595" s="1295" t="str">
        <f t="shared" si="84"/>
        <v/>
      </c>
      <c r="E595" s="1295"/>
      <c r="F595" s="1295"/>
      <c r="G595" s="831" t="str">
        <f t="shared" si="85"/>
        <v/>
      </c>
      <c r="H595" s="580"/>
      <c r="I595" s="1298"/>
      <c r="J595" s="1298"/>
      <c r="K595" s="1298"/>
      <c r="L595" s="1298"/>
      <c r="M595" s="1298"/>
      <c r="N595" s="1298"/>
      <c r="O595" s="1298"/>
      <c r="P595" s="1298"/>
    </row>
    <row r="596" spans="3:16" ht="18" hidden="1" customHeight="1">
      <c r="C596" s="599" t="str">
        <f t="shared" si="83"/>
        <v/>
      </c>
      <c r="D596" s="1295" t="str">
        <f t="shared" si="84"/>
        <v/>
      </c>
      <c r="E596" s="1295"/>
      <c r="F596" s="1295"/>
      <c r="G596" s="831" t="str">
        <f t="shared" si="85"/>
        <v/>
      </c>
      <c r="H596" s="580"/>
      <c r="I596" s="1298"/>
      <c r="J596" s="1298"/>
      <c r="K596" s="1298"/>
      <c r="L596" s="1298"/>
      <c r="M596" s="1298"/>
      <c r="N596" s="1298"/>
      <c r="O596" s="1298"/>
      <c r="P596" s="1298"/>
    </row>
    <row r="597" spans="3:16" ht="18" hidden="1" customHeight="1">
      <c r="C597" s="599" t="str">
        <f t="shared" si="83"/>
        <v/>
      </c>
      <c r="D597" s="1295" t="str">
        <f t="shared" si="84"/>
        <v/>
      </c>
      <c r="E597" s="1295"/>
      <c r="F597" s="1295"/>
      <c r="G597" s="831" t="str">
        <f t="shared" si="85"/>
        <v/>
      </c>
      <c r="H597" s="580"/>
      <c r="I597" s="1298"/>
      <c r="J597" s="1298"/>
      <c r="K597" s="1298"/>
      <c r="L597" s="1298"/>
      <c r="M597" s="1298"/>
      <c r="N597" s="1298"/>
      <c r="O597" s="1298"/>
      <c r="P597" s="1298"/>
    </row>
    <row r="598" spans="3:16" ht="18" hidden="1" customHeight="1">
      <c r="C598" s="599" t="str">
        <f t="shared" si="83"/>
        <v/>
      </c>
      <c r="D598" s="1295" t="str">
        <f t="shared" si="84"/>
        <v/>
      </c>
      <c r="E598" s="1295"/>
      <c r="F598" s="1295"/>
      <c r="G598" s="831" t="str">
        <f t="shared" si="85"/>
        <v/>
      </c>
      <c r="H598" s="580"/>
      <c r="I598" s="1298"/>
      <c r="J598" s="1298"/>
      <c r="K598" s="1298"/>
      <c r="L598" s="1298"/>
      <c r="M598" s="1298"/>
      <c r="N598" s="1298"/>
      <c r="O598" s="1298"/>
      <c r="P598" s="1298"/>
    </row>
    <row r="599" spans="3:16" ht="18" hidden="1" customHeight="1">
      <c r="C599" s="599" t="str">
        <f t="shared" si="83"/>
        <v/>
      </c>
      <c r="D599" s="1295" t="str">
        <f t="shared" si="84"/>
        <v/>
      </c>
      <c r="E599" s="1295"/>
      <c r="F599" s="1295"/>
      <c r="G599" s="831" t="str">
        <f t="shared" si="85"/>
        <v/>
      </c>
      <c r="H599" s="580"/>
      <c r="I599" s="1298"/>
      <c r="J599" s="1298"/>
      <c r="K599" s="1298"/>
      <c r="L599" s="1298"/>
      <c r="M599" s="1298"/>
      <c r="N599" s="1298"/>
      <c r="O599" s="1298"/>
      <c r="P599" s="1298"/>
    </row>
    <row r="600" spans="3:16" ht="18" hidden="1" customHeight="1">
      <c r="C600" s="599" t="str">
        <f t="shared" si="83"/>
        <v/>
      </c>
      <c r="D600" s="1295" t="str">
        <f t="shared" si="84"/>
        <v/>
      </c>
      <c r="E600" s="1295"/>
      <c r="F600" s="1295"/>
      <c r="G600" s="831" t="str">
        <f t="shared" si="85"/>
        <v/>
      </c>
      <c r="H600" s="580"/>
      <c r="I600" s="1298"/>
      <c r="J600" s="1298"/>
      <c r="K600" s="1298"/>
      <c r="L600" s="1298"/>
      <c r="M600" s="1298"/>
      <c r="N600" s="1298"/>
      <c r="O600" s="1298"/>
      <c r="P600" s="1298"/>
    </row>
    <row r="601" spans="3:16" ht="18" hidden="1" customHeight="1">
      <c r="C601" s="599" t="str">
        <f t="shared" si="83"/>
        <v/>
      </c>
      <c r="D601" s="1295" t="str">
        <f t="shared" si="84"/>
        <v/>
      </c>
      <c r="E601" s="1295"/>
      <c r="F601" s="1295"/>
      <c r="G601" s="831" t="str">
        <f t="shared" si="85"/>
        <v/>
      </c>
      <c r="H601" s="580"/>
      <c r="I601" s="1298"/>
      <c r="J601" s="1298"/>
      <c r="K601" s="1298"/>
      <c r="L601" s="1298"/>
      <c r="M601" s="1298"/>
      <c r="N601" s="1298"/>
      <c r="O601" s="1298"/>
      <c r="P601" s="1298"/>
    </row>
    <row r="602" spans="3:16" ht="18" hidden="1" customHeight="1">
      <c r="C602" s="599" t="str">
        <f t="shared" si="83"/>
        <v/>
      </c>
      <c r="D602" s="1295" t="str">
        <f t="shared" si="84"/>
        <v/>
      </c>
      <c r="E602" s="1295"/>
      <c r="F602" s="1295"/>
      <c r="G602" s="831" t="str">
        <f t="shared" si="85"/>
        <v/>
      </c>
      <c r="H602" s="580"/>
      <c r="I602" s="1298"/>
      <c r="J602" s="1298"/>
      <c r="K602" s="1298"/>
      <c r="L602" s="1298"/>
      <c r="M602" s="1298"/>
      <c r="N602" s="1298"/>
      <c r="O602" s="1298"/>
      <c r="P602" s="1298"/>
    </row>
    <row r="603" spans="3:16" ht="18" hidden="1" customHeight="1">
      <c r="C603" s="599" t="str">
        <f t="shared" si="83"/>
        <v/>
      </c>
      <c r="D603" s="1295" t="str">
        <f t="shared" si="84"/>
        <v/>
      </c>
      <c r="E603" s="1295"/>
      <c r="F603" s="1295"/>
      <c r="G603" s="831" t="str">
        <f t="shared" si="85"/>
        <v/>
      </c>
      <c r="H603" s="580"/>
      <c r="I603" s="1298"/>
      <c r="J603" s="1298"/>
      <c r="K603" s="1298"/>
      <c r="L603" s="1298"/>
      <c r="M603" s="1298"/>
      <c r="N603" s="1298"/>
      <c r="O603" s="1298"/>
      <c r="P603" s="1298"/>
    </row>
    <row r="604" spans="3:16" ht="18" hidden="1" customHeight="1">
      <c r="C604" s="599" t="str">
        <f t="shared" si="83"/>
        <v/>
      </c>
      <c r="D604" s="1295" t="str">
        <f t="shared" si="84"/>
        <v/>
      </c>
      <c r="E604" s="1295"/>
      <c r="F604" s="1295"/>
      <c r="G604" s="831" t="str">
        <f t="shared" si="85"/>
        <v/>
      </c>
      <c r="H604" s="580"/>
      <c r="I604" s="1298"/>
      <c r="J604" s="1298"/>
      <c r="K604" s="1298"/>
      <c r="L604" s="1298"/>
      <c r="M604" s="1298"/>
      <c r="N604" s="1298"/>
      <c r="O604" s="1298"/>
      <c r="P604" s="1298"/>
    </row>
    <row r="605" spans="3:16" ht="18" hidden="1" customHeight="1">
      <c r="C605" s="599" t="str">
        <f t="shared" si="83"/>
        <v/>
      </c>
      <c r="D605" s="1295" t="str">
        <f t="shared" si="84"/>
        <v/>
      </c>
      <c r="E605" s="1295"/>
      <c r="F605" s="1295"/>
      <c r="G605" s="831" t="str">
        <f t="shared" si="85"/>
        <v/>
      </c>
      <c r="H605" s="580"/>
      <c r="I605" s="1298"/>
      <c r="J605" s="1298"/>
      <c r="K605" s="1298"/>
      <c r="L605" s="1298"/>
      <c r="M605" s="1298"/>
      <c r="N605" s="1298"/>
      <c r="O605" s="1298"/>
      <c r="P605" s="1298"/>
    </row>
    <row r="606" spans="3:16" ht="18" hidden="1" customHeight="1">
      <c r="C606" s="599" t="str">
        <f t="shared" si="83"/>
        <v/>
      </c>
      <c r="D606" s="1295" t="str">
        <f t="shared" si="84"/>
        <v/>
      </c>
      <c r="E606" s="1295"/>
      <c r="F606" s="1295"/>
      <c r="G606" s="831" t="str">
        <f t="shared" si="85"/>
        <v/>
      </c>
      <c r="H606" s="580"/>
      <c r="I606" s="1298"/>
      <c r="J606" s="1298"/>
      <c r="K606" s="1298"/>
      <c r="L606" s="1298"/>
      <c r="M606" s="1298"/>
      <c r="N606" s="1298"/>
      <c r="O606" s="1298"/>
      <c r="P606" s="1298"/>
    </row>
    <row r="607" spans="3:16" ht="18" hidden="1" customHeight="1">
      <c r="C607" s="599" t="str">
        <f t="shared" si="83"/>
        <v/>
      </c>
      <c r="D607" s="1295" t="str">
        <f t="shared" si="84"/>
        <v/>
      </c>
      <c r="E607" s="1295"/>
      <c r="F607" s="1295"/>
      <c r="G607" s="831" t="str">
        <f t="shared" si="85"/>
        <v/>
      </c>
      <c r="H607" s="580"/>
      <c r="I607" s="1298"/>
      <c r="J607" s="1298"/>
      <c r="K607" s="1298"/>
      <c r="L607" s="1298"/>
      <c r="M607" s="1298"/>
      <c r="N607" s="1298"/>
      <c r="O607" s="1298"/>
      <c r="P607" s="1298"/>
    </row>
    <row r="608" spans="3:16" ht="18" hidden="1" customHeight="1">
      <c r="C608" s="599" t="str">
        <f t="shared" si="83"/>
        <v/>
      </c>
      <c r="D608" s="1295" t="str">
        <f t="shared" si="84"/>
        <v/>
      </c>
      <c r="E608" s="1295"/>
      <c r="F608" s="1295"/>
      <c r="G608" s="831" t="str">
        <f t="shared" si="85"/>
        <v/>
      </c>
      <c r="H608" s="580"/>
      <c r="I608" s="1298"/>
      <c r="J608" s="1298"/>
      <c r="K608" s="1298"/>
      <c r="L608" s="1298"/>
      <c r="M608" s="1298"/>
      <c r="N608" s="1298"/>
      <c r="O608" s="1298"/>
      <c r="P608" s="1298"/>
    </row>
    <row r="609" spans="3:16" ht="18" hidden="1" customHeight="1">
      <c r="C609" s="599" t="str">
        <f t="shared" si="83"/>
        <v/>
      </c>
      <c r="D609" s="1295" t="str">
        <f t="shared" si="84"/>
        <v/>
      </c>
      <c r="E609" s="1295"/>
      <c r="F609" s="1295"/>
      <c r="G609" s="831" t="str">
        <f t="shared" si="85"/>
        <v/>
      </c>
      <c r="H609" s="580"/>
      <c r="I609" s="1298"/>
      <c r="J609" s="1298"/>
      <c r="K609" s="1298"/>
      <c r="L609" s="1298"/>
      <c r="M609" s="1298"/>
      <c r="N609" s="1298"/>
      <c r="O609" s="1298"/>
      <c r="P609" s="1298"/>
    </row>
    <row r="610" spans="3:16" ht="18" hidden="1" customHeight="1">
      <c r="C610" s="599" t="str">
        <f t="shared" si="83"/>
        <v/>
      </c>
      <c r="D610" s="1295" t="str">
        <f t="shared" si="84"/>
        <v/>
      </c>
      <c r="E610" s="1295"/>
      <c r="F610" s="1295"/>
      <c r="G610" s="831" t="str">
        <f t="shared" si="85"/>
        <v/>
      </c>
      <c r="H610" s="580"/>
      <c r="I610" s="1298"/>
      <c r="J610" s="1298"/>
      <c r="K610" s="1298"/>
      <c r="L610" s="1298"/>
      <c r="M610" s="1298"/>
      <c r="N610" s="1298"/>
      <c r="O610" s="1298"/>
      <c r="P610" s="1298"/>
    </row>
    <row r="611" spans="3:16" ht="18" hidden="1" customHeight="1">
      <c r="C611" s="599" t="str">
        <f t="shared" si="83"/>
        <v/>
      </c>
      <c r="D611" s="1295" t="str">
        <f t="shared" si="84"/>
        <v/>
      </c>
      <c r="E611" s="1295"/>
      <c r="F611" s="1295"/>
      <c r="G611" s="831" t="str">
        <f t="shared" si="85"/>
        <v/>
      </c>
      <c r="H611" s="580"/>
      <c r="I611" s="1298"/>
      <c r="J611" s="1298"/>
      <c r="K611" s="1298"/>
      <c r="L611" s="1298"/>
      <c r="M611" s="1298"/>
      <c r="N611" s="1298"/>
      <c r="O611" s="1298"/>
      <c r="P611" s="1298"/>
    </row>
    <row r="612" spans="3:16" ht="18" hidden="1" customHeight="1">
      <c r="C612" s="599" t="str">
        <f t="shared" si="83"/>
        <v/>
      </c>
      <c r="D612" s="1295" t="str">
        <f t="shared" si="84"/>
        <v/>
      </c>
      <c r="E612" s="1295"/>
      <c r="F612" s="1295"/>
      <c r="G612" s="831" t="str">
        <f t="shared" si="85"/>
        <v/>
      </c>
      <c r="H612" s="580"/>
      <c r="I612" s="1298"/>
      <c r="J612" s="1298"/>
      <c r="K612" s="1298"/>
      <c r="L612" s="1298"/>
      <c r="M612" s="1298"/>
      <c r="N612" s="1298"/>
      <c r="O612" s="1298"/>
      <c r="P612" s="1298"/>
    </row>
    <row r="613" spans="3:16" ht="18" hidden="1" customHeight="1">
      <c r="C613" s="599" t="str">
        <f t="shared" si="83"/>
        <v/>
      </c>
      <c r="D613" s="1295" t="str">
        <f t="shared" si="84"/>
        <v/>
      </c>
      <c r="E613" s="1295"/>
      <c r="F613" s="1295"/>
      <c r="G613" s="831" t="str">
        <f t="shared" si="85"/>
        <v/>
      </c>
      <c r="H613" s="580"/>
      <c r="I613" s="1298"/>
      <c r="J613" s="1298"/>
      <c r="K613" s="1298"/>
      <c r="L613" s="1298"/>
      <c r="M613" s="1298"/>
      <c r="N613" s="1298"/>
      <c r="O613" s="1298"/>
      <c r="P613" s="1298"/>
    </row>
    <row r="614" spans="3:16" ht="18" hidden="1" customHeight="1">
      <c r="C614" s="599" t="str">
        <f t="shared" si="83"/>
        <v/>
      </c>
      <c r="D614" s="1295" t="str">
        <f t="shared" si="84"/>
        <v/>
      </c>
      <c r="E614" s="1295"/>
      <c r="F614" s="1295"/>
      <c r="G614" s="831" t="str">
        <f t="shared" si="85"/>
        <v/>
      </c>
      <c r="H614" s="580"/>
      <c r="I614" s="1298"/>
      <c r="J614" s="1298"/>
      <c r="K614" s="1298"/>
      <c r="L614" s="1298"/>
      <c r="M614" s="1298"/>
      <c r="N614" s="1298"/>
      <c r="O614" s="1298"/>
      <c r="P614" s="1298"/>
    </row>
    <row r="615" spans="3:16" ht="18" hidden="1" customHeight="1">
      <c r="C615" s="599" t="str">
        <f t="shared" si="83"/>
        <v/>
      </c>
      <c r="D615" s="1295" t="str">
        <f t="shared" si="84"/>
        <v/>
      </c>
      <c r="E615" s="1295"/>
      <c r="F615" s="1295"/>
      <c r="G615" s="831" t="str">
        <f t="shared" si="85"/>
        <v/>
      </c>
      <c r="H615" s="580"/>
      <c r="I615" s="1298"/>
      <c r="J615" s="1298"/>
      <c r="K615" s="1298"/>
      <c r="L615" s="1298"/>
      <c r="M615" s="1298"/>
      <c r="N615" s="1298"/>
      <c r="O615" s="1298"/>
      <c r="P615" s="1298"/>
    </row>
    <row r="616" spans="3:16" ht="18" hidden="1" customHeight="1">
      <c r="C616" s="599" t="str">
        <f t="shared" si="83"/>
        <v/>
      </c>
      <c r="D616" s="1295" t="str">
        <f t="shared" si="84"/>
        <v/>
      </c>
      <c r="E616" s="1295"/>
      <c r="F616" s="1295"/>
      <c r="G616" s="831" t="str">
        <f t="shared" si="85"/>
        <v/>
      </c>
      <c r="H616" s="580"/>
      <c r="I616" s="1298"/>
      <c r="J616" s="1298"/>
      <c r="K616" s="1298"/>
      <c r="L616" s="1298"/>
      <c r="M616" s="1298"/>
      <c r="N616" s="1298"/>
      <c r="O616" s="1298"/>
      <c r="P616" s="1298"/>
    </row>
    <row r="617" spans="3:16" ht="18" hidden="1" customHeight="1">
      <c r="C617" s="599" t="str">
        <f t="shared" si="83"/>
        <v/>
      </c>
      <c r="D617" s="1295" t="str">
        <f t="shared" si="84"/>
        <v/>
      </c>
      <c r="E617" s="1295"/>
      <c r="F617" s="1295"/>
      <c r="G617" s="831" t="str">
        <f t="shared" si="85"/>
        <v/>
      </c>
      <c r="H617" s="580"/>
      <c r="I617" s="1298"/>
      <c r="J617" s="1298"/>
      <c r="K617" s="1298"/>
      <c r="L617" s="1298"/>
      <c r="M617" s="1298"/>
      <c r="N617" s="1298"/>
      <c r="O617" s="1298"/>
      <c r="P617" s="1298"/>
    </row>
    <row r="618" spans="3:16" ht="18" hidden="1" customHeight="1">
      <c r="C618" s="599" t="str">
        <f t="shared" si="83"/>
        <v/>
      </c>
      <c r="D618" s="1295" t="str">
        <f t="shared" si="84"/>
        <v/>
      </c>
      <c r="E618" s="1295"/>
      <c r="F618" s="1295"/>
      <c r="G618" s="831" t="str">
        <f t="shared" si="85"/>
        <v/>
      </c>
      <c r="H618" s="580"/>
      <c r="I618" s="1298"/>
      <c r="J618" s="1298"/>
      <c r="K618" s="1298"/>
      <c r="L618" s="1298"/>
      <c r="M618" s="1298"/>
      <c r="N618" s="1298"/>
      <c r="O618" s="1298"/>
      <c r="P618" s="1298"/>
    </row>
    <row r="619" spans="3:16" ht="18" hidden="1" customHeight="1">
      <c r="C619" s="599" t="str">
        <f t="shared" si="83"/>
        <v/>
      </c>
      <c r="D619" s="1295" t="str">
        <f t="shared" si="84"/>
        <v/>
      </c>
      <c r="E619" s="1295"/>
      <c r="F619" s="1295"/>
      <c r="G619" s="831" t="str">
        <f t="shared" si="85"/>
        <v/>
      </c>
      <c r="H619" s="580"/>
      <c r="I619" s="1298"/>
      <c r="J619" s="1298"/>
      <c r="K619" s="1298"/>
      <c r="L619" s="1298"/>
      <c r="M619" s="1298"/>
      <c r="N619" s="1298"/>
      <c r="O619" s="1298"/>
      <c r="P619" s="1298"/>
    </row>
    <row r="620" spans="3:16" ht="18" hidden="1" customHeight="1">
      <c r="C620" s="599" t="str">
        <f t="shared" si="83"/>
        <v/>
      </c>
      <c r="D620" s="1295" t="str">
        <f t="shared" si="84"/>
        <v/>
      </c>
      <c r="E620" s="1295"/>
      <c r="F620" s="1295"/>
      <c r="G620" s="831" t="str">
        <f t="shared" si="85"/>
        <v/>
      </c>
      <c r="H620" s="580"/>
      <c r="I620" s="1298"/>
      <c r="J620" s="1298"/>
      <c r="K620" s="1298"/>
      <c r="L620" s="1298"/>
      <c r="M620" s="1298"/>
      <c r="N620" s="1298"/>
      <c r="O620" s="1298"/>
      <c r="P620" s="1298"/>
    </row>
    <row r="621" spans="3:16" ht="18" hidden="1" customHeight="1">
      <c r="C621" s="599" t="str">
        <f t="shared" si="83"/>
        <v/>
      </c>
      <c r="D621" s="1295" t="str">
        <f t="shared" si="84"/>
        <v/>
      </c>
      <c r="E621" s="1295"/>
      <c r="F621" s="1295"/>
      <c r="G621" s="831" t="str">
        <f t="shared" si="85"/>
        <v/>
      </c>
      <c r="H621" s="580"/>
      <c r="I621" s="1298"/>
      <c r="J621" s="1298"/>
      <c r="K621" s="1298"/>
      <c r="L621" s="1298"/>
      <c r="M621" s="1298"/>
      <c r="N621" s="1298"/>
      <c r="O621" s="1298"/>
      <c r="P621" s="1298"/>
    </row>
    <row r="622" spans="3:16" ht="18" hidden="1" customHeight="1">
      <c r="C622" s="599" t="str">
        <f t="shared" si="83"/>
        <v/>
      </c>
      <c r="D622" s="1295" t="str">
        <f t="shared" si="84"/>
        <v/>
      </c>
      <c r="E622" s="1295"/>
      <c r="F622" s="1295"/>
      <c r="G622" s="831" t="str">
        <f t="shared" si="85"/>
        <v/>
      </c>
      <c r="H622" s="580"/>
      <c r="I622" s="1298"/>
      <c r="J622" s="1298"/>
      <c r="K622" s="1298"/>
      <c r="L622" s="1298"/>
      <c r="M622" s="1298"/>
      <c r="N622" s="1298"/>
      <c r="O622" s="1298"/>
      <c r="P622" s="1298"/>
    </row>
    <row r="623" spans="3:16" ht="18" hidden="1" customHeight="1">
      <c r="C623" s="599" t="str">
        <f t="shared" si="83"/>
        <v/>
      </c>
      <c r="D623" s="1295" t="str">
        <f t="shared" si="84"/>
        <v/>
      </c>
      <c r="E623" s="1295"/>
      <c r="F623" s="1295"/>
      <c r="G623" s="831" t="str">
        <f t="shared" si="85"/>
        <v/>
      </c>
      <c r="H623" s="580"/>
      <c r="I623" s="1298"/>
      <c r="J623" s="1298"/>
      <c r="K623" s="1298"/>
      <c r="L623" s="1298"/>
      <c r="M623" s="1298"/>
      <c r="N623" s="1298"/>
      <c r="O623" s="1298"/>
      <c r="P623" s="1298"/>
    </row>
    <row r="624" spans="3:16" ht="18" hidden="1" customHeight="1">
      <c r="C624" s="599" t="str">
        <f t="shared" si="83"/>
        <v/>
      </c>
      <c r="D624" s="1295" t="str">
        <f t="shared" si="84"/>
        <v/>
      </c>
      <c r="E624" s="1295"/>
      <c r="F624" s="1295"/>
      <c r="G624" s="831" t="str">
        <f t="shared" si="85"/>
        <v/>
      </c>
      <c r="H624" s="580"/>
      <c r="I624" s="1298"/>
      <c r="J624" s="1298"/>
      <c r="K624" s="1298"/>
      <c r="L624" s="1298"/>
      <c r="M624" s="1298"/>
      <c r="N624" s="1298"/>
      <c r="O624" s="1298"/>
      <c r="P624" s="1298"/>
    </row>
    <row r="625" spans="3:16" ht="18" hidden="1" customHeight="1">
      <c r="C625" s="599" t="str">
        <f t="shared" si="83"/>
        <v/>
      </c>
      <c r="D625" s="1295" t="str">
        <f t="shared" si="84"/>
        <v/>
      </c>
      <c r="E625" s="1295"/>
      <c r="F625" s="1295"/>
      <c r="G625" s="831" t="str">
        <f t="shared" si="85"/>
        <v/>
      </c>
      <c r="H625" s="580"/>
      <c r="I625" s="1298"/>
      <c r="J625" s="1298"/>
      <c r="K625" s="1298"/>
      <c r="L625" s="1298"/>
      <c r="M625" s="1298"/>
      <c r="N625" s="1298"/>
      <c r="O625" s="1298"/>
      <c r="P625" s="1298"/>
    </row>
    <row r="626" spans="3:16" ht="18" hidden="1" customHeight="1">
      <c r="C626" s="599" t="str">
        <f t="shared" si="83"/>
        <v/>
      </c>
      <c r="D626" s="1295" t="str">
        <f t="shared" si="84"/>
        <v/>
      </c>
      <c r="E626" s="1295"/>
      <c r="F626" s="1295"/>
      <c r="G626" s="831" t="str">
        <f t="shared" si="85"/>
        <v/>
      </c>
      <c r="H626" s="580"/>
      <c r="I626" s="1298"/>
      <c r="J626" s="1298"/>
      <c r="K626" s="1298"/>
      <c r="L626" s="1298"/>
      <c r="M626" s="1298"/>
      <c r="N626" s="1298"/>
      <c r="O626" s="1298"/>
      <c r="P626" s="1298"/>
    </row>
    <row r="627" spans="3:16" ht="18" hidden="1" customHeight="1">
      <c r="C627" s="599" t="str">
        <f t="shared" si="83"/>
        <v/>
      </c>
      <c r="D627" s="1295" t="str">
        <f t="shared" si="84"/>
        <v/>
      </c>
      <c r="E627" s="1295"/>
      <c r="F627" s="1295"/>
      <c r="G627" s="831" t="str">
        <f t="shared" si="85"/>
        <v/>
      </c>
      <c r="H627" s="580"/>
      <c r="I627" s="1298"/>
      <c r="J627" s="1298"/>
      <c r="K627" s="1298"/>
      <c r="L627" s="1298"/>
      <c r="M627" s="1298"/>
      <c r="N627" s="1298"/>
      <c r="O627" s="1298"/>
      <c r="P627" s="1298"/>
    </row>
    <row r="628" spans="3:16" ht="18" hidden="1" customHeight="1">
      <c r="C628" s="599" t="str">
        <f t="shared" si="83"/>
        <v/>
      </c>
      <c r="D628" s="1295" t="str">
        <f t="shared" si="84"/>
        <v/>
      </c>
      <c r="E628" s="1295"/>
      <c r="F628" s="1295"/>
      <c r="G628" s="831" t="str">
        <f t="shared" si="85"/>
        <v/>
      </c>
      <c r="H628" s="580"/>
      <c r="I628" s="1298"/>
      <c r="J628" s="1298"/>
      <c r="K628" s="1298"/>
      <c r="L628" s="1298"/>
      <c r="M628" s="1298"/>
      <c r="N628" s="1298"/>
      <c r="O628" s="1298"/>
      <c r="P628" s="1298"/>
    </row>
    <row r="629" spans="3:16" ht="18" hidden="1" customHeight="1">
      <c r="C629" s="599" t="str">
        <f t="shared" si="83"/>
        <v/>
      </c>
      <c r="D629" s="1295" t="str">
        <f t="shared" si="84"/>
        <v/>
      </c>
      <c r="E629" s="1295"/>
      <c r="F629" s="1295"/>
      <c r="G629" s="831" t="str">
        <f t="shared" si="85"/>
        <v/>
      </c>
      <c r="H629" s="580"/>
      <c r="I629" s="1298"/>
      <c r="J629" s="1298"/>
      <c r="K629" s="1298"/>
      <c r="L629" s="1298"/>
      <c r="M629" s="1298"/>
      <c r="N629" s="1298"/>
      <c r="O629" s="1298"/>
      <c r="P629" s="1298"/>
    </row>
    <row r="630" spans="3:16" ht="18" hidden="1" customHeight="1">
      <c r="C630" s="599" t="str">
        <f t="shared" si="83"/>
        <v/>
      </c>
      <c r="D630" s="1295" t="str">
        <f t="shared" si="84"/>
        <v/>
      </c>
      <c r="E630" s="1295"/>
      <c r="F630" s="1295"/>
      <c r="G630" s="831" t="str">
        <f t="shared" si="85"/>
        <v/>
      </c>
      <c r="H630" s="580"/>
      <c r="I630" s="1298"/>
      <c r="J630" s="1298"/>
      <c r="K630" s="1298"/>
      <c r="L630" s="1298"/>
      <c r="M630" s="1298"/>
      <c r="N630" s="1298"/>
      <c r="O630" s="1298"/>
      <c r="P630" s="1298"/>
    </row>
    <row r="631" spans="3:16" ht="18" hidden="1" customHeight="1">
      <c r="C631" s="599" t="str">
        <f t="shared" si="83"/>
        <v/>
      </c>
      <c r="D631" s="1295" t="str">
        <f t="shared" si="84"/>
        <v/>
      </c>
      <c r="E631" s="1295"/>
      <c r="F631" s="1295"/>
      <c r="G631" s="831" t="str">
        <f t="shared" si="85"/>
        <v/>
      </c>
      <c r="H631" s="580"/>
      <c r="I631" s="1298"/>
      <c r="J631" s="1298"/>
      <c r="K631" s="1298"/>
      <c r="L631" s="1298"/>
      <c r="M631" s="1298"/>
      <c r="N631" s="1298"/>
      <c r="O631" s="1298"/>
      <c r="P631" s="1298"/>
    </row>
    <row r="632" spans="3:16" ht="18" hidden="1" customHeight="1">
      <c r="C632" s="599" t="str">
        <f t="shared" si="83"/>
        <v/>
      </c>
      <c r="D632" s="1295" t="str">
        <f t="shared" si="84"/>
        <v/>
      </c>
      <c r="E632" s="1295"/>
      <c r="F632" s="1295"/>
      <c r="G632" s="831" t="str">
        <f t="shared" si="85"/>
        <v/>
      </c>
      <c r="H632" s="580"/>
      <c r="I632" s="1298"/>
      <c r="J632" s="1298"/>
      <c r="K632" s="1298"/>
      <c r="L632" s="1298"/>
      <c r="M632" s="1298"/>
      <c r="N632" s="1298"/>
      <c r="O632" s="1298"/>
      <c r="P632" s="1298"/>
    </row>
    <row r="633" spans="3:16" ht="18" hidden="1" customHeight="1">
      <c r="C633" s="599" t="str">
        <f t="shared" si="83"/>
        <v/>
      </c>
      <c r="D633" s="1295" t="str">
        <f t="shared" si="84"/>
        <v/>
      </c>
      <c r="E633" s="1295"/>
      <c r="F633" s="1295"/>
      <c r="G633" s="831" t="str">
        <f t="shared" si="85"/>
        <v/>
      </c>
      <c r="H633" s="580"/>
      <c r="I633" s="1298"/>
      <c r="J633" s="1298"/>
      <c r="K633" s="1298"/>
      <c r="L633" s="1298"/>
      <c r="M633" s="1298"/>
      <c r="N633" s="1298"/>
      <c r="O633" s="1298"/>
      <c r="P633" s="1298"/>
    </row>
    <row r="634" spans="3:16" ht="18" hidden="1" customHeight="1">
      <c r="C634" s="599" t="str">
        <f t="shared" si="83"/>
        <v/>
      </c>
      <c r="D634" s="1295" t="str">
        <f t="shared" si="84"/>
        <v/>
      </c>
      <c r="E634" s="1295"/>
      <c r="F634" s="1295"/>
      <c r="G634" s="831" t="str">
        <f t="shared" si="85"/>
        <v/>
      </c>
      <c r="H634" s="580"/>
      <c r="I634" s="1298"/>
      <c r="J634" s="1298"/>
      <c r="K634" s="1298"/>
      <c r="L634" s="1298"/>
      <c r="M634" s="1298"/>
      <c r="N634" s="1298"/>
      <c r="O634" s="1298"/>
      <c r="P634" s="1298"/>
    </row>
    <row r="635" spans="3:16" ht="18" hidden="1" customHeight="1">
      <c r="C635" s="599" t="str">
        <f t="shared" si="83"/>
        <v/>
      </c>
      <c r="D635" s="1295" t="str">
        <f t="shared" si="84"/>
        <v/>
      </c>
      <c r="E635" s="1295"/>
      <c r="F635" s="1295"/>
      <c r="G635" s="831" t="str">
        <f t="shared" si="85"/>
        <v/>
      </c>
      <c r="H635" s="580"/>
      <c r="I635" s="1298"/>
      <c r="J635" s="1298"/>
      <c r="K635" s="1298"/>
      <c r="L635" s="1298"/>
      <c r="M635" s="1298"/>
      <c r="N635" s="1298"/>
      <c r="O635" s="1298"/>
      <c r="P635" s="1298"/>
    </row>
    <row r="636" spans="3:16" ht="18" hidden="1" customHeight="1">
      <c r="C636" s="599" t="str">
        <f t="shared" si="83"/>
        <v/>
      </c>
      <c r="D636" s="1295" t="str">
        <f t="shared" si="84"/>
        <v/>
      </c>
      <c r="E636" s="1295"/>
      <c r="F636" s="1295"/>
      <c r="G636" s="831" t="str">
        <f t="shared" si="85"/>
        <v/>
      </c>
      <c r="H636" s="580"/>
      <c r="I636" s="1298"/>
      <c r="J636" s="1298"/>
      <c r="K636" s="1298"/>
      <c r="L636" s="1298"/>
      <c r="M636" s="1298"/>
      <c r="N636" s="1298"/>
      <c r="O636" s="1298"/>
      <c r="P636" s="1298"/>
    </row>
    <row r="637" spans="3:16" ht="18" hidden="1" customHeight="1">
      <c r="C637" s="599" t="str">
        <f t="shared" si="83"/>
        <v/>
      </c>
      <c r="D637" s="1295" t="str">
        <f t="shared" si="84"/>
        <v/>
      </c>
      <c r="E637" s="1295"/>
      <c r="F637" s="1295"/>
      <c r="G637" s="831" t="str">
        <f t="shared" si="85"/>
        <v/>
      </c>
      <c r="H637" s="580"/>
      <c r="I637" s="1298"/>
      <c r="J637" s="1298"/>
      <c r="K637" s="1298"/>
      <c r="L637" s="1298"/>
      <c r="M637" s="1298"/>
      <c r="N637" s="1298"/>
      <c r="O637" s="1298"/>
      <c r="P637" s="1298"/>
    </row>
    <row r="638" spans="3:16" ht="18" hidden="1" customHeight="1">
      <c r="C638" s="599" t="str">
        <f t="shared" si="83"/>
        <v/>
      </c>
      <c r="D638" s="1295" t="str">
        <f t="shared" si="84"/>
        <v/>
      </c>
      <c r="E638" s="1295"/>
      <c r="F638" s="1295"/>
      <c r="G638" s="831" t="str">
        <f t="shared" si="85"/>
        <v/>
      </c>
      <c r="H638" s="580"/>
      <c r="I638" s="1298"/>
      <c r="J638" s="1298"/>
      <c r="K638" s="1298"/>
      <c r="L638" s="1298"/>
      <c r="M638" s="1298"/>
      <c r="N638" s="1298"/>
      <c r="O638" s="1298"/>
      <c r="P638" s="1298"/>
    </row>
    <row r="639" spans="3:16" ht="18" hidden="1" customHeight="1">
      <c r="C639" s="599" t="str">
        <f t="shared" si="83"/>
        <v/>
      </c>
      <c r="D639" s="1295" t="str">
        <f t="shared" si="84"/>
        <v/>
      </c>
      <c r="E639" s="1295"/>
      <c r="F639" s="1295"/>
      <c r="G639" s="831" t="str">
        <f t="shared" si="85"/>
        <v/>
      </c>
      <c r="H639" s="580"/>
      <c r="I639" s="1298"/>
      <c r="J639" s="1298"/>
      <c r="K639" s="1298"/>
      <c r="L639" s="1298"/>
      <c r="M639" s="1298"/>
      <c r="N639" s="1298"/>
      <c r="O639" s="1298"/>
      <c r="P639" s="1298"/>
    </row>
    <row r="640" spans="3:16" ht="18" hidden="1" customHeight="1">
      <c r="C640" s="599" t="str">
        <f t="shared" si="83"/>
        <v/>
      </c>
      <c r="D640" s="1295" t="str">
        <f t="shared" si="84"/>
        <v/>
      </c>
      <c r="E640" s="1295"/>
      <c r="F640" s="1295"/>
      <c r="G640" s="831" t="str">
        <f t="shared" si="85"/>
        <v/>
      </c>
      <c r="H640" s="580"/>
      <c r="I640" s="1298"/>
      <c r="J640" s="1298"/>
      <c r="K640" s="1298"/>
      <c r="L640" s="1298"/>
      <c r="M640" s="1298"/>
      <c r="N640" s="1298"/>
      <c r="O640" s="1298"/>
      <c r="P640" s="1298"/>
    </row>
    <row r="641" spans="3:16" ht="18" hidden="1" customHeight="1">
      <c r="C641" s="599" t="str">
        <f t="shared" si="83"/>
        <v/>
      </c>
      <c r="D641" s="1295" t="str">
        <f t="shared" si="84"/>
        <v/>
      </c>
      <c r="E641" s="1295"/>
      <c r="F641" s="1295"/>
      <c r="G641" s="831" t="str">
        <f t="shared" si="85"/>
        <v/>
      </c>
      <c r="H641" s="580"/>
      <c r="I641" s="1298"/>
      <c r="J641" s="1298"/>
      <c r="K641" s="1298"/>
      <c r="L641" s="1298"/>
      <c r="M641" s="1298"/>
      <c r="N641" s="1298"/>
      <c r="O641" s="1298"/>
      <c r="P641" s="1298"/>
    </row>
    <row r="642" spans="3:16" ht="18" hidden="1" customHeight="1">
      <c r="C642" s="599" t="str">
        <f t="shared" si="83"/>
        <v/>
      </c>
      <c r="D642" s="1295" t="str">
        <f t="shared" si="84"/>
        <v/>
      </c>
      <c r="E642" s="1295"/>
      <c r="F642" s="1295"/>
      <c r="G642" s="831" t="str">
        <f t="shared" si="85"/>
        <v/>
      </c>
      <c r="H642" s="580"/>
      <c r="I642" s="1298"/>
      <c r="J642" s="1298"/>
      <c r="K642" s="1298"/>
      <c r="L642" s="1298"/>
      <c r="M642" s="1298"/>
      <c r="N642" s="1298"/>
      <c r="O642" s="1298"/>
      <c r="P642" s="1298"/>
    </row>
    <row r="643" spans="3:16" ht="18" hidden="1" customHeight="1">
      <c r="C643" s="599" t="str">
        <f t="shared" si="83"/>
        <v/>
      </c>
      <c r="D643" s="1295" t="str">
        <f t="shared" si="84"/>
        <v/>
      </c>
      <c r="E643" s="1295"/>
      <c r="F643" s="1295"/>
      <c r="G643" s="831" t="str">
        <f t="shared" si="85"/>
        <v/>
      </c>
      <c r="H643" s="580"/>
      <c r="I643" s="1298"/>
      <c r="J643" s="1298"/>
      <c r="K643" s="1298"/>
      <c r="L643" s="1298"/>
      <c r="M643" s="1298"/>
      <c r="N643" s="1298"/>
      <c r="O643" s="1298"/>
      <c r="P643" s="1298"/>
    </row>
    <row r="644" spans="3:16" ht="18" hidden="1" customHeight="1">
      <c r="C644" s="599" t="str">
        <f t="shared" si="83"/>
        <v/>
      </c>
      <c r="D644" s="1295" t="str">
        <f t="shared" si="84"/>
        <v/>
      </c>
      <c r="E644" s="1295"/>
      <c r="F644" s="1295"/>
      <c r="G644" s="831" t="str">
        <f t="shared" si="85"/>
        <v/>
      </c>
      <c r="H644" s="580"/>
      <c r="I644" s="1298"/>
      <c r="J644" s="1298"/>
      <c r="K644" s="1298"/>
      <c r="L644" s="1298"/>
      <c r="M644" s="1298"/>
      <c r="N644" s="1298"/>
      <c r="O644" s="1298"/>
      <c r="P644" s="1298"/>
    </row>
    <row r="645" spans="3:16" ht="18" hidden="1" customHeight="1">
      <c r="C645" s="599" t="str">
        <f t="shared" si="83"/>
        <v/>
      </c>
      <c r="D645" s="1295" t="str">
        <f t="shared" si="84"/>
        <v/>
      </c>
      <c r="E645" s="1295"/>
      <c r="F645" s="1295"/>
      <c r="G645" s="831" t="str">
        <f t="shared" si="85"/>
        <v/>
      </c>
      <c r="H645" s="580"/>
      <c r="I645" s="1298"/>
      <c r="J645" s="1298"/>
      <c r="K645" s="1298"/>
      <c r="L645" s="1298"/>
      <c r="M645" s="1298"/>
      <c r="N645" s="1298"/>
      <c r="O645" s="1298"/>
      <c r="P645" s="1298"/>
    </row>
    <row r="646" spans="3:16" ht="18" hidden="1" customHeight="1">
      <c r="C646" s="599" t="str">
        <f t="shared" si="83"/>
        <v/>
      </c>
      <c r="D646" s="1295" t="str">
        <f t="shared" si="84"/>
        <v/>
      </c>
      <c r="E646" s="1295"/>
      <c r="F646" s="1295"/>
      <c r="G646" s="831" t="str">
        <f t="shared" si="85"/>
        <v/>
      </c>
      <c r="H646" s="580"/>
      <c r="I646" s="1298"/>
      <c r="J646" s="1298"/>
      <c r="K646" s="1298"/>
      <c r="L646" s="1298"/>
      <c r="M646" s="1298"/>
      <c r="N646" s="1298"/>
      <c r="O646" s="1298"/>
      <c r="P646" s="1298"/>
    </row>
    <row r="647" spans="3:16" ht="18" hidden="1" customHeight="1">
      <c r="C647" s="599" t="str">
        <f t="shared" si="83"/>
        <v/>
      </c>
      <c r="D647" s="1295" t="str">
        <f t="shared" si="84"/>
        <v/>
      </c>
      <c r="E647" s="1295"/>
      <c r="F647" s="1295"/>
      <c r="G647" s="831" t="str">
        <f t="shared" si="85"/>
        <v/>
      </c>
      <c r="H647" s="580"/>
      <c r="I647" s="1298"/>
      <c r="J647" s="1298"/>
      <c r="K647" s="1298"/>
      <c r="L647" s="1298"/>
      <c r="M647" s="1298"/>
      <c r="N647" s="1298"/>
      <c r="O647" s="1298"/>
      <c r="P647" s="1298"/>
    </row>
    <row r="648" spans="3:16" ht="18" hidden="1" customHeight="1">
      <c r="C648" s="599" t="str">
        <f t="shared" si="83"/>
        <v/>
      </c>
      <c r="D648" s="1295" t="str">
        <f t="shared" si="84"/>
        <v/>
      </c>
      <c r="E648" s="1295"/>
      <c r="F648" s="1295"/>
      <c r="G648" s="831" t="str">
        <f t="shared" si="85"/>
        <v/>
      </c>
      <c r="H648" s="580"/>
      <c r="I648" s="1298"/>
      <c r="J648" s="1298"/>
      <c r="K648" s="1298"/>
      <c r="L648" s="1298"/>
      <c r="M648" s="1298"/>
      <c r="N648" s="1298"/>
      <c r="O648" s="1298"/>
      <c r="P648" s="1298"/>
    </row>
    <row r="649" spans="3:16" ht="18" hidden="1" customHeight="1">
      <c r="C649" s="599" t="str">
        <f t="shared" si="83"/>
        <v/>
      </c>
      <c r="D649" s="1295" t="str">
        <f t="shared" si="84"/>
        <v/>
      </c>
      <c r="E649" s="1295"/>
      <c r="F649" s="1295"/>
      <c r="G649" s="831" t="str">
        <f t="shared" si="85"/>
        <v/>
      </c>
      <c r="H649" s="580"/>
      <c r="I649" s="1298"/>
      <c r="J649" s="1298"/>
      <c r="K649" s="1298"/>
      <c r="L649" s="1298"/>
      <c r="M649" s="1298"/>
      <c r="N649" s="1298"/>
      <c r="O649" s="1298"/>
      <c r="P649" s="1298"/>
    </row>
    <row r="650" spans="3:16" ht="18" hidden="1" customHeight="1">
      <c r="C650" s="599" t="str">
        <f t="shared" si="83"/>
        <v/>
      </c>
      <c r="D650" s="1295" t="str">
        <f t="shared" si="84"/>
        <v/>
      </c>
      <c r="E650" s="1295"/>
      <c r="F650" s="1295"/>
      <c r="G650" s="831" t="str">
        <f t="shared" si="85"/>
        <v/>
      </c>
      <c r="H650" s="580"/>
      <c r="I650" s="1298"/>
      <c r="J650" s="1298"/>
      <c r="K650" s="1298"/>
      <c r="L650" s="1298"/>
      <c r="M650" s="1298"/>
      <c r="N650" s="1298"/>
      <c r="O650" s="1298"/>
      <c r="P650" s="1298"/>
    </row>
    <row r="651" spans="3:16" ht="18" hidden="1" customHeight="1">
      <c r="C651" s="599" t="str">
        <f t="shared" si="83"/>
        <v/>
      </c>
      <c r="D651" s="1295" t="str">
        <f t="shared" si="84"/>
        <v/>
      </c>
      <c r="E651" s="1295"/>
      <c r="F651" s="1295"/>
      <c r="G651" s="831" t="str">
        <f t="shared" si="85"/>
        <v/>
      </c>
      <c r="H651" s="580"/>
      <c r="I651" s="1298"/>
      <c r="J651" s="1298"/>
      <c r="K651" s="1298"/>
      <c r="L651" s="1298"/>
      <c r="M651" s="1298"/>
      <c r="N651" s="1298"/>
      <c r="O651" s="1298"/>
      <c r="P651" s="1298"/>
    </row>
    <row r="652" spans="3:16" ht="18" hidden="1" customHeight="1">
      <c r="C652" s="599" t="str">
        <f t="shared" si="83"/>
        <v/>
      </c>
      <c r="D652" s="1295" t="str">
        <f t="shared" si="84"/>
        <v/>
      </c>
      <c r="E652" s="1295"/>
      <c r="F652" s="1295"/>
      <c r="G652" s="831" t="str">
        <f t="shared" si="85"/>
        <v/>
      </c>
      <c r="H652" s="580"/>
      <c r="I652" s="1298"/>
      <c r="J652" s="1298"/>
      <c r="K652" s="1298"/>
      <c r="L652" s="1298"/>
      <c r="M652" s="1298"/>
      <c r="N652" s="1298"/>
      <c r="O652" s="1298"/>
      <c r="P652" s="1298"/>
    </row>
    <row r="653" spans="3:16" ht="18" hidden="1" customHeight="1">
      <c r="C653" s="599" t="str">
        <f t="shared" si="83"/>
        <v/>
      </c>
      <c r="D653" s="1295" t="str">
        <f t="shared" si="84"/>
        <v/>
      </c>
      <c r="E653" s="1295"/>
      <c r="F653" s="1295"/>
      <c r="G653" s="831" t="str">
        <f t="shared" si="85"/>
        <v/>
      </c>
      <c r="H653" s="580"/>
      <c r="I653" s="1298"/>
      <c r="J653" s="1298"/>
      <c r="K653" s="1298"/>
      <c r="L653" s="1298"/>
      <c r="M653" s="1298"/>
      <c r="N653" s="1298"/>
      <c r="O653" s="1298"/>
      <c r="P653" s="1298"/>
    </row>
    <row r="654" spans="3:16" ht="18" hidden="1" customHeight="1">
      <c r="C654" s="599" t="str">
        <f t="shared" si="83"/>
        <v/>
      </c>
      <c r="D654" s="1295" t="str">
        <f t="shared" si="84"/>
        <v/>
      </c>
      <c r="E654" s="1295"/>
      <c r="F654" s="1295"/>
      <c r="G654" s="831" t="str">
        <f t="shared" si="85"/>
        <v/>
      </c>
      <c r="H654" s="580"/>
      <c r="I654" s="1298"/>
      <c r="J654" s="1298"/>
      <c r="K654" s="1298"/>
      <c r="L654" s="1298"/>
      <c r="M654" s="1298"/>
      <c r="N654" s="1298"/>
      <c r="O654" s="1298"/>
      <c r="P654" s="1298"/>
    </row>
    <row r="655" spans="3:16" ht="18" hidden="1" customHeight="1">
      <c r="C655" s="599" t="str">
        <f t="shared" si="83"/>
        <v/>
      </c>
      <c r="D655" s="1295" t="str">
        <f t="shared" si="84"/>
        <v/>
      </c>
      <c r="E655" s="1295"/>
      <c r="F655" s="1295"/>
      <c r="G655" s="831" t="str">
        <f t="shared" si="85"/>
        <v/>
      </c>
      <c r="H655" s="580"/>
      <c r="I655" s="1298"/>
      <c r="J655" s="1298"/>
      <c r="K655" s="1298"/>
      <c r="L655" s="1298"/>
      <c r="M655" s="1298"/>
      <c r="N655" s="1298"/>
      <c r="O655" s="1298"/>
      <c r="P655" s="1298"/>
    </row>
    <row r="656" spans="3:16" ht="18" hidden="1" customHeight="1">
      <c r="C656" s="599" t="str">
        <f t="shared" si="83"/>
        <v/>
      </c>
      <c r="D656" s="1295" t="str">
        <f t="shared" si="84"/>
        <v/>
      </c>
      <c r="E656" s="1295"/>
      <c r="F656" s="1295"/>
      <c r="G656" s="831" t="str">
        <f t="shared" si="85"/>
        <v/>
      </c>
      <c r="H656" s="580"/>
      <c r="I656" s="1298"/>
      <c r="J656" s="1298"/>
      <c r="K656" s="1298"/>
      <c r="L656" s="1298"/>
      <c r="M656" s="1298"/>
      <c r="N656" s="1298"/>
      <c r="O656" s="1298"/>
      <c r="P656" s="1298"/>
    </row>
    <row r="657" spans="3:16" ht="18" hidden="1" customHeight="1">
      <c r="C657" s="599" t="str">
        <f t="shared" ref="C657:C720" si="86">IF(A400="Si",C400,"")</f>
        <v/>
      </c>
      <c r="D657" s="1295" t="str">
        <f t="shared" ref="D657:D720" si="87">IF(A400="Si",D400,"")</f>
        <v/>
      </c>
      <c r="E657" s="1295"/>
      <c r="F657" s="1295"/>
      <c r="G657" s="831" t="str">
        <f t="shared" ref="G657:G720" si="88">IF(A400="Si",M400,"")</f>
        <v/>
      </c>
      <c r="H657" s="580"/>
      <c r="I657" s="1298"/>
      <c r="J657" s="1298"/>
      <c r="K657" s="1298"/>
      <c r="L657" s="1298"/>
      <c r="M657" s="1298"/>
      <c r="N657" s="1298"/>
      <c r="O657" s="1298"/>
      <c r="P657" s="1298"/>
    </row>
    <row r="658" spans="3:16" ht="18" hidden="1" customHeight="1">
      <c r="C658" s="599" t="str">
        <f t="shared" si="86"/>
        <v/>
      </c>
      <c r="D658" s="1295" t="str">
        <f t="shared" si="87"/>
        <v/>
      </c>
      <c r="E658" s="1295"/>
      <c r="F658" s="1295"/>
      <c r="G658" s="831" t="str">
        <f t="shared" si="88"/>
        <v/>
      </c>
      <c r="H658" s="580"/>
      <c r="I658" s="1298"/>
      <c r="J658" s="1298"/>
      <c r="K658" s="1298"/>
      <c r="L658" s="1298"/>
      <c r="M658" s="1298"/>
      <c r="N658" s="1298"/>
      <c r="O658" s="1298"/>
      <c r="P658" s="1298"/>
    </row>
    <row r="659" spans="3:16" ht="18" hidden="1" customHeight="1">
      <c r="C659" s="599" t="str">
        <f t="shared" si="86"/>
        <v/>
      </c>
      <c r="D659" s="1295" t="str">
        <f t="shared" si="87"/>
        <v/>
      </c>
      <c r="E659" s="1295"/>
      <c r="F659" s="1295"/>
      <c r="G659" s="831" t="str">
        <f t="shared" si="88"/>
        <v/>
      </c>
      <c r="H659" s="580"/>
      <c r="I659" s="1298"/>
      <c r="J659" s="1298"/>
      <c r="K659" s="1298"/>
      <c r="L659" s="1298"/>
      <c r="M659" s="1298"/>
      <c r="N659" s="1298"/>
      <c r="O659" s="1298"/>
      <c r="P659" s="1298"/>
    </row>
    <row r="660" spans="3:16" ht="18" hidden="1" customHeight="1">
      <c r="C660" s="599" t="str">
        <f t="shared" si="86"/>
        <v/>
      </c>
      <c r="D660" s="1295" t="str">
        <f t="shared" si="87"/>
        <v/>
      </c>
      <c r="E660" s="1295"/>
      <c r="F660" s="1295"/>
      <c r="G660" s="831" t="str">
        <f t="shared" si="88"/>
        <v/>
      </c>
      <c r="H660" s="580"/>
      <c r="I660" s="1298"/>
      <c r="J660" s="1298"/>
      <c r="K660" s="1298"/>
      <c r="L660" s="1298"/>
      <c r="M660" s="1298"/>
      <c r="N660" s="1298"/>
      <c r="O660" s="1298"/>
      <c r="P660" s="1298"/>
    </row>
    <row r="661" spans="3:16" ht="18" hidden="1" customHeight="1">
      <c r="C661" s="599" t="str">
        <f t="shared" si="86"/>
        <v/>
      </c>
      <c r="D661" s="1295" t="str">
        <f t="shared" si="87"/>
        <v/>
      </c>
      <c r="E661" s="1295"/>
      <c r="F661" s="1295"/>
      <c r="G661" s="831" t="str">
        <f t="shared" si="88"/>
        <v/>
      </c>
      <c r="H661" s="580"/>
      <c r="I661" s="1298"/>
      <c r="J661" s="1298"/>
      <c r="K661" s="1298"/>
      <c r="L661" s="1298"/>
      <c r="M661" s="1298"/>
      <c r="N661" s="1298"/>
      <c r="O661" s="1298"/>
      <c r="P661" s="1298"/>
    </row>
    <row r="662" spans="3:16" ht="18" hidden="1" customHeight="1">
      <c r="C662" s="599" t="str">
        <f t="shared" si="86"/>
        <v/>
      </c>
      <c r="D662" s="1295" t="str">
        <f t="shared" si="87"/>
        <v/>
      </c>
      <c r="E662" s="1295"/>
      <c r="F662" s="1295"/>
      <c r="G662" s="831" t="str">
        <f t="shared" si="88"/>
        <v/>
      </c>
      <c r="H662" s="580"/>
      <c r="I662" s="1298"/>
      <c r="J662" s="1298"/>
      <c r="K662" s="1298"/>
      <c r="L662" s="1298"/>
      <c r="M662" s="1298"/>
      <c r="N662" s="1298"/>
      <c r="O662" s="1298"/>
      <c r="P662" s="1298"/>
    </row>
    <row r="663" spans="3:16" ht="18" hidden="1" customHeight="1">
      <c r="C663" s="599" t="str">
        <f t="shared" si="86"/>
        <v/>
      </c>
      <c r="D663" s="1295" t="str">
        <f t="shared" si="87"/>
        <v/>
      </c>
      <c r="E663" s="1295"/>
      <c r="F663" s="1295"/>
      <c r="G663" s="831" t="str">
        <f t="shared" si="88"/>
        <v/>
      </c>
      <c r="H663" s="580"/>
      <c r="I663" s="1298"/>
      <c r="J663" s="1298"/>
      <c r="K663" s="1298"/>
      <c r="L663" s="1298"/>
      <c r="M663" s="1298"/>
      <c r="N663" s="1298"/>
      <c r="O663" s="1298"/>
      <c r="P663" s="1298"/>
    </row>
    <row r="664" spans="3:16" ht="18" hidden="1" customHeight="1">
      <c r="C664" s="599" t="str">
        <f t="shared" si="86"/>
        <v/>
      </c>
      <c r="D664" s="1295" t="str">
        <f t="shared" si="87"/>
        <v/>
      </c>
      <c r="E664" s="1295"/>
      <c r="F664" s="1295"/>
      <c r="G664" s="831" t="str">
        <f t="shared" si="88"/>
        <v/>
      </c>
      <c r="H664" s="580"/>
      <c r="I664" s="1298"/>
      <c r="J664" s="1298"/>
      <c r="K664" s="1298"/>
      <c r="L664" s="1298"/>
      <c r="M664" s="1298"/>
      <c r="N664" s="1298"/>
      <c r="O664" s="1298"/>
      <c r="P664" s="1298"/>
    </row>
    <row r="665" spans="3:16" ht="18" hidden="1" customHeight="1">
      <c r="C665" s="599" t="str">
        <f t="shared" si="86"/>
        <v/>
      </c>
      <c r="D665" s="1295" t="str">
        <f t="shared" si="87"/>
        <v/>
      </c>
      <c r="E665" s="1295"/>
      <c r="F665" s="1295"/>
      <c r="G665" s="831" t="str">
        <f t="shared" si="88"/>
        <v/>
      </c>
      <c r="H665" s="580"/>
      <c r="I665" s="1298"/>
      <c r="J665" s="1298"/>
      <c r="K665" s="1298"/>
      <c r="L665" s="1298"/>
      <c r="M665" s="1298"/>
      <c r="N665" s="1298"/>
      <c r="O665" s="1298"/>
      <c r="P665" s="1298"/>
    </row>
    <row r="666" spans="3:16" ht="18" hidden="1" customHeight="1">
      <c r="C666" s="599" t="str">
        <f t="shared" si="86"/>
        <v/>
      </c>
      <c r="D666" s="1295" t="str">
        <f t="shared" si="87"/>
        <v/>
      </c>
      <c r="E666" s="1295"/>
      <c r="F666" s="1295"/>
      <c r="G666" s="831" t="str">
        <f t="shared" si="88"/>
        <v/>
      </c>
      <c r="H666" s="580"/>
      <c r="I666" s="1298"/>
      <c r="J666" s="1298"/>
      <c r="K666" s="1298"/>
      <c r="L666" s="1298"/>
      <c r="M666" s="1298"/>
      <c r="N666" s="1298"/>
      <c r="O666" s="1298"/>
      <c r="P666" s="1298"/>
    </row>
    <row r="667" spans="3:16" ht="18" hidden="1" customHeight="1">
      <c r="C667" s="599" t="str">
        <f t="shared" si="86"/>
        <v/>
      </c>
      <c r="D667" s="1295" t="str">
        <f t="shared" si="87"/>
        <v/>
      </c>
      <c r="E667" s="1295"/>
      <c r="F667" s="1295"/>
      <c r="G667" s="831" t="str">
        <f t="shared" si="88"/>
        <v/>
      </c>
      <c r="H667" s="580"/>
      <c r="I667" s="1298"/>
      <c r="J667" s="1298"/>
      <c r="K667" s="1298"/>
      <c r="L667" s="1298"/>
      <c r="M667" s="1298"/>
      <c r="N667" s="1298"/>
      <c r="O667" s="1298"/>
      <c r="P667" s="1298"/>
    </row>
    <row r="668" spans="3:16" ht="18" hidden="1" customHeight="1">
      <c r="C668" s="599" t="str">
        <f t="shared" si="86"/>
        <v/>
      </c>
      <c r="D668" s="1295" t="str">
        <f t="shared" si="87"/>
        <v/>
      </c>
      <c r="E668" s="1295"/>
      <c r="F668" s="1295"/>
      <c r="G668" s="831" t="str">
        <f t="shared" si="88"/>
        <v/>
      </c>
      <c r="H668" s="580"/>
      <c r="I668" s="1298"/>
      <c r="J668" s="1298"/>
      <c r="K668" s="1298"/>
      <c r="L668" s="1298"/>
      <c r="M668" s="1298"/>
      <c r="N668" s="1298"/>
      <c r="O668" s="1298"/>
      <c r="P668" s="1298"/>
    </row>
    <row r="669" spans="3:16" ht="18" hidden="1" customHeight="1">
      <c r="C669" s="599" t="str">
        <f t="shared" si="86"/>
        <v/>
      </c>
      <c r="D669" s="1295" t="str">
        <f t="shared" si="87"/>
        <v/>
      </c>
      <c r="E669" s="1295"/>
      <c r="F669" s="1295"/>
      <c r="G669" s="831" t="str">
        <f t="shared" si="88"/>
        <v/>
      </c>
      <c r="H669" s="580"/>
      <c r="I669" s="1298"/>
      <c r="J669" s="1298"/>
      <c r="K669" s="1298"/>
      <c r="L669" s="1298"/>
      <c r="M669" s="1298"/>
      <c r="N669" s="1298"/>
      <c r="O669" s="1298"/>
      <c r="P669" s="1298"/>
    </row>
    <row r="670" spans="3:16" ht="18" hidden="1" customHeight="1">
      <c r="C670" s="599" t="str">
        <f t="shared" si="86"/>
        <v/>
      </c>
      <c r="D670" s="1295" t="str">
        <f t="shared" si="87"/>
        <v/>
      </c>
      <c r="E670" s="1295"/>
      <c r="F670" s="1295"/>
      <c r="G670" s="831" t="str">
        <f t="shared" si="88"/>
        <v/>
      </c>
      <c r="H670" s="580"/>
      <c r="I670" s="1298"/>
      <c r="J670" s="1298"/>
      <c r="K670" s="1298"/>
      <c r="L670" s="1298"/>
      <c r="M670" s="1298"/>
      <c r="N670" s="1298"/>
      <c r="O670" s="1298"/>
      <c r="P670" s="1298"/>
    </row>
    <row r="671" spans="3:16" ht="18" hidden="1" customHeight="1">
      <c r="C671" s="599" t="str">
        <f t="shared" si="86"/>
        <v/>
      </c>
      <c r="D671" s="1295" t="str">
        <f t="shared" si="87"/>
        <v/>
      </c>
      <c r="E671" s="1295"/>
      <c r="F671" s="1295"/>
      <c r="G671" s="831" t="str">
        <f t="shared" si="88"/>
        <v/>
      </c>
      <c r="H671" s="580"/>
      <c r="I671" s="1298"/>
      <c r="J671" s="1298"/>
      <c r="K671" s="1298"/>
      <c r="L671" s="1298"/>
      <c r="M671" s="1298"/>
      <c r="N671" s="1298"/>
      <c r="O671" s="1298"/>
      <c r="P671" s="1298"/>
    </row>
    <row r="672" spans="3:16" ht="18" hidden="1" customHeight="1">
      <c r="C672" s="599" t="str">
        <f t="shared" si="86"/>
        <v/>
      </c>
      <c r="D672" s="1295" t="str">
        <f t="shared" si="87"/>
        <v/>
      </c>
      <c r="E672" s="1295"/>
      <c r="F672" s="1295"/>
      <c r="G672" s="831" t="str">
        <f t="shared" si="88"/>
        <v/>
      </c>
      <c r="H672" s="580"/>
      <c r="I672" s="1298"/>
      <c r="J672" s="1298"/>
      <c r="K672" s="1298"/>
      <c r="L672" s="1298"/>
      <c r="M672" s="1298"/>
      <c r="N672" s="1298"/>
      <c r="O672" s="1298"/>
      <c r="P672" s="1298"/>
    </row>
    <row r="673" spans="3:16" ht="18" hidden="1" customHeight="1">
      <c r="C673" s="599" t="str">
        <f t="shared" si="86"/>
        <v/>
      </c>
      <c r="D673" s="1295" t="str">
        <f t="shared" si="87"/>
        <v/>
      </c>
      <c r="E673" s="1295"/>
      <c r="F673" s="1295"/>
      <c r="G673" s="831" t="str">
        <f t="shared" si="88"/>
        <v/>
      </c>
      <c r="H673" s="580"/>
      <c r="I673" s="1298"/>
      <c r="J673" s="1298"/>
      <c r="K673" s="1298"/>
      <c r="L673" s="1298"/>
      <c r="M673" s="1298"/>
      <c r="N673" s="1298"/>
      <c r="O673" s="1298"/>
      <c r="P673" s="1298"/>
    </row>
    <row r="674" spans="3:16" ht="18" hidden="1" customHeight="1">
      <c r="C674" s="599" t="str">
        <f t="shared" si="86"/>
        <v/>
      </c>
      <c r="D674" s="1295" t="str">
        <f t="shared" si="87"/>
        <v/>
      </c>
      <c r="E674" s="1295"/>
      <c r="F674" s="1295"/>
      <c r="G674" s="831" t="str">
        <f t="shared" si="88"/>
        <v/>
      </c>
      <c r="H674" s="580"/>
      <c r="I674" s="1298"/>
      <c r="J674" s="1298"/>
      <c r="K674" s="1298"/>
      <c r="L674" s="1298"/>
      <c r="M674" s="1298"/>
      <c r="N674" s="1298"/>
      <c r="O674" s="1298"/>
      <c r="P674" s="1298"/>
    </row>
    <row r="675" spans="3:16" ht="18" hidden="1" customHeight="1">
      <c r="C675" s="599" t="str">
        <f t="shared" si="86"/>
        <v/>
      </c>
      <c r="D675" s="1295" t="str">
        <f t="shared" si="87"/>
        <v/>
      </c>
      <c r="E675" s="1295"/>
      <c r="F675" s="1295"/>
      <c r="G675" s="831" t="str">
        <f t="shared" si="88"/>
        <v/>
      </c>
      <c r="H675" s="580"/>
      <c r="I675" s="1298"/>
      <c r="J675" s="1298"/>
      <c r="K675" s="1298"/>
      <c r="L675" s="1298"/>
      <c r="M675" s="1298"/>
      <c r="N675" s="1298"/>
      <c r="O675" s="1298"/>
      <c r="P675" s="1298"/>
    </row>
    <row r="676" spans="3:16" ht="18" hidden="1" customHeight="1">
      <c r="C676" s="599" t="str">
        <f t="shared" si="86"/>
        <v/>
      </c>
      <c r="D676" s="1295" t="str">
        <f t="shared" si="87"/>
        <v/>
      </c>
      <c r="E676" s="1295"/>
      <c r="F676" s="1295"/>
      <c r="G676" s="831" t="str">
        <f t="shared" si="88"/>
        <v/>
      </c>
      <c r="H676" s="580"/>
      <c r="I676" s="1298"/>
      <c r="J676" s="1298"/>
      <c r="K676" s="1298"/>
      <c r="L676" s="1298"/>
      <c r="M676" s="1298"/>
      <c r="N676" s="1298"/>
      <c r="O676" s="1298"/>
      <c r="P676" s="1298"/>
    </row>
    <row r="677" spans="3:16" ht="18" hidden="1" customHeight="1">
      <c r="C677" s="599" t="str">
        <f t="shared" si="86"/>
        <v/>
      </c>
      <c r="D677" s="1295" t="str">
        <f t="shared" si="87"/>
        <v/>
      </c>
      <c r="E677" s="1295"/>
      <c r="F677" s="1295"/>
      <c r="G677" s="831" t="str">
        <f t="shared" si="88"/>
        <v/>
      </c>
      <c r="H677" s="580"/>
      <c r="I677" s="1298"/>
      <c r="J677" s="1298"/>
      <c r="K677" s="1298"/>
      <c r="L677" s="1298"/>
      <c r="M677" s="1298"/>
      <c r="N677" s="1298"/>
      <c r="O677" s="1298"/>
      <c r="P677" s="1298"/>
    </row>
    <row r="678" spans="3:16" ht="18" hidden="1" customHeight="1">
      <c r="C678" s="599" t="str">
        <f t="shared" si="86"/>
        <v/>
      </c>
      <c r="D678" s="1295" t="str">
        <f t="shared" si="87"/>
        <v/>
      </c>
      <c r="E678" s="1295"/>
      <c r="F678" s="1295"/>
      <c r="G678" s="831" t="str">
        <f t="shared" si="88"/>
        <v/>
      </c>
      <c r="H678" s="580"/>
      <c r="I678" s="1298"/>
      <c r="J678" s="1298"/>
      <c r="K678" s="1298"/>
      <c r="L678" s="1298"/>
      <c r="M678" s="1298"/>
      <c r="N678" s="1298"/>
      <c r="O678" s="1298"/>
      <c r="P678" s="1298"/>
    </row>
    <row r="679" spans="3:16" ht="18" hidden="1" customHeight="1">
      <c r="C679" s="599" t="str">
        <f t="shared" si="86"/>
        <v/>
      </c>
      <c r="D679" s="1295" t="str">
        <f t="shared" si="87"/>
        <v/>
      </c>
      <c r="E679" s="1295"/>
      <c r="F679" s="1295"/>
      <c r="G679" s="831" t="str">
        <f t="shared" si="88"/>
        <v/>
      </c>
      <c r="H679" s="580"/>
      <c r="I679" s="1298"/>
      <c r="J679" s="1298"/>
      <c r="K679" s="1298"/>
      <c r="L679" s="1298"/>
      <c r="M679" s="1298"/>
      <c r="N679" s="1298"/>
      <c r="O679" s="1298"/>
      <c r="P679" s="1298"/>
    </row>
    <row r="680" spans="3:16" ht="18" hidden="1" customHeight="1">
      <c r="C680" s="599" t="str">
        <f t="shared" si="86"/>
        <v/>
      </c>
      <c r="D680" s="1295" t="str">
        <f t="shared" si="87"/>
        <v/>
      </c>
      <c r="E680" s="1295"/>
      <c r="F680" s="1295"/>
      <c r="G680" s="831" t="str">
        <f t="shared" si="88"/>
        <v/>
      </c>
      <c r="H680" s="580"/>
      <c r="I680" s="1298"/>
      <c r="J680" s="1298"/>
      <c r="K680" s="1298"/>
      <c r="L680" s="1298"/>
      <c r="M680" s="1298"/>
      <c r="N680" s="1298"/>
      <c r="O680" s="1298"/>
      <c r="P680" s="1298"/>
    </row>
    <row r="681" spans="3:16" ht="18" hidden="1" customHeight="1">
      <c r="C681" s="599" t="str">
        <f t="shared" si="86"/>
        <v/>
      </c>
      <c r="D681" s="1295" t="str">
        <f t="shared" si="87"/>
        <v/>
      </c>
      <c r="E681" s="1295"/>
      <c r="F681" s="1295"/>
      <c r="G681" s="831" t="str">
        <f t="shared" si="88"/>
        <v/>
      </c>
      <c r="H681" s="580"/>
      <c r="I681" s="1298"/>
      <c r="J681" s="1298"/>
      <c r="K681" s="1298"/>
      <c r="L681" s="1298"/>
      <c r="M681" s="1298"/>
      <c r="N681" s="1298"/>
      <c r="O681" s="1298"/>
      <c r="P681" s="1298"/>
    </row>
    <row r="682" spans="3:16" ht="18" hidden="1" customHeight="1">
      <c r="C682" s="599" t="str">
        <f t="shared" si="86"/>
        <v/>
      </c>
      <c r="D682" s="1295" t="str">
        <f t="shared" si="87"/>
        <v/>
      </c>
      <c r="E682" s="1295"/>
      <c r="F682" s="1295"/>
      <c r="G682" s="831" t="str">
        <f t="shared" si="88"/>
        <v/>
      </c>
      <c r="H682" s="580"/>
      <c r="I682" s="1298"/>
      <c r="J682" s="1298"/>
      <c r="K682" s="1298"/>
      <c r="L682" s="1298"/>
      <c r="M682" s="1298"/>
      <c r="N682" s="1298"/>
      <c r="O682" s="1298"/>
      <c r="P682" s="1298"/>
    </row>
    <row r="683" spans="3:16" ht="18" hidden="1" customHeight="1">
      <c r="C683" s="599" t="str">
        <f t="shared" si="86"/>
        <v/>
      </c>
      <c r="D683" s="1295" t="str">
        <f t="shared" si="87"/>
        <v/>
      </c>
      <c r="E683" s="1295"/>
      <c r="F683" s="1295"/>
      <c r="G683" s="831" t="str">
        <f t="shared" si="88"/>
        <v/>
      </c>
      <c r="H683" s="580"/>
      <c r="I683" s="1298"/>
      <c r="J683" s="1298"/>
      <c r="K683" s="1298"/>
      <c r="L683" s="1298"/>
      <c r="M683" s="1298"/>
      <c r="N683" s="1298"/>
      <c r="O683" s="1298"/>
      <c r="P683" s="1298"/>
    </row>
    <row r="684" spans="3:16" ht="18" hidden="1" customHeight="1">
      <c r="C684" s="599" t="str">
        <f t="shared" si="86"/>
        <v/>
      </c>
      <c r="D684" s="1295" t="str">
        <f t="shared" si="87"/>
        <v/>
      </c>
      <c r="E684" s="1295"/>
      <c r="F684" s="1295"/>
      <c r="G684" s="831" t="str">
        <f t="shared" si="88"/>
        <v/>
      </c>
      <c r="H684" s="580"/>
      <c r="I684" s="1298"/>
      <c r="J684" s="1298"/>
      <c r="K684" s="1298"/>
      <c r="L684" s="1298"/>
      <c r="M684" s="1298"/>
      <c r="N684" s="1298"/>
      <c r="O684" s="1298"/>
      <c r="P684" s="1298"/>
    </row>
    <row r="685" spans="3:16" ht="18" hidden="1" customHeight="1">
      <c r="C685" s="599" t="str">
        <f t="shared" si="86"/>
        <v/>
      </c>
      <c r="D685" s="1295" t="str">
        <f t="shared" si="87"/>
        <v/>
      </c>
      <c r="E685" s="1295"/>
      <c r="F685" s="1295"/>
      <c r="G685" s="831" t="str">
        <f t="shared" si="88"/>
        <v/>
      </c>
      <c r="H685" s="580"/>
      <c r="I685" s="1298"/>
      <c r="J685" s="1298"/>
      <c r="K685" s="1298"/>
      <c r="L685" s="1298"/>
      <c r="M685" s="1298"/>
      <c r="N685" s="1298"/>
      <c r="O685" s="1298"/>
      <c r="P685" s="1298"/>
    </row>
    <row r="686" spans="3:16" ht="18" hidden="1" customHeight="1">
      <c r="C686" s="599" t="str">
        <f t="shared" si="86"/>
        <v/>
      </c>
      <c r="D686" s="1295" t="str">
        <f t="shared" si="87"/>
        <v/>
      </c>
      <c r="E686" s="1295"/>
      <c r="F686" s="1295"/>
      <c r="G686" s="831" t="str">
        <f t="shared" si="88"/>
        <v/>
      </c>
      <c r="H686" s="580"/>
      <c r="I686" s="1298"/>
      <c r="J686" s="1298"/>
      <c r="K686" s="1298"/>
      <c r="L686" s="1298"/>
      <c r="M686" s="1298"/>
      <c r="N686" s="1298"/>
      <c r="O686" s="1298"/>
      <c r="P686" s="1298"/>
    </row>
    <row r="687" spans="3:16" ht="18" hidden="1" customHeight="1">
      <c r="C687" s="599" t="str">
        <f t="shared" si="86"/>
        <v/>
      </c>
      <c r="D687" s="1295" t="str">
        <f t="shared" si="87"/>
        <v/>
      </c>
      <c r="E687" s="1295"/>
      <c r="F687" s="1295"/>
      <c r="G687" s="831" t="str">
        <f t="shared" si="88"/>
        <v/>
      </c>
      <c r="H687" s="580"/>
      <c r="I687" s="1298"/>
      <c r="J687" s="1298"/>
      <c r="K687" s="1298"/>
      <c r="L687" s="1298"/>
      <c r="M687" s="1298"/>
      <c r="N687" s="1298"/>
      <c r="O687" s="1298"/>
      <c r="P687" s="1298"/>
    </row>
    <row r="688" spans="3:16" ht="18" hidden="1" customHeight="1">
      <c r="C688" s="599" t="str">
        <f t="shared" si="86"/>
        <v/>
      </c>
      <c r="D688" s="1295" t="str">
        <f t="shared" si="87"/>
        <v/>
      </c>
      <c r="E688" s="1295"/>
      <c r="F688" s="1295"/>
      <c r="G688" s="831" t="str">
        <f t="shared" si="88"/>
        <v/>
      </c>
      <c r="H688" s="580"/>
      <c r="I688" s="1298"/>
      <c r="J688" s="1298"/>
      <c r="K688" s="1298"/>
      <c r="L688" s="1298"/>
      <c r="M688" s="1298"/>
      <c r="N688" s="1298"/>
      <c r="O688" s="1298"/>
      <c r="P688" s="1298"/>
    </row>
    <row r="689" spans="3:16" ht="18" hidden="1" customHeight="1">
      <c r="C689" s="599" t="str">
        <f t="shared" si="86"/>
        <v/>
      </c>
      <c r="D689" s="1295" t="str">
        <f t="shared" si="87"/>
        <v/>
      </c>
      <c r="E689" s="1295"/>
      <c r="F689" s="1295"/>
      <c r="G689" s="831" t="str">
        <f t="shared" si="88"/>
        <v/>
      </c>
      <c r="H689" s="580"/>
      <c r="I689" s="1298"/>
      <c r="J689" s="1298"/>
      <c r="K689" s="1298"/>
      <c r="L689" s="1298"/>
      <c r="M689" s="1298"/>
      <c r="N689" s="1298"/>
      <c r="O689" s="1298"/>
      <c r="P689" s="1298"/>
    </row>
    <row r="690" spans="3:16" ht="18" hidden="1" customHeight="1">
      <c r="C690" s="599" t="str">
        <f t="shared" si="86"/>
        <v/>
      </c>
      <c r="D690" s="1295" t="str">
        <f t="shared" si="87"/>
        <v/>
      </c>
      <c r="E690" s="1295"/>
      <c r="F690" s="1295"/>
      <c r="G690" s="831" t="str">
        <f t="shared" si="88"/>
        <v/>
      </c>
      <c r="H690" s="580"/>
      <c r="I690" s="1298"/>
      <c r="J690" s="1298"/>
      <c r="K690" s="1298"/>
      <c r="L690" s="1298"/>
      <c r="M690" s="1298"/>
      <c r="N690" s="1298"/>
      <c r="O690" s="1298"/>
      <c r="P690" s="1298"/>
    </row>
    <row r="691" spans="3:16" ht="18" hidden="1" customHeight="1">
      <c r="C691" s="599" t="str">
        <f t="shared" si="86"/>
        <v/>
      </c>
      <c r="D691" s="1295" t="str">
        <f t="shared" si="87"/>
        <v/>
      </c>
      <c r="E691" s="1295"/>
      <c r="F691" s="1295"/>
      <c r="G691" s="831" t="str">
        <f t="shared" si="88"/>
        <v/>
      </c>
      <c r="H691" s="580"/>
      <c r="I691" s="1298"/>
      <c r="J691" s="1298"/>
      <c r="K691" s="1298"/>
      <c r="L691" s="1298"/>
      <c r="M691" s="1298"/>
      <c r="N691" s="1298"/>
      <c r="O691" s="1298"/>
      <c r="P691" s="1298"/>
    </row>
    <row r="692" spans="3:16" ht="18" hidden="1" customHeight="1">
      <c r="C692" s="599" t="str">
        <f t="shared" si="86"/>
        <v/>
      </c>
      <c r="D692" s="1295" t="str">
        <f t="shared" si="87"/>
        <v/>
      </c>
      <c r="E692" s="1295"/>
      <c r="F692" s="1295"/>
      <c r="G692" s="831" t="str">
        <f t="shared" si="88"/>
        <v/>
      </c>
      <c r="H692" s="580"/>
      <c r="I692" s="1298"/>
      <c r="J692" s="1298"/>
      <c r="K692" s="1298"/>
      <c r="L692" s="1298"/>
      <c r="M692" s="1298"/>
      <c r="N692" s="1298"/>
      <c r="O692" s="1298"/>
      <c r="P692" s="1298"/>
    </row>
    <row r="693" spans="3:16" ht="18" hidden="1" customHeight="1">
      <c r="C693" s="599" t="str">
        <f t="shared" si="86"/>
        <v/>
      </c>
      <c r="D693" s="1295" t="str">
        <f t="shared" si="87"/>
        <v/>
      </c>
      <c r="E693" s="1295"/>
      <c r="F693" s="1295"/>
      <c r="G693" s="831" t="str">
        <f t="shared" si="88"/>
        <v/>
      </c>
      <c r="H693" s="580"/>
      <c r="I693" s="1298"/>
      <c r="J693" s="1298"/>
      <c r="K693" s="1298"/>
      <c r="L693" s="1298"/>
      <c r="M693" s="1298"/>
      <c r="N693" s="1298"/>
      <c r="O693" s="1298"/>
      <c r="P693" s="1298"/>
    </row>
    <row r="694" spans="3:16" ht="18" hidden="1" customHeight="1">
      <c r="C694" s="599" t="str">
        <f t="shared" si="86"/>
        <v/>
      </c>
      <c r="D694" s="1295" t="str">
        <f t="shared" si="87"/>
        <v/>
      </c>
      <c r="E694" s="1295"/>
      <c r="F694" s="1295"/>
      <c r="G694" s="831" t="str">
        <f t="shared" si="88"/>
        <v/>
      </c>
      <c r="H694" s="580"/>
      <c r="I694" s="1298"/>
      <c r="J694" s="1298"/>
      <c r="K694" s="1298"/>
      <c r="L694" s="1298"/>
      <c r="M694" s="1298"/>
      <c r="N694" s="1298"/>
      <c r="O694" s="1298"/>
      <c r="P694" s="1298"/>
    </row>
    <row r="695" spans="3:16" ht="18" hidden="1" customHeight="1">
      <c r="C695" s="599" t="str">
        <f t="shared" si="86"/>
        <v/>
      </c>
      <c r="D695" s="1295" t="str">
        <f t="shared" si="87"/>
        <v/>
      </c>
      <c r="E695" s="1295"/>
      <c r="F695" s="1295"/>
      <c r="G695" s="831" t="str">
        <f t="shared" si="88"/>
        <v/>
      </c>
      <c r="H695" s="580"/>
      <c r="I695" s="1298"/>
      <c r="J695" s="1298"/>
      <c r="K695" s="1298"/>
      <c r="L695" s="1298"/>
      <c r="M695" s="1298"/>
      <c r="N695" s="1298"/>
      <c r="O695" s="1298"/>
      <c r="P695" s="1298"/>
    </row>
    <row r="696" spans="3:16" ht="18" hidden="1" customHeight="1">
      <c r="C696" s="599" t="str">
        <f t="shared" si="86"/>
        <v/>
      </c>
      <c r="D696" s="1295" t="str">
        <f t="shared" si="87"/>
        <v/>
      </c>
      <c r="E696" s="1295"/>
      <c r="F696" s="1295"/>
      <c r="G696" s="831" t="str">
        <f t="shared" si="88"/>
        <v/>
      </c>
      <c r="H696" s="580"/>
      <c r="I696" s="1298"/>
      <c r="J696" s="1298"/>
      <c r="K696" s="1298"/>
      <c r="L696" s="1298"/>
      <c r="M696" s="1298"/>
      <c r="N696" s="1298"/>
      <c r="O696" s="1298"/>
      <c r="P696" s="1298"/>
    </row>
    <row r="697" spans="3:16" ht="18" hidden="1" customHeight="1">
      <c r="C697" s="599" t="str">
        <f t="shared" si="86"/>
        <v/>
      </c>
      <c r="D697" s="1295" t="str">
        <f t="shared" si="87"/>
        <v/>
      </c>
      <c r="E697" s="1295"/>
      <c r="F697" s="1295"/>
      <c r="G697" s="831" t="str">
        <f t="shared" si="88"/>
        <v/>
      </c>
      <c r="H697" s="580"/>
      <c r="I697" s="1298"/>
      <c r="J697" s="1298"/>
      <c r="K697" s="1298"/>
      <c r="L697" s="1298"/>
      <c r="M697" s="1298"/>
      <c r="N697" s="1298"/>
      <c r="O697" s="1298"/>
      <c r="P697" s="1298"/>
    </row>
    <row r="698" spans="3:16" ht="18" hidden="1" customHeight="1">
      <c r="C698" s="599" t="str">
        <f t="shared" si="86"/>
        <v/>
      </c>
      <c r="D698" s="1295" t="str">
        <f t="shared" si="87"/>
        <v/>
      </c>
      <c r="E698" s="1295"/>
      <c r="F698" s="1295"/>
      <c r="G698" s="831" t="str">
        <f t="shared" si="88"/>
        <v/>
      </c>
      <c r="H698" s="580"/>
      <c r="I698" s="1298"/>
      <c r="J698" s="1298"/>
      <c r="K698" s="1298"/>
      <c r="L698" s="1298"/>
      <c r="M698" s="1298"/>
      <c r="N698" s="1298"/>
      <c r="O698" s="1298"/>
      <c r="P698" s="1298"/>
    </row>
    <row r="699" spans="3:16" ht="18" hidden="1" customHeight="1">
      <c r="C699" s="599" t="str">
        <f t="shared" si="86"/>
        <v/>
      </c>
      <c r="D699" s="1295" t="str">
        <f t="shared" si="87"/>
        <v/>
      </c>
      <c r="E699" s="1295"/>
      <c r="F699" s="1295"/>
      <c r="G699" s="831" t="str">
        <f t="shared" si="88"/>
        <v/>
      </c>
      <c r="H699" s="580"/>
      <c r="I699" s="1298"/>
      <c r="J699" s="1298"/>
      <c r="K699" s="1298"/>
      <c r="L699" s="1298"/>
      <c r="M699" s="1298"/>
      <c r="N699" s="1298"/>
      <c r="O699" s="1298"/>
      <c r="P699" s="1298"/>
    </row>
    <row r="700" spans="3:16" ht="18" hidden="1" customHeight="1">
      <c r="C700" s="599" t="str">
        <f t="shared" si="86"/>
        <v/>
      </c>
      <c r="D700" s="1295" t="str">
        <f t="shared" si="87"/>
        <v/>
      </c>
      <c r="E700" s="1295"/>
      <c r="F700" s="1295"/>
      <c r="G700" s="831" t="str">
        <f t="shared" si="88"/>
        <v/>
      </c>
      <c r="H700" s="580"/>
      <c r="I700" s="1298"/>
      <c r="J700" s="1298"/>
      <c r="K700" s="1298"/>
      <c r="L700" s="1298"/>
      <c r="M700" s="1298"/>
      <c r="N700" s="1298"/>
      <c r="O700" s="1298"/>
      <c r="P700" s="1298"/>
    </row>
    <row r="701" spans="3:16" ht="18" hidden="1" customHeight="1">
      <c r="C701" s="599" t="str">
        <f t="shared" si="86"/>
        <v/>
      </c>
      <c r="D701" s="1295" t="str">
        <f t="shared" si="87"/>
        <v/>
      </c>
      <c r="E701" s="1295"/>
      <c r="F701" s="1295"/>
      <c r="G701" s="831" t="str">
        <f t="shared" si="88"/>
        <v/>
      </c>
      <c r="H701" s="580"/>
      <c r="I701" s="1298"/>
      <c r="J701" s="1298"/>
      <c r="K701" s="1298"/>
      <c r="L701" s="1298"/>
      <c r="M701" s="1298"/>
      <c r="N701" s="1298"/>
      <c r="O701" s="1298"/>
      <c r="P701" s="1298"/>
    </row>
    <row r="702" spans="3:16" ht="18" hidden="1" customHeight="1">
      <c r="C702" s="599" t="str">
        <f t="shared" si="86"/>
        <v/>
      </c>
      <c r="D702" s="1295" t="str">
        <f t="shared" si="87"/>
        <v/>
      </c>
      <c r="E702" s="1295"/>
      <c r="F702" s="1295"/>
      <c r="G702" s="831" t="str">
        <f t="shared" si="88"/>
        <v/>
      </c>
      <c r="H702" s="580"/>
      <c r="I702" s="1298"/>
      <c r="J702" s="1298"/>
      <c r="K702" s="1298"/>
      <c r="L702" s="1298"/>
      <c r="M702" s="1298"/>
      <c r="N702" s="1298"/>
      <c r="O702" s="1298"/>
      <c r="P702" s="1298"/>
    </row>
    <row r="703" spans="3:16" ht="18" hidden="1" customHeight="1">
      <c r="C703" s="599" t="str">
        <f t="shared" si="86"/>
        <v/>
      </c>
      <c r="D703" s="1295" t="str">
        <f t="shared" si="87"/>
        <v/>
      </c>
      <c r="E703" s="1295"/>
      <c r="F703" s="1295"/>
      <c r="G703" s="831" t="str">
        <f t="shared" si="88"/>
        <v/>
      </c>
      <c r="H703" s="580"/>
      <c r="I703" s="1298"/>
      <c r="J703" s="1298"/>
      <c r="K703" s="1298"/>
      <c r="L703" s="1298"/>
      <c r="M703" s="1298"/>
      <c r="N703" s="1298"/>
      <c r="O703" s="1298"/>
      <c r="P703" s="1298"/>
    </row>
    <row r="704" spans="3:16" ht="18" hidden="1" customHeight="1">
      <c r="C704" s="599" t="str">
        <f t="shared" si="86"/>
        <v/>
      </c>
      <c r="D704" s="1295" t="str">
        <f t="shared" si="87"/>
        <v/>
      </c>
      <c r="E704" s="1295"/>
      <c r="F704" s="1295"/>
      <c r="G704" s="831" t="str">
        <f t="shared" si="88"/>
        <v/>
      </c>
      <c r="H704" s="580"/>
      <c r="I704" s="1298"/>
      <c r="J704" s="1298"/>
      <c r="K704" s="1298"/>
      <c r="L704" s="1298"/>
      <c r="M704" s="1298"/>
      <c r="N704" s="1298"/>
      <c r="O704" s="1298"/>
      <c r="P704" s="1298"/>
    </row>
    <row r="705" spans="3:16" ht="18" hidden="1" customHeight="1">
      <c r="C705" s="599" t="str">
        <f t="shared" si="86"/>
        <v/>
      </c>
      <c r="D705" s="1295" t="str">
        <f t="shared" si="87"/>
        <v/>
      </c>
      <c r="E705" s="1295"/>
      <c r="F705" s="1295"/>
      <c r="G705" s="831" t="str">
        <f t="shared" si="88"/>
        <v/>
      </c>
      <c r="H705" s="580"/>
      <c r="I705" s="1298"/>
      <c r="J705" s="1298"/>
      <c r="K705" s="1298"/>
      <c r="L705" s="1298"/>
      <c r="M705" s="1298"/>
      <c r="N705" s="1298"/>
      <c r="O705" s="1298"/>
      <c r="P705" s="1298"/>
    </row>
    <row r="706" spans="3:16" ht="18" hidden="1" customHeight="1">
      <c r="C706" s="599" t="str">
        <f t="shared" si="86"/>
        <v/>
      </c>
      <c r="D706" s="1295" t="str">
        <f t="shared" si="87"/>
        <v/>
      </c>
      <c r="E706" s="1295"/>
      <c r="F706" s="1295"/>
      <c r="G706" s="831" t="str">
        <f t="shared" si="88"/>
        <v/>
      </c>
      <c r="H706" s="580"/>
      <c r="I706" s="1298"/>
      <c r="J706" s="1298"/>
      <c r="K706" s="1298"/>
      <c r="L706" s="1298"/>
      <c r="M706" s="1298"/>
      <c r="N706" s="1298"/>
      <c r="O706" s="1298"/>
      <c r="P706" s="1298"/>
    </row>
    <row r="707" spans="3:16" ht="18" hidden="1" customHeight="1">
      <c r="C707" s="599" t="str">
        <f t="shared" si="86"/>
        <v/>
      </c>
      <c r="D707" s="1295" t="str">
        <f t="shared" si="87"/>
        <v/>
      </c>
      <c r="E707" s="1295"/>
      <c r="F707" s="1295"/>
      <c r="G707" s="831" t="str">
        <f t="shared" si="88"/>
        <v/>
      </c>
      <c r="H707" s="580"/>
      <c r="I707" s="1298"/>
      <c r="J707" s="1298"/>
      <c r="K707" s="1298"/>
      <c r="L707" s="1298"/>
      <c r="M707" s="1298"/>
      <c r="N707" s="1298"/>
      <c r="O707" s="1298"/>
      <c r="P707" s="1298"/>
    </row>
    <row r="708" spans="3:16" ht="18" hidden="1" customHeight="1">
      <c r="C708" s="599" t="str">
        <f t="shared" si="86"/>
        <v/>
      </c>
      <c r="D708" s="1295" t="str">
        <f t="shared" si="87"/>
        <v/>
      </c>
      <c r="E708" s="1295"/>
      <c r="F708" s="1295"/>
      <c r="G708" s="831" t="str">
        <f t="shared" si="88"/>
        <v/>
      </c>
      <c r="H708" s="580"/>
      <c r="I708" s="1298"/>
      <c r="J708" s="1298"/>
      <c r="K708" s="1298"/>
      <c r="L708" s="1298"/>
      <c r="M708" s="1298"/>
      <c r="N708" s="1298"/>
      <c r="O708" s="1298"/>
      <c r="P708" s="1298"/>
    </row>
    <row r="709" spans="3:16" ht="18" hidden="1" customHeight="1">
      <c r="C709" s="599" t="str">
        <f t="shared" si="86"/>
        <v/>
      </c>
      <c r="D709" s="1295" t="str">
        <f t="shared" si="87"/>
        <v/>
      </c>
      <c r="E709" s="1295"/>
      <c r="F709" s="1295"/>
      <c r="G709" s="831" t="str">
        <f t="shared" si="88"/>
        <v/>
      </c>
      <c r="H709" s="580"/>
      <c r="I709" s="1298"/>
      <c r="J709" s="1298"/>
      <c r="K709" s="1298"/>
      <c r="L709" s="1298"/>
      <c r="M709" s="1298"/>
      <c r="N709" s="1298"/>
      <c r="O709" s="1298"/>
      <c r="P709" s="1298"/>
    </row>
    <row r="710" spans="3:16" ht="18" hidden="1" customHeight="1">
      <c r="C710" s="599" t="str">
        <f t="shared" si="86"/>
        <v/>
      </c>
      <c r="D710" s="1295" t="str">
        <f t="shared" si="87"/>
        <v/>
      </c>
      <c r="E710" s="1295"/>
      <c r="F710" s="1295"/>
      <c r="G710" s="831" t="str">
        <f t="shared" si="88"/>
        <v/>
      </c>
      <c r="H710" s="580"/>
      <c r="I710" s="1298"/>
      <c r="J710" s="1298"/>
      <c r="K710" s="1298"/>
      <c r="L710" s="1298"/>
      <c r="M710" s="1298"/>
      <c r="N710" s="1298"/>
      <c r="O710" s="1298"/>
      <c r="P710" s="1298"/>
    </row>
    <row r="711" spans="3:16" ht="18" hidden="1" customHeight="1">
      <c r="C711" s="599" t="str">
        <f t="shared" si="86"/>
        <v/>
      </c>
      <c r="D711" s="1295" t="str">
        <f t="shared" si="87"/>
        <v/>
      </c>
      <c r="E711" s="1295"/>
      <c r="F711" s="1295"/>
      <c r="G711" s="831" t="str">
        <f t="shared" si="88"/>
        <v/>
      </c>
      <c r="H711" s="580"/>
      <c r="I711" s="1298"/>
      <c r="J711" s="1298"/>
      <c r="K711" s="1298"/>
      <c r="L711" s="1298"/>
      <c r="M711" s="1298"/>
      <c r="N711" s="1298"/>
      <c r="O711" s="1298"/>
      <c r="P711" s="1298"/>
    </row>
    <row r="712" spans="3:16" ht="18" hidden="1" customHeight="1">
      <c r="C712" s="599" t="str">
        <f t="shared" si="86"/>
        <v/>
      </c>
      <c r="D712" s="1295" t="str">
        <f t="shared" si="87"/>
        <v/>
      </c>
      <c r="E712" s="1295"/>
      <c r="F712" s="1295"/>
      <c r="G712" s="831" t="str">
        <f t="shared" si="88"/>
        <v/>
      </c>
      <c r="H712" s="580"/>
      <c r="I712" s="1298"/>
      <c r="J712" s="1298"/>
      <c r="K712" s="1298"/>
      <c r="L712" s="1298"/>
      <c r="M712" s="1298"/>
      <c r="N712" s="1298"/>
      <c r="O712" s="1298"/>
      <c r="P712" s="1298"/>
    </row>
    <row r="713" spans="3:16" ht="18" hidden="1" customHeight="1">
      <c r="C713" s="599" t="str">
        <f t="shared" si="86"/>
        <v/>
      </c>
      <c r="D713" s="1295" t="str">
        <f t="shared" si="87"/>
        <v/>
      </c>
      <c r="E713" s="1295"/>
      <c r="F713" s="1295"/>
      <c r="G713" s="831" t="str">
        <f t="shared" si="88"/>
        <v/>
      </c>
      <c r="H713" s="580"/>
      <c r="I713" s="1298"/>
      <c r="J713" s="1298"/>
      <c r="K713" s="1298"/>
      <c r="L713" s="1298"/>
      <c r="M713" s="1298"/>
      <c r="N713" s="1298"/>
      <c r="O713" s="1298"/>
      <c r="P713" s="1298"/>
    </row>
    <row r="714" spans="3:16" ht="18" hidden="1" customHeight="1">
      <c r="C714" s="599" t="str">
        <f t="shared" si="86"/>
        <v/>
      </c>
      <c r="D714" s="1295" t="str">
        <f t="shared" si="87"/>
        <v/>
      </c>
      <c r="E714" s="1295"/>
      <c r="F714" s="1295"/>
      <c r="G714" s="831" t="str">
        <f t="shared" si="88"/>
        <v/>
      </c>
      <c r="H714" s="580"/>
      <c r="I714" s="1298"/>
      <c r="J714" s="1298"/>
      <c r="K714" s="1298"/>
      <c r="L714" s="1298"/>
      <c r="M714" s="1298"/>
      <c r="N714" s="1298"/>
      <c r="O714" s="1298"/>
      <c r="P714" s="1298"/>
    </row>
    <row r="715" spans="3:16" ht="18" hidden="1" customHeight="1">
      <c r="C715" s="599" t="str">
        <f t="shared" si="86"/>
        <v/>
      </c>
      <c r="D715" s="1295" t="str">
        <f t="shared" si="87"/>
        <v/>
      </c>
      <c r="E715" s="1295"/>
      <c r="F715" s="1295"/>
      <c r="G715" s="831" t="str">
        <f t="shared" si="88"/>
        <v/>
      </c>
      <c r="H715" s="580"/>
      <c r="I715" s="1298"/>
      <c r="J715" s="1298"/>
      <c r="K715" s="1298"/>
      <c r="L715" s="1298"/>
      <c r="M715" s="1298"/>
      <c r="N715" s="1298"/>
      <c r="O715" s="1298"/>
      <c r="P715" s="1298"/>
    </row>
    <row r="716" spans="3:16" ht="18" hidden="1" customHeight="1">
      <c r="C716" s="599" t="str">
        <f t="shared" si="86"/>
        <v/>
      </c>
      <c r="D716" s="1295" t="str">
        <f t="shared" si="87"/>
        <v/>
      </c>
      <c r="E716" s="1295"/>
      <c r="F716" s="1295"/>
      <c r="G716" s="831" t="str">
        <f t="shared" si="88"/>
        <v/>
      </c>
      <c r="H716" s="580"/>
      <c r="I716" s="1298"/>
      <c r="J716" s="1298"/>
      <c r="K716" s="1298"/>
      <c r="L716" s="1298"/>
      <c r="M716" s="1298"/>
      <c r="N716" s="1298"/>
      <c r="O716" s="1298"/>
      <c r="P716" s="1298"/>
    </row>
    <row r="717" spans="3:16" ht="18" hidden="1" customHeight="1">
      <c r="C717" s="599" t="str">
        <f t="shared" si="86"/>
        <v/>
      </c>
      <c r="D717" s="1295" t="str">
        <f t="shared" si="87"/>
        <v/>
      </c>
      <c r="E717" s="1295"/>
      <c r="F717" s="1295"/>
      <c r="G717" s="831" t="str">
        <f t="shared" si="88"/>
        <v/>
      </c>
      <c r="H717" s="580"/>
      <c r="I717" s="1298"/>
      <c r="J717" s="1298"/>
      <c r="K717" s="1298"/>
      <c r="L717" s="1298"/>
      <c r="M717" s="1298"/>
      <c r="N717" s="1298"/>
      <c r="O717" s="1298"/>
      <c r="P717" s="1298"/>
    </row>
    <row r="718" spans="3:16" ht="18" hidden="1" customHeight="1">
      <c r="C718" s="599" t="str">
        <f t="shared" si="86"/>
        <v/>
      </c>
      <c r="D718" s="1295" t="str">
        <f t="shared" si="87"/>
        <v/>
      </c>
      <c r="E718" s="1295"/>
      <c r="F718" s="1295"/>
      <c r="G718" s="831" t="str">
        <f t="shared" si="88"/>
        <v/>
      </c>
      <c r="H718" s="580"/>
      <c r="I718" s="1298"/>
      <c r="J718" s="1298"/>
      <c r="K718" s="1298"/>
      <c r="L718" s="1298"/>
      <c r="M718" s="1298"/>
      <c r="N718" s="1298"/>
      <c r="O718" s="1298"/>
      <c r="P718" s="1298"/>
    </row>
    <row r="719" spans="3:16" ht="18" hidden="1" customHeight="1">
      <c r="C719" s="599" t="str">
        <f t="shared" si="86"/>
        <v/>
      </c>
      <c r="D719" s="1295" t="str">
        <f t="shared" si="87"/>
        <v/>
      </c>
      <c r="E719" s="1295"/>
      <c r="F719" s="1295"/>
      <c r="G719" s="831" t="str">
        <f t="shared" si="88"/>
        <v/>
      </c>
      <c r="H719" s="580"/>
      <c r="I719" s="1298"/>
      <c r="J719" s="1298"/>
      <c r="K719" s="1298"/>
      <c r="L719" s="1298"/>
      <c r="M719" s="1298"/>
      <c r="N719" s="1298"/>
      <c r="O719" s="1298"/>
      <c r="P719" s="1298"/>
    </row>
    <row r="720" spans="3:16" ht="18" hidden="1" customHeight="1">
      <c r="C720" s="599" t="str">
        <f t="shared" si="86"/>
        <v/>
      </c>
      <c r="D720" s="1295" t="str">
        <f t="shared" si="87"/>
        <v/>
      </c>
      <c r="E720" s="1295"/>
      <c r="F720" s="1295"/>
      <c r="G720" s="831" t="str">
        <f t="shared" si="88"/>
        <v/>
      </c>
      <c r="H720" s="580"/>
      <c r="I720" s="1298"/>
      <c r="J720" s="1298"/>
      <c r="K720" s="1298"/>
      <c r="L720" s="1298"/>
      <c r="M720" s="1298"/>
      <c r="N720" s="1298"/>
      <c r="O720" s="1298"/>
      <c r="P720" s="1298"/>
    </row>
    <row r="721" spans="3:16" ht="18" hidden="1" customHeight="1">
      <c r="C721" s="599" t="str">
        <f t="shared" ref="C721:C752" si="89">IF(A464="Si",C464,"")</f>
        <v/>
      </c>
      <c r="D721" s="1295" t="str">
        <f t="shared" ref="D721:D777" si="90">IF(A464="Si",D464,"")</f>
        <v/>
      </c>
      <c r="E721" s="1295"/>
      <c r="F721" s="1295"/>
      <c r="G721" s="831" t="str">
        <f t="shared" ref="G721:G777" si="91">IF(A464="Si",M464,"")</f>
        <v/>
      </c>
      <c r="H721" s="580"/>
      <c r="I721" s="1298"/>
      <c r="J721" s="1298"/>
      <c r="K721" s="1298"/>
      <c r="L721" s="1298"/>
      <c r="M721" s="1298"/>
      <c r="N721" s="1298"/>
      <c r="O721" s="1298"/>
      <c r="P721" s="1298"/>
    </row>
    <row r="722" spans="3:16" ht="18" hidden="1" customHeight="1">
      <c r="C722" s="599" t="str">
        <f t="shared" si="89"/>
        <v/>
      </c>
      <c r="D722" s="1295" t="str">
        <f t="shared" si="90"/>
        <v/>
      </c>
      <c r="E722" s="1295"/>
      <c r="F722" s="1295"/>
      <c r="G722" s="831" t="str">
        <f t="shared" si="91"/>
        <v/>
      </c>
      <c r="H722" s="580"/>
      <c r="I722" s="1298"/>
      <c r="J722" s="1298"/>
      <c r="K722" s="1298"/>
      <c r="L722" s="1298"/>
      <c r="M722" s="1298"/>
      <c r="N722" s="1298"/>
      <c r="O722" s="1298"/>
      <c r="P722" s="1298"/>
    </row>
    <row r="723" spans="3:16" ht="18" hidden="1" customHeight="1">
      <c r="C723" s="599" t="str">
        <f t="shared" si="89"/>
        <v/>
      </c>
      <c r="D723" s="1295" t="str">
        <f t="shared" si="90"/>
        <v/>
      </c>
      <c r="E723" s="1295"/>
      <c r="F723" s="1295"/>
      <c r="G723" s="831" t="str">
        <f t="shared" si="91"/>
        <v/>
      </c>
      <c r="H723" s="580"/>
      <c r="I723" s="1298"/>
      <c r="J723" s="1298"/>
      <c r="K723" s="1298"/>
      <c r="L723" s="1298"/>
      <c r="M723" s="1298"/>
      <c r="N723" s="1298"/>
      <c r="O723" s="1298"/>
      <c r="P723" s="1298"/>
    </row>
    <row r="724" spans="3:16" ht="18" hidden="1" customHeight="1">
      <c r="C724" s="599" t="str">
        <f t="shared" si="89"/>
        <v/>
      </c>
      <c r="D724" s="1295" t="str">
        <f t="shared" si="90"/>
        <v/>
      </c>
      <c r="E724" s="1295"/>
      <c r="F724" s="1295"/>
      <c r="G724" s="831" t="str">
        <f t="shared" si="91"/>
        <v/>
      </c>
      <c r="H724" s="580"/>
      <c r="I724" s="1298"/>
      <c r="J724" s="1298"/>
      <c r="K724" s="1298"/>
      <c r="L724" s="1298"/>
      <c r="M724" s="1298"/>
      <c r="N724" s="1298"/>
      <c r="O724" s="1298"/>
      <c r="P724" s="1298"/>
    </row>
    <row r="725" spans="3:16" ht="18" hidden="1" customHeight="1">
      <c r="C725" s="599" t="str">
        <f t="shared" si="89"/>
        <v/>
      </c>
      <c r="D725" s="1295" t="str">
        <f t="shared" si="90"/>
        <v/>
      </c>
      <c r="E725" s="1295"/>
      <c r="F725" s="1295"/>
      <c r="G725" s="831" t="str">
        <f t="shared" si="91"/>
        <v/>
      </c>
      <c r="H725" s="580"/>
      <c r="I725" s="1298"/>
      <c r="J725" s="1298"/>
      <c r="K725" s="1298"/>
      <c r="L725" s="1298"/>
      <c r="M725" s="1298"/>
      <c r="N725" s="1298"/>
      <c r="O725" s="1298"/>
      <c r="P725" s="1298"/>
    </row>
    <row r="726" spans="3:16" ht="18" hidden="1" customHeight="1">
      <c r="C726" s="599" t="str">
        <f t="shared" si="89"/>
        <v/>
      </c>
      <c r="D726" s="1295" t="str">
        <f t="shared" si="90"/>
        <v/>
      </c>
      <c r="E726" s="1295"/>
      <c r="F726" s="1295"/>
      <c r="G726" s="831" t="str">
        <f t="shared" si="91"/>
        <v/>
      </c>
      <c r="H726" s="580"/>
      <c r="I726" s="1298"/>
      <c r="J726" s="1298"/>
      <c r="K726" s="1298"/>
      <c r="L726" s="1298"/>
      <c r="M726" s="1298"/>
      <c r="N726" s="1298"/>
      <c r="O726" s="1298"/>
      <c r="P726" s="1298"/>
    </row>
    <row r="727" spans="3:16" ht="18" hidden="1" customHeight="1">
      <c r="C727" s="599" t="str">
        <f t="shared" si="89"/>
        <v/>
      </c>
      <c r="D727" s="1295" t="str">
        <f t="shared" si="90"/>
        <v/>
      </c>
      <c r="E727" s="1295"/>
      <c r="F727" s="1295"/>
      <c r="G727" s="831" t="str">
        <f t="shared" si="91"/>
        <v/>
      </c>
      <c r="H727" s="580"/>
      <c r="I727" s="1298"/>
      <c r="J727" s="1298"/>
      <c r="K727" s="1298"/>
      <c r="L727" s="1298"/>
      <c r="M727" s="1298"/>
      <c r="N727" s="1298"/>
      <c r="O727" s="1298"/>
      <c r="P727" s="1298"/>
    </row>
    <row r="728" spans="3:16" ht="18" hidden="1" customHeight="1">
      <c r="C728" s="599" t="str">
        <f t="shared" si="89"/>
        <v/>
      </c>
      <c r="D728" s="1295" t="str">
        <f t="shared" si="90"/>
        <v/>
      </c>
      <c r="E728" s="1295"/>
      <c r="F728" s="1295"/>
      <c r="G728" s="831" t="str">
        <f t="shared" si="91"/>
        <v/>
      </c>
      <c r="H728" s="580"/>
      <c r="I728" s="1298"/>
      <c r="J728" s="1298"/>
      <c r="K728" s="1298"/>
      <c r="L728" s="1298"/>
      <c r="M728" s="1298"/>
      <c r="N728" s="1298"/>
      <c r="O728" s="1298"/>
      <c r="P728" s="1298"/>
    </row>
    <row r="729" spans="3:16" ht="18" hidden="1" customHeight="1">
      <c r="C729" s="599" t="str">
        <f t="shared" si="89"/>
        <v/>
      </c>
      <c r="D729" s="1295" t="str">
        <f t="shared" si="90"/>
        <v/>
      </c>
      <c r="E729" s="1295"/>
      <c r="F729" s="1295"/>
      <c r="G729" s="831" t="str">
        <f t="shared" si="91"/>
        <v/>
      </c>
      <c r="H729" s="580"/>
      <c r="I729" s="1298"/>
      <c r="J729" s="1298"/>
      <c r="K729" s="1298"/>
      <c r="L729" s="1298"/>
      <c r="M729" s="1298"/>
      <c r="N729" s="1298"/>
      <c r="O729" s="1298"/>
      <c r="P729" s="1298"/>
    </row>
    <row r="730" spans="3:16" ht="18" hidden="1" customHeight="1">
      <c r="C730" s="599" t="str">
        <f t="shared" si="89"/>
        <v/>
      </c>
      <c r="D730" s="1295" t="str">
        <f t="shared" si="90"/>
        <v/>
      </c>
      <c r="E730" s="1295"/>
      <c r="F730" s="1295"/>
      <c r="G730" s="831" t="str">
        <f t="shared" si="91"/>
        <v/>
      </c>
      <c r="H730" s="580"/>
      <c r="I730" s="1298"/>
      <c r="J730" s="1298"/>
      <c r="K730" s="1298"/>
      <c r="L730" s="1298"/>
      <c r="M730" s="1298"/>
      <c r="N730" s="1298"/>
      <c r="O730" s="1298"/>
      <c r="P730" s="1298"/>
    </row>
    <row r="731" spans="3:16" ht="18" hidden="1" customHeight="1">
      <c r="C731" s="599" t="str">
        <f t="shared" si="89"/>
        <v/>
      </c>
      <c r="D731" s="1295" t="str">
        <f t="shared" si="90"/>
        <v/>
      </c>
      <c r="E731" s="1295"/>
      <c r="F731" s="1295"/>
      <c r="G731" s="831" t="str">
        <f t="shared" si="91"/>
        <v/>
      </c>
      <c r="H731" s="580"/>
      <c r="I731" s="1298"/>
      <c r="J731" s="1298"/>
      <c r="K731" s="1298"/>
      <c r="L731" s="1298"/>
      <c r="M731" s="1298"/>
      <c r="N731" s="1298"/>
      <c r="O731" s="1298"/>
      <c r="P731" s="1298"/>
    </row>
    <row r="732" spans="3:16" ht="18" hidden="1" customHeight="1">
      <c r="C732" s="599" t="str">
        <f t="shared" si="89"/>
        <v/>
      </c>
      <c r="D732" s="1295" t="str">
        <f t="shared" si="90"/>
        <v/>
      </c>
      <c r="E732" s="1295"/>
      <c r="F732" s="1295"/>
      <c r="G732" s="831" t="str">
        <f t="shared" si="91"/>
        <v/>
      </c>
      <c r="H732" s="580"/>
      <c r="I732" s="1298"/>
      <c r="J732" s="1298"/>
      <c r="K732" s="1298"/>
      <c r="L732" s="1298"/>
      <c r="M732" s="1298"/>
      <c r="N732" s="1298"/>
      <c r="O732" s="1298"/>
      <c r="P732" s="1298"/>
    </row>
    <row r="733" spans="3:16" ht="18" hidden="1" customHeight="1">
      <c r="C733" s="599" t="str">
        <f t="shared" si="89"/>
        <v/>
      </c>
      <c r="D733" s="1295" t="str">
        <f t="shared" si="90"/>
        <v/>
      </c>
      <c r="E733" s="1295"/>
      <c r="F733" s="1295"/>
      <c r="G733" s="831" t="str">
        <f t="shared" si="91"/>
        <v/>
      </c>
      <c r="H733" s="580"/>
      <c r="I733" s="1298"/>
      <c r="J733" s="1298"/>
      <c r="K733" s="1298"/>
      <c r="L733" s="1298"/>
      <c r="M733" s="1298"/>
      <c r="N733" s="1298"/>
      <c r="O733" s="1298"/>
      <c r="P733" s="1298"/>
    </row>
    <row r="734" spans="3:16" ht="18" hidden="1" customHeight="1">
      <c r="C734" s="599" t="str">
        <f t="shared" si="89"/>
        <v/>
      </c>
      <c r="D734" s="1295" t="str">
        <f t="shared" si="90"/>
        <v/>
      </c>
      <c r="E734" s="1295"/>
      <c r="F734" s="1295"/>
      <c r="G734" s="831" t="str">
        <f t="shared" si="91"/>
        <v/>
      </c>
      <c r="H734" s="580"/>
      <c r="I734" s="1298"/>
      <c r="J734" s="1298"/>
      <c r="K734" s="1298"/>
      <c r="L734" s="1298"/>
      <c r="M734" s="1298"/>
      <c r="N734" s="1298"/>
      <c r="O734" s="1298"/>
      <c r="P734" s="1298"/>
    </row>
    <row r="735" spans="3:16" ht="18" hidden="1" customHeight="1">
      <c r="C735" s="599" t="str">
        <f t="shared" si="89"/>
        <v/>
      </c>
      <c r="D735" s="1295" t="str">
        <f t="shared" si="90"/>
        <v/>
      </c>
      <c r="E735" s="1295"/>
      <c r="F735" s="1295"/>
      <c r="G735" s="831" t="str">
        <f t="shared" si="91"/>
        <v/>
      </c>
      <c r="H735" s="580"/>
      <c r="I735" s="1298"/>
      <c r="J735" s="1298"/>
      <c r="K735" s="1298"/>
      <c r="L735" s="1298"/>
      <c r="M735" s="1298"/>
      <c r="N735" s="1298"/>
      <c r="O735" s="1298"/>
      <c r="P735" s="1298"/>
    </row>
    <row r="736" spans="3:16" ht="18" hidden="1" customHeight="1">
      <c r="C736" s="599" t="str">
        <f t="shared" si="89"/>
        <v/>
      </c>
      <c r="D736" s="1295" t="str">
        <f t="shared" si="90"/>
        <v/>
      </c>
      <c r="E736" s="1295"/>
      <c r="F736" s="1295"/>
      <c r="G736" s="831" t="str">
        <f t="shared" si="91"/>
        <v/>
      </c>
      <c r="H736" s="580"/>
      <c r="I736" s="1298"/>
      <c r="J736" s="1298"/>
      <c r="K736" s="1298"/>
      <c r="L736" s="1298"/>
      <c r="M736" s="1298"/>
      <c r="N736" s="1298"/>
      <c r="O736" s="1298"/>
      <c r="P736" s="1298"/>
    </row>
    <row r="737" spans="3:16" ht="18" hidden="1" customHeight="1">
      <c r="C737" s="599" t="str">
        <f t="shared" si="89"/>
        <v/>
      </c>
      <c r="D737" s="1295" t="str">
        <f t="shared" si="90"/>
        <v/>
      </c>
      <c r="E737" s="1295"/>
      <c r="F737" s="1295"/>
      <c r="G737" s="831" t="str">
        <f t="shared" si="91"/>
        <v/>
      </c>
      <c r="H737" s="580"/>
      <c r="I737" s="1298"/>
      <c r="J737" s="1298"/>
      <c r="K737" s="1298"/>
      <c r="L737" s="1298"/>
      <c r="M737" s="1298"/>
      <c r="N737" s="1298"/>
      <c r="O737" s="1298"/>
      <c r="P737" s="1298"/>
    </row>
    <row r="738" spans="3:16" ht="18" hidden="1" customHeight="1">
      <c r="C738" s="599" t="str">
        <f t="shared" si="89"/>
        <v/>
      </c>
      <c r="D738" s="1295" t="str">
        <f t="shared" si="90"/>
        <v/>
      </c>
      <c r="E738" s="1295"/>
      <c r="F738" s="1295"/>
      <c r="G738" s="831" t="str">
        <f t="shared" si="91"/>
        <v/>
      </c>
      <c r="H738" s="580"/>
      <c r="I738" s="1298"/>
      <c r="J738" s="1298"/>
      <c r="K738" s="1298"/>
      <c r="L738" s="1298"/>
      <c r="M738" s="1298"/>
      <c r="N738" s="1298"/>
      <c r="O738" s="1298"/>
      <c r="P738" s="1298"/>
    </row>
    <row r="739" spans="3:16" ht="18" hidden="1" customHeight="1">
      <c r="C739" s="599" t="str">
        <f t="shared" si="89"/>
        <v/>
      </c>
      <c r="D739" s="1295" t="str">
        <f t="shared" si="90"/>
        <v/>
      </c>
      <c r="E739" s="1295"/>
      <c r="F739" s="1295"/>
      <c r="G739" s="831" t="str">
        <f t="shared" si="91"/>
        <v/>
      </c>
      <c r="H739" s="580"/>
      <c r="I739" s="1298"/>
      <c r="J739" s="1298"/>
      <c r="K739" s="1298"/>
      <c r="L739" s="1298"/>
      <c r="M739" s="1298"/>
      <c r="N739" s="1298"/>
      <c r="O739" s="1298"/>
      <c r="P739" s="1298"/>
    </row>
    <row r="740" spans="3:16" ht="18" hidden="1" customHeight="1">
      <c r="C740" s="599" t="str">
        <f t="shared" si="89"/>
        <v/>
      </c>
      <c r="D740" s="1295" t="str">
        <f t="shared" si="90"/>
        <v/>
      </c>
      <c r="E740" s="1295"/>
      <c r="F740" s="1295"/>
      <c r="G740" s="831" t="str">
        <f t="shared" si="91"/>
        <v/>
      </c>
      <c r="H740" s="580"/>
      <c r="I740" s="1298"/>
      <c r="J740" s="1298"/>
      <c r="K740" s="1298"/>
      <c r="L740" s="1298"/>
      <c r="M740" s="1298"/>
      <c r="N740" s="1298"/>
      <c r="O740" s="1298"/>
      <c r="P740" s="1298"/>
    </row>
    <row r="741" spans="3:16" ht="18" hidden="1" customHeight="1">
      <c r="C741" s="599" t="str">
        <f t="shared" si="89"/>
        <v/>
      </c>
      <c r="D741" s="1295" t="str">
        <f t="shared" si="90"/>
        <v/>
      </c>
      <c r="E741" s="1295"/>
      <c r="F741" s="1295"/>
      <c r="G741" s="831" t="str">
        <f t="shared" si="91"/>
        <v/>
      </c>
      <c r="H741" s="580"/>
      <c r="I741" s="1298"/>
      <c r="J741" s="1298"/>
      <c r="K741" s="1298"/>
      <c r="L741" s="1298"/>
      <c r="M741" s="1298"/>
      <c r="N741" s="1298"/>
      <c r="O741" s="1298"/>
      <c r="P741" s="1298"/>
    </row>
    <row r="742" spans="3:16" ht="18" hidden="1" customHeight="1">
      <c r="C742" s="599" t="str">
        <f t="shared" si="89"/>
        <v/>
      </c>
      <c r="D742" s="1295" t="str">
        <f t="shared" si="90"/>
        <v/>
      </c>
      <c r="E742" s="1295"/>
      <c r="F742" s="1295"/>
      <c r="G742" s="831" t="str">
        <f t="shared" si="91"/>
        <v/>
      </c>
      <c r="H742" s="580"/>
      <c r="I742" s="1298"/>
      <c r="J742" s="1298"/>
      <c r="K742" s="1298"/>
      <c r="L742" s="1298"/>
      <c r="M742" s="1298"/>
      <c r="N742" s="1298"/>
      <c r="O742" s="1298"/>
      <c r="P742" s="1298"/>
    </row>
    <row r="743" spans="3:16" ht="18" hidden="1" customHeight="1">
      <c r="C743" s="599" t="str">
        <f t="shared" si="89"/>
        <v/>
      </c>
      <c r="D743" s="1295" t="str">
        <f t="shared" si="90"/>
        <v/>
      </c>
      <c r="E743" s="1295"/>
      <c r="F743" s="1295"/>
      <c r="G743" s="831" t="str">
        <f t="shared" si="91"/>
        <v/>
      </c>
      <c r="H743" s="580"/>
      <c r="I743" s="1298"/>
      <c r="J743" s="1298"/>
      <c r="K743" s="1298"/>
      <c r="L743" s="1298"/>
      <c r="M743" s="1298"/>
      <c r="N743" s="1298"/>
      <c r="O743" s="1298"/>
      <c r="P743" s="1298"/>
    </row>
    <row r="744" spans="3:16" ht="18" hidden="1" customHeight="1">
      <c r="C744" s="599" t="str">
        <f t="shared" si="89"/>
        <v/>
      </c>
      <c r="D744" s="1295" t="str">
        <f t="shared" si="90"/>
        <v/>
      </c>
      <c r="E744" s="1295"/>
      <c r="F744" s="1295"/>
      <c r="G744" s="831" t="str">
        <f t="shared" si="91"/>
        <v/>
      </c>
      <c r="H744" s="580"/>
      <c r="I744" s="1298"/>
      <c r="J744" s="1298"/>
      <c r="K744" s="1298"/>
      <c r="L744" s="1298"/>
      <c r="M744" s="1298"/>
      <c r="N744" s="1298"/>
      <c r="O744" s="1298"/>
      <c r="P744" s="1298"/>
    </row>
    <row r="745" spans="3:16" ht="18" hidden="1" customHeight="1">
      <c r="C745" s="599" t="str">
        <f t="shared" si="89"/>
        <v/>
      </c>
      <c r="D745" s="1295" t="str">
        <f t="shared" si="90"/>
        <v/>
      </c>
      <c r="E745" s="1295"/>
      <c r="F745" s="1295"/>
      <c r="G745" s="831" t="str">
        <f t="shared" si="91"/>
        <v/>
      </c>
      <c r="H745" s="580"/>
      <c r="I745" s="1298"/>
      <c r="J745" s="1298"/>
      <c r="K745" s="1298"/>
      <c r="L745" s="1298"/>
      <c r="M745" s="1298"/>
      <c r="N745" s="1298"/>
      <c r="O745" s="1298"/>
      <c r="P745" s="1298"/>
    </row>
    <row r="746" spans="3:16" ht="18" hidden="1" customHeight="1">
      <c r="C746" s="599" t="str">
        <f t="shared" si="89"/>
        <v/>
      </c>
      <c r="D746" s="1295" t="str">
        <f t="shared" si="90"/>
        <v/>
      </c>
      <c r="E746" s="1295"/>
      <c r="F746" s="1295"/>
      <c r="G746" s="831" t="str">
        <f t="shared" si="91"/>
        <v/>
      </c>
      <c r="H746" s="580"/>
      <c r="I746" s="1298"/>
      <c r="J746" s="1298"/>
      <c r="K746" s="1298"/>
      <c r="L746" s="1298"/>
      <c r="M746" s="1298"/>
      <c r="N746" s="1298"/>
      <c r="O746" s="1298"/>
      <c r="P746" s="1298"/>
    </row>
    <row r="747" spans="3:16" ht="18" hidden="1" customHeight="1">
      <c r="C747" s="599" t="str">
        <f t="shared" si="89"/>
        <v/>
      </c>
      <c r="D747" s="1295" t="str">
        <f t="shared" si="90"/>
        <v/>
      </c>
      <c r="E747" s="1295"/>
      <c r="F747" s="1295"/>
      <c r="G747" s="831" t="str">
        <f t="shared" si="91"/>
        <v/>
      </c>
      <c r="H747" s="580"/>
      <c r="I747" s="1298"/>
      <c r="J747" s="1298"/>
      <c r="K747" s="1298"/>
      <c r="L747" s="1298"/>
      <c r="M747" s="1298"/>
      <c r="N747" s="1298"/>
      <c r="O747" s="1298"/>
      <c r="P747" s="1298"/>
    </row>
    <row r="748" spans="3:16" ht="18" hidden="1" customHeight="1">
      <c r="C748" s="599" t="str">
        <f t="shared" si="89"/>
        <v/>
      </c>
      <c r="D748" s="1295" t="str">
        <f t="shared" si="90"/>
        <v/>
      </c>
      <c r="E748" s="1295"/>
      <c r="F748" s="1295"/>
      <c r="G748" s="831" t="str">
        <f t="shared" si="91"/>
        <v/>
      </c>
      <c r="H748" s="580"/>
      <c r="I748" s="1298"/>
      <c r="J748" s="1298"/>
      <c r="K748" s="1298"/>
      <c r="L748" s="1298"/>
      <c r="M748" s="1298"/>
      <c r="N748" s="1298"/>
      <c r="O748" s="1298"/>
      <c r="P748" s="1298"/>
    </row>
    <row r="749" spans="3:16" ht="18" hidden="1" customHeight="1">
      <c r="C749" s="599" t="str">
        <f t="shared" si="89"/>
        <v/>
      </c>
      <c r="D749" s="1295" t="str">
        <f t="shared" si="90"/>
        <v/>
      </c>
      <c r="E749" s="1295"/>
      <c r="F749" s="1295"/>
      <c r="G749" s="831" t="str">
        <f t="shared" si="91"/>
        <v/>
      </c>
      <c r="H749" s="580"/>
      <c r="I749" s="1298"/>
      <c r="J749" s="1298"/>
      <c r="K749" s="1298"/>
      <c r="L749" s="1298"/>
      <c r="M749" s="1298"/>
      <c r="N749" s="1298"/>
      <c r="O749" s="1298"/>
      <c r="P749" s="1298"/>
    </row>
    <row r="750" spans="3:16" ht="18" hidden="1" customHeight="1">
      <c r="C750" s="599" t="str">
        <f t="shared" si="89"/>
        <v/>
      </c>
      <c r="D750" s="1295" t="str">
        <f t="shared" si="90"/>
        <v/>
      </c>
      <c r="E750" s="1295"/>
      <c r="F750" s="1295"/>
      <c r="G750" s="831" t="str">
        <f t="shared" si="91"/>
        <v/>
      </c>
      <c r="H750" s="580"/>
      <c r="I750" s="1298"/>
      <c r="J750" s="1298"/>
      <c r="K750" s="1298"/>
      <c r="L750" s="1298"/>
      <c r="M750" s="1298"/>
      <c r="N750" s="1298"/>
      <c r="O750" s="1298"/>
      <c r="P750" s="1298"/>
    </row>
    <row r="751" spans="3:16" ht="18" hidden="1" customHeight="1">
      <c r="C751" s="599" t="str">
        <f t="shared" si="89"/>
        <v/>
      </c>
      <c r="D751" s="1295" t="str">
        <f t="shared" si="90"/>
        <v/>
      </c>
      <c r="E751" s="1295"/>
      <c r="F751" s="1295"/>
      <c r="G751" s="831" t="str">
        <f t="shared" si="91"/>
        <v/>
      </c>
      <c r="H751" s="580"/>
      <c r="I751" s="1298"/>
      <c r="J751" s="1298"/>
      <c r="K751" s="1298"/>
      <c r="L751" s="1298"/>
      <c r="M751" s="1298"/>
      <c r="N751" s="1298"/>
      <c r="O751" s="1298"/>
      <c r="P751" s="1298"/>
    </row>
    <row r="752" spans="3:16" ht="18" hidden="1" customHeight="1">
      <c r="C752" s="599" t="str">
        <f t="shared" si="89"/>
        <v/>
      </c>
      <c r="D752" s="1295" t="str">
        <f t="shared" si="90"/>
        <v/>
      </c>
      <c r="E752" s="1295"/>
      <c r="F752" s="1295"/>
      <c r="G752" s="831" t="str">
        <f t="shared" si="91"/>
        <v/>
      </c>
      <c r="H752" s="580"/>
      <c r="I752" s="1298"/>
      <c r="J752" s="1298"/>
      <c r="K752" s="1298"/>
      <c r="L752" s="1298"/>
      <c r="M752" s="1298"/>
      <c r="N752" s="1298"/>
      <c r="O752" s="1298"/>
      <c r="P752" s="1298"/>
    </row>
    <row r="753" spans="3:16" ht="18" hidden="1" customHeight="1">
      <c r="C753" s="599" t="str">
        <f t="shared" ref="C753:C777" si="92">IF(A496="Si",C496,"")</f>
        <v/>
      </c>
      <c r="D753" s="1295" t="str">
        <f t="shared" si="90"/>
        <v/>
      </c>
      <c r="E753" s="1295"/>
      <c r="F753" s="1295"/>
      <c r="G753" s="831" t="str">
        <f t="shared" si="91"/>
        <v/>
      </c>
      <c r="H753" s="580"/>
      <c r="I753" s="1298"/>
      <c r="J753" s="1298"/>
      <c r="K753" s="1298"/>
      <c r="L753" s="1298"/>
      <c r="M753" s="1298"/>
      <c r="N753" s="1298"/>
      <c r="O753" s="1298"/>
      <c r="P753" s="1298"/>
    </row>
    <row r="754" spans="3:16" ht="18" hidden="1" customHeight="1">
      <c r="C754" s="599" t="str">
        <f t="shared" si="92"/>
        <v/>
      </c>
      <c r="D754" s="1295" t="str">
        <f t="shared" si="90"/>
        <v/>
      </c>
      <c r="E754" s="1295"/>
      <c r="F754" s="1295"/>
      <c r="G754" s="831" t="str">
        <f t="shared" si="91"/>
        <v/>
      </c>
      <c r="H754" s="580"/>
      <c r="I754" s="1298"/>
      <c r="J754" s="1298"/>
      <c r="K754" s="1298"/>
      <c r="L754" s="1298"/>
      <c r="M754" s="1298"/>
      <c r="N754" s="1298"/>
      <c r="O754" s="1298"/>
      <c r="P754" s="1298"/>
    </row>
    <row r="755" spans="3:16" ht="18" hidden="1" customHeight="1">
      <c r="C755" s="599" t="str">
        <f t="shared" si="92"/>
        <v/>
      </c>
      <c r="D755" s="1295" t="str">
        <f t="shared" si="90"/>
        <v/>
      </c>
      <c r="E755" s="1295"/>
      <c r="F755" s="1295"/>
      <c r="G755" s="831" t="str">
        <f t="shared" si="91"/>
        <v/>
      </c>
      <c r="H755" s="580"/>
      <c r="I755" s="1298"/>
      <c r="J755" s="1298"/>
      <c r="K755" s="1298"/>
      <c r="L755" s="1298"/>
      <c r="M755" s="1298"/>
      <c r="N755" s="1298"/>
      <c r="O755" s="1298"/>
      <c r="P755" s="1298"/>
    </row>
    <row r="756" spans="3:16" ht="18" hidden="1" customHeight="1">
      <c r="C756" s="599" t="str">
        <f t="shared" si="92"/>
        <v/>
      </c>
      <c r="D756" s="1295" t="str">
        <f t="shared" si="90"/>
        <v/>
      </c>
      <c r="E756" s="1295"/>
      <c r="F756" s="1295"/>
      <c r="G756" s="831" t="str">
        <f t="shared" si="91"/>
        <v/>
      </c>
      <c r="H756" s="580"/>
      <c r="I756" s="1298"/>
      <c r="J756" s="1298"/>
      <c r="K756" s="1298"/>
      <c r="L756" s="1298"/>
      <c r="M756" s="1298"/>
      <c r="N756" s="1298"/>
      <c r="O756" s="1298"/>
      <c r="P756" s="1298"/>
    </row>
    <row r="757" spans="3:16" ht="18" hidden="1" customHeight="1">
      <c r="C757" s="599" t="str">
        <f t="shared" si="92"/>
        <v/>
      </c>
      <c r="D757" s="1295" t="str">
        <f t="shared" si="90"/>
        <v/>
      </c>
      <c r="E757" s="1295"/>
      <c r="F757" s="1295"/>
      <c r="G757" s="831" t="str">
        <f t="shared" si="91"/>
        <v/>
      </c>
      <c r="H757" s="580"/>
      <c r="I757" s="1298"/>
      <c r="J757" s="1298"/>
      <c r="K757" s="1298"/>
      <c r="L757" s="1298"/>
      <c r="M757" s="1298"/>
      <c r="N757" s="1298"/>
      <c r="O757" s="1298"/>
      <c r="P757" s="1298"/>
    </row>
    <row r="758" spans="3:16" ht="18" hidden="1" customHeight="1">
      <c r="C758" s="599" t="str">
        <f t="shared" si="92"/>
        <v/>
      </c>
      <c r="D758" s="1295" t="str">
        <f t="shared" si="90"/>
        <v/>
      </c>
      <c r="E758" s="1295"/>
      <c r="F758" s="1295"/>
      <c r="G758" s="831" t="str">
        <f t="shared" si="91"/>
        <v/>
      </c>
      <c r="H758" s="580"/>
      <c r="I758" s="1298"/>
      <c r="J758" s="1298"/>
      <c r="K758" s="1298"/>
      <c r="L758" s="1298"/>
      <c r="M758" s="1298"/>
      <c r="N758" s="1298"/>
      <c r="O758" s="1298"/>
      <c r="P758" s="1298"/>
    </row>
    <row r="759" spans="3:16" ht="18" hidden="1" customHeight="1">
      <c r="C759" s="599" t="str">
        <f t="shared" si="92"/>
        <v/>
      </c>
      <c r="D759" s="1295" t="str">
        <f t="shared" si="90"/>
        <v/>
      </c>
      <c r="E759" s="1295"/>
      <c r="F759" s="1295"/>
      <c r="G759" s="831" t="str">
        <f t="shared" si="91"/>
        <v/>
      </c>
      <c r="H759" s="580"/>
      <c r="I759" s="1298"/>
      <c r="J759" s="1298"/>
      <c r="K759" s="1298"/>
      <c r="L759" s="1298"/>
      <c r="M759" s="1298"/>
      <c r="N759" s="1298"/>
      <c r="O759" s="1298"/>
      <c r="P759" s="1298"/>
    </row>
    <row r="760" spans="3:16" ht="18" hidden="1" customHeight="1">
      <c r="C760" s="599" t="str">
        <f t="shared" si="92"/>
        <v/>
      </c>
      <c r="D760" s="1295" t="str">
        <f t="shared" si="90"/>
        <v/>
      </c>
      <c r="E760" s="1295"/>
      <c r="F760" s="1295"/>
      <c r="G760" s="831" t="str">
        <f t="shared" si="91"/>
        <v/>
      </c>
      <c r="H760" s="580"/>
      <c r="I760" s="1298"/>
      <c r="J760" s="1298"/>
      <c r="K760" s="1298"/>
      <c r="L760" s="1298"/>
      <c r="M760" s="1298"/>
      <c r="N760" s="1298"/>
      <c r="O760" s="1298"/>
      <c r="P760" s="1298"/>
    </row>
    <row r="761" spans="3:16" ht="18" hidden="1" customHeight="1">
      <c r="C761" s="599" t="str">
        <f t="shared" si="92"/>
        <v/>
      </c>
      <c r="D761" s="1295" t="str">
        <f t="shared" si="90"/>
        <v/>
      </c>
      <c r="E761" s="1295"/>
      <c r="F761" s="1295"/>
      <c r="G761" s="831" t="str">
        <f t="shared" si="91"/>
        <v/>
      </c>
      <c r="H761" s="580"/>
      <c r="I761" s="1298"/>
      <c r="J761" s="1298"/>
      <c r="K761" s="1298"/>
      <c r="L761" s="1298"/>
      <c r="M761" s="1298"/>
      <c r="N761" s="1298"/>
      <c r="O761" s="1298"/>
      <c r="P761" s="1298"/>
    </row>
    <row r="762" spans="3:16" ht="18" hidden="1" customHeight="1">
      <c r="C762" s="599" t="str">
        <f t="shared" si="92"/>
        <v/>
      </c>
      <c r="D762" s="1295" t="str">
        <f t="shared" si="90"/>
        <v/>
      </c>
      <c r="E762" s="1295"/>
      <c r="F762" s="1295"/>
      <c r="G762" s="831" t="str">
        <f t="shared" si="91"/>
        <v/>
      </c>
      <c r="H762" s="580"/>
      <c r="I762" s="1298"/>
      <c r="J762" s="1298"/>
      <c r="K762" s="1298"/>
      <c r="L762" s="1298"/>
      <c r="M762" s="1298"/>
      <c r="N762" s="1298"/>
      <c r="O762" s="1298"/>
      <c r="P762" s="1298"/>
    </row>
    <row r="763" spans="3:16" ht="18" hidden="1" customHeight="1">
      <c r="C763" s="599" t="str">
        <f t="shared" si="92"/>
        <v/>
      </c>
      <c r="D763" s="1295" t="str">
        <f t="shared" si="90"/>
        <v/>
      </c>
      <c r="E763" s="1295"/>
      <c r="F763" s="1295"/>
      <c r="G763" s="831" t="str">
        <f t="shared" si="91"/>
        <v/>
      </c>
      <c r="H763" s="580"/>
      <c r="I763" s="1298"/>
      <c r="J763" s="1298"/>
      <c r="K763" s="1298"/>
      <c r="L763" s="1298"/>
      <c r="M763" s="1298"/>
      <c r="N763" s="1298"/>
      <c r="O763" s="1298"/>
      <c r="P763" s="1298"/>
    </row>
    <row r="764" spans="3:16" ht="18" hidden="1" customHeight="1">
      <c r="C764" s="599" t="str">
        <f t="shared" si="92"/>
        <v/>
      </c>
      <c r="D764" s="1295" t="str">
        <f t="shared" si="90"/>
        <v/>
      </c>
      <c r="E764" s="1295"/>
      <c r="F764" s="1295"/>
      <c r="G764" s="831" t="str">
        <f t="shared" si="91"/>
        <v/>
      </c>
      <c r="H764" s="580"/>
      <c r="I764" s="1298"/>
      <c r="J764" s="1298"/>
      <c r="K764" s="1298"/>
      <c r="L764" s="1298"/>
      <c r="M764" s="1298"/>
      <c r="N764" s="1298"/>
      <c r="O764" s="1298"/>
      <c r="P764" s="1298"/>
    </row>
    <row r="765" spans="3:16" ht="18" hidden="1" customHeight="1">
      <c r="C765" s="599" t="str">
        <f t="shared" si="92"/>
        <v/>
      </c>
      <c r="D765" s="1295" t="str">
        <f t="shared" si="90"/>
        <v/>
      </c>
      <c r="E765" s="1295"/>
      <c r="F765" s="1295"/>
      <c r="G765" s="831" t="str">
        <f t="shared" si="91"/>
        <v/>
      </c>
      <c r="H765" s="580"/>
      <c r="I765" s="1298"/>
      <c r="J765" s="1298"/>
      <c r="K765" s="1298"/>
      <c r="L765" s="1298"/>
      <c r="M765" s="1298"/>
      <c r="N765" s="1298"/>
      <c r="O765" s="1298"/>
      <c r="P765" s="1298"/>
    </row>
    <row r="766" spans="3:16" ht="18" hidden="1" customHeight="1">
      <c r="C766" s="599" t="str">
        <f t="shared" si="92"/>
        <v/>
      </c>
      <c r="D766" s="1295" t="str">
        <f t="shared" si="90"/>
        <v/>
      </c>
      <c r="E766" s="1295"/>
      <c r="F766" s="1295"/>
      <c r="G766" s="831" t="str">
        <f t="shared" si="91"/>
        <v/>
      </c>
      <c r="H766" s="580"/>
      <c r="I766" s="1298"/>
      <c r="J766" s="1298"/>
      <c r="K766" s="1298"/>
      <c r="L766" s="1298"/>
      <c r="M766" s="1298"/>
      <c r="N766" s="1298"/>
      <c r="O766" s="1298"/>
      <c r="P766" s="1298"/>
    </row>
    <row r="767" spans="3:16" ht="18" hidden="1" customHeight="1">
      <c r="C767" s="599" t="str">
        <f t="shared" si="92"/>
        <v/>
      </c>
      <c r="D767" s="1295" t="str">
        <f t="shared" si="90"/>
        <v/>
      </c>
      <c r="E767" s="1295"/>
      <c r="F767" s="1295"/>
      <c r="G767" s="831" t="str">
        <f t="shared" si="91"/>
        <v/>
      </c>
      <c r="H767" s="580"/>
      <c r="I767" s="1298"/>
      <c r="J767" s="1298"/>
      <c r="K767" s="1298"/>
      <c r="L767" s="1298"/>
      <c r="M767" s="1298"/>
      <c r="N767" s="1298"/>
      <c r="O767" s="1298"/>
      <c r="P767" s="1298"/>
    </row>
    <row r="768" spans="3:16" ht="18" hidden="1" customHeight="1">
      <c r="C768" s="599" t="str">
        <f t="shared" si="92"/>
        <v/>
      </c>
      <c r="D768" s="1295" t="str">
        <f t="shared" si="90"/>
        <v/>
      </c>
      <c r="E768" s="1295"/>
      <c r="F768" s="1295"/>
      <c r="G768" s="831" t="str">
        <f t="shared" si="91"/>
        <v/>
      </c>
      <c r="H768" s="580"/>
      <c r="I768" s="1298"/>
      <c r="J768" s="1298"/>
      <c r="K768" s="1298"/>
      <c r="L768" s="1298"/>
      <c r="M768" s="1298"/>
      <c r="N768" s="1298"/>
      <c r="O768" s="1298"/>
      <c r="P768" s="1298"/>
    </row>
    <row r="769" spans="3:16" ht="18" hidden="1" customHeight="1">
      <c r="C769" s="599" t="str">
        <f t="shared" si="92"/>
        <v/>
      </c>
      <c r="D769" s="1295" t="str">
        <f t="shared" si="90"/>
        <v/>
      </c>
      <c r="E769" s="1295"/>
      <c r="F769" s="1295"/>
      <c r="G769" s="831" t="str">
        <f t="shared" si="91"/>
        <v/>
      </c>
      <c r="H769" s="580"/>
      <c r="I769" s="1298"/>
      <c r="J769" s="1298"/>
      <c r="K769" s="1298"/>
      <c r="L769" s="1298"/>
      <c r="M769" s="1298"/>
      <c r="N769" s="1298"/>
      <c r="O769" s="1298"/>
      <c r="P769" s="1298"/>
    </row>
    <row r="770" spans="3:16" ht="18" hidden="1" customHeight="1">
      <c r="C770" s="599" t="str">
        <f t="shared" si="92"/>
        <v/>
      </c>
      <c r="D770" s="1295" t="str">
        <f t="shared" si="90"/>
        <v/>
      </c>
      <c r="E770" s="1295"/>
      <c r="F770" s="1295"/>
      <c r="G770" s="831" t="str">
        <f t="shared" si="91"/>
        <v/>
      </c>
      <c r="H770" s="580"/>
      <c r="I770" s="1298"/>
      <c r="J770" s="1298"/>
      <c r="K770" s="1298"/>
      <c r="L770" s="1298"/>
      <c r="M770" s="1298"/>
      <c r="N770" s="1298"/>
      <c r="O770" s="1298"/>
      <c r="P770" s="1298"/>
    </row>
    <row r="771" spans="3:16" ht="18" hidden="1" customHeight="1">
      <c r="C771" s="599" t="str">
        <f t="shared" si="92"/>
        <v/>
      </c>
      <c r="D771" s="1295" t="str">
        <f t="shared" si="90"/>
        <v/>
      </c>
      <c r="E771" s="1295"/>
      <c r="F771" s="1295"/>
      <c r="G771" s="831" t="str">
        <f t="shared" si="91"/>
        <v/>
      </c>
      <c r="H771" s="580"/>
      <c r="I771" s="1298"/>
      <c r="J771" s="1298"/>
      <c r="K771" s="1298"/>
      <c r="L771" s="1298"/>
      <c r="M771" s="1298"/>
      <c r="N771" s="1298"/>
      <c r="O771" s="1298"/>
      <c r="P771" s="1298"/>
    </row>
    <row r="772" spans="3:16" ht="18" hidden="1" customHeight="1">
      <c r="C772" s="599" t="str">
        <f t="shared" si="92"/>
        <v/>
      </c>
      <c r="D772" s="1295" t="str">
        <f t="shared" si="90"/>
        <v/>
      </c>
      <c r="E772" s="1295"/>
      <c r="F772" s="1295"/>
      <c r="G772" s="831" t="str">
        <f>IF(A515="Si",M515,"")</f>
        <v/>
      </c>
      <c r="H772" s="580"/>
      <c r="I772" s="1298"/>
      <c r="J772" s="1298"/>
      <c r="K772" s="1298"/>
      <c r="L772" s="1298"/>
      <c r="M772" s="1298"/>
      <c r="N772" s="1298"/>
      <c r="O772" s="1298"/>
      <c r="P772" s="1298"/>
    </row>
    <row r="773" spans="3:16" ht="18" hidden="1" customHeight="1">
      <c r="C773" s="599" t="str">
        <f t="shared" si="92"/>
        <v/>
      </c>
      <c r="D773" s="1295" t="str">
        <f t="shared" si="90"/>
        <v/>
      </c>
      <c r="E773" s="1295"/>
      <c r="F773" s="1295"/>
      <c r="G773" s="831" t="str">
        <f t="shared" si="91"/>
        <v/>
      </c>
      <c r="H773" s="580"/>
      <c r="I773" s="1298"/>
      <c r="J773" s="1298"/>
      <c r="K773" s="1298"/>
      <c r="L773" s="1298"/>
      <c r="M773" s="1298"/>
      <c r="N773" s="1298"/>
      <c r="O773" s="1298"/>
      <c r="P773" s="1298"/>
    </row>
    <row r="774" spans="3:16" ht="18" hidden="1" customHeight="1">
      <c r="C774" s="599" t="str">
        <f t="shared" si="92"/>
        <v/>
      </c>
      <c r="D774" s="1295" t="str">
        <f t="shared" si="90"/>
        <v/>
      </c>
      <c r="E774" s="1295"/>
      <c r="F774" s="1295"/>
      <c r="G774" s="831" t="str">
        <f t="shared" si="91"/>
        <v/>
      </c>
      <c r="H774" s="580"/>
      <c r="I774" s="1298"/>
      <c r="J774" s="1298"/>
      <c r="K774" s="1298"/>
      <c r="L774" s="1298"/>
      <c r="M774" s="1298"/>
      <c r="N774" s="1298"/>
      <c r="O774" s="1298"/>
      <c r="P774" s="1298"/>
    </row>
    <row r="775" spans="3:16" ht="18" hidden="1" customHeight="1">
      <c r="C775" s="599" t="str">
        <f t="shared" si="92"/>
        <v/>
      </c>
      <c r="D775" s="1295" t="str">
        <f t="shared" si="90"/>
        <v/>
      </c>
      <c r="E775" s="1295"/>
      <c r="F775" s="1295"/>
      <c r="G775" s="831" t="str">
        <f t="shared" si="91"/>
        <v/>
      </c>
      <c r="H775" s="580"/>
      <c r="I775" s="1298"/>
      <c r="J775" s="1298"/>
      <c r="K775" s="1298"/>
      <c r="L775" s="1298"/>
      <c r="M775" s="1298"/>
      <c r="N775" s="1298"/>
      <c r="O775" s="1298"/>
      <c r="P775" s="1298"/>
    </row>
    <row r="776" spans="3:16" ht="18" hidden="1" customHeight="1">
      <c r="C776" s="599" t="str">
        <f t="shared" si="92"/>
        <v/>
      </c>
      <c r="D776" s="1295" t="str">
        <f t="shared" si="90"/>
        <v/>
      </c>
      <c r="E776" s="1295"/>
      <c r="F776" s="1295"/>
      <c r="G776" s="831" t="str">
        <f t="shared" si="91"/>
        <v/>
      </c>
      <c r="H776" s="580"/>
      <c r="I776" s="1298"/>
      <c r="J776" s="1298"/>
      <c r="K776" s="1298"/>
      <c r="L776" s="1298"/>
      <c r="M776" s="1298"/>
      <c r="N776" s="1298"/>
      <c r="O776" s="1298"/>
      <c r="P776" s="1298"/>
    </row>
    <row r="777" spans="3:16" ht="18" hidden="1" customHeight="1">
      <c r="C777" s="599" t="str">
        <f t="shared" si="92"/>
        <v/>
      </c>
      <c r="D777" s="1295" t="str">
        <f t="shared" si="90"/>
        <v/>
      </c>
      <c r="E777" s="1295"/>
      <c r="F777" s="1295"/>
      <c r="G777" s="831" t="str">
        <f t="shared" si="91"/>
        <v/>
      </c>
      <c r="H777" s="580"/>
      <c r="I777" s="1298"/>
      <c r="J777" s="1298"/>
      <c r="K777" s="1298"/>
      <c r="L777" s="1298"/>
      <c r="M777" s="1298"/>
      <c r="N777" s="1298"/>
      <c r="O777" s="1298"/>
      <c r="P777" s="1298"/>
    </row>
    <row r="778" spans="3:16" ht="18" hidden="1" customHeight="1">
      <c r="I778" s="220"/>
    </row>
    <row r="779" spans="3:16" ht="18" hidden="1" customHeight="1">
      <c r="I779" s="220"/>
    </row>
    <row r="780" spans="3:16" ht="18" hidden="1" customHeight="1">
      <c r="I780" s="220"/>
    </row>
    <row r="781" spans="3:16" ht="18" hidden="1" customHeight="1">
      <c r="I781" s="220"/>
    </row>
    <row r="782" spans="3:16" ht="18" hidden="1" customHeight="1">
      <c r="I782" s="220"/>
    </row>
    <row r="783" spans="3:16" ht="18" hidden="1" customHeight="1">
      <c r="I783" s="220"/>
    </row>
    <row r="784" spans="3:16" ht="18" hidden="1" customHeight="1">
      <c r="I784" s="220"/>
    </row>
    <row r="785" spans="9:9" ht="18" hidden="1" customHeight="1">
      <c r="I785" s="220"/>
    </row>
    <row r="786" spans="9:9" ht="18" hidden="1" customHeight="1">
      <c r="I786" s="220"/>
    </row>
    <row r="787" spans="9:9" ht="18" hidden="1" customHeight="1">
      <c r="I787" s="220"/>
    </row>
    <row r="788" spans="9:9" ht="18" hidden="1" customHeight="1">
      <c r="I788" s="220"/>
    </row>
    <row r="789" spans="9:9" ht="18" hidden="1" customHeight="1">
      <c r="I789" s="220"/>
    </row>
    <row r="790" spans="9:9" ht="18" hidden="1" customHeight="1">
      <c r="I790" s="220"/>
    </row>
    <row r="791" spans="9:9" ht="18" hidden="1" customHeight="1">
      <c r="I791" s="220"/>
    </row>
    <row r="792" spans="9:9" ht="18" hidden="1" customHeight="1">
      <c r="I792" s="220"/>
    </row>
    <row r="793" spans="9:9" ht="18" hidden="1" customHeight="1">
      <c r="I793" s="220"/>
    </row>
    <row r="794" spans="9:9" ht="18" hidden="1" customHeight="1">
      <c r="I794" s="220"/>
    </row>
    <row r="795" spans="9:9" ht="18" hidden="1" customHeight="1">
      <c r="I795" s="220"/>
    </row>
    <row r="796" spans="9:9" ht="18" hidden="1" customHeight="1">
      <c r="I796" s="220"/>
    </row>
    <row r="797" spans="9:9" ht="18" hidden="1" customHeight="1">
      <c r="I797" s="220"/>
    </row>
    <row r="798" spans="9:9" ht="18" hidden="1" customHeight="1">
      <c r="I798" s="220"/>
    </row>
    <row r="799" spans="9:9" ht="18" hidden="1" customHeight="1">
      <c r="I799" s="220"/>
    </row>
    <row r="800" spans="9:9" ht="18" hidden="1" customHeight="1">
      <c r="I800" s="220"/>
    </row>
    <row r="801" spans="9:9" ht="18" hidden="1" customHeight="1">
      <c r="I801" s="220"/>
    </row>
    <row r="802" spans="9:9" ht="18" hidden="1" customHeight="1">
      <c r="I802" s="220"/>
    </row>
    <row r="803" spans="9:9" ht="18" hidden="1" customHeight="1">
      <c r="I803" s="220"/>
    </row>
    <row r="804" spans="9:9" ht="18" hidden="1" customHeight="1">
      <c r="I804" s="220"/>
    </row>
    <row r="805" spans="9:9" ht="18" hidden="1" customHeight="1">
      <c r="I805" s="220"/>
    </row>
    <row r="806" spans="9:9" ht="18" hidden="1" customHeight="1">
      <c r="I806" s="220"/>
    </row>
    <row r="807" spans="9:9" ht="18" hidden="1" customHeight="1">
      <c r="I807" s="220"/>
    </row>
    <row r="808" spans="9:9" ht="18" hidden="1" customHeight="1">
      <c r="I808" s="220"/>
    </row>
    <row r="809" spans="9:9" ht="18" hidden="1" customHeight="1">
      <c r="I809" s="220"/>
    </row>
    <row r="810" spans="9:9" ht="18" hidden="1" customHeight="1">
      <c r="I810" s="220"/>
    </row>
    <row r="811" spans="9:9" ht="18" hidden="1" customHeight="1">
      <c r="I811" s="220"/>
    </row>
    <row r="812" spans="9:9" ht="18" hidden="1" customHeight="1">
      <c r="I812" s="220"/>
    </row>
    <row r="813" spans="9:9" ht="18" hidden="1" customHeight="1">
      <c r="I813" s="220"/>
    </row>
    <row r="814" spans="9:9" ht="18" hidden="1" customHeight="1">
      <c r="I814" s="220"/>
    </row>
    <row r="815" spans="9:9" ht="18" hidden="1" customHeight="1">
      <c r="I815" s="220"/>
    </row>
    <row r="816" spans="9:9" ht="18" hidden="1" customHeight="1">
      <c r="I816" s="220"/>
    </row>
    <row r="817" spans="9:9" ht="18" hidden="1" customHeight="1">
      <c r="I817" s="220"/>
    </row>
    <row r="818" spans="9:9" ht="18" hidden="1" customHeight="1">
      <c r="I818" s="220"/>
    </row>
    <row r="819" spans="9:9" ht="18" hidden="1" customHeight="1">
      <c r="I819" s="220"/>
    </row>
    <row r="820" spans="9:9" ht="18" hidden="1" customHeight="1">
      <c r="I820" s="220"/>
    </row>
    <row r="821" spans="9:9" ht="18" hidden="1" customHeight="1">
      <c r="I821" s="220"/>
    </row>
    <row r="822" spans="9:9" ht="18" hidden="1" customHeight="1">
      <c r="I822" s="220"/>
    </row>
    <row r="823" spans="9:9" ht="18" hidden="1" customHeight="1">
      <c r="I823" s="220"/>
    </row>
    <row r="824" spans="9:9" ht="18" hidden="1" customHeight="1">
      <c r="I824" s="220"/>
    </row>
    <row r="825" spans="9:9" ht="18" hidden="1" customHeight="1">
      <c r="I825" s="220"/>
    </row>
    <row r="826" spans="9:9" ht="18" hidden="1" customHeight="1">
      <c r="I826" s="220"/>
    </row>
    <row r="827" spans="9:9" ht="18" hidden="1" customHeight="1">
      <c r="I827" s="220"/>
    </row>
    <row r="828" spans="9:9" ht="18" hidden="1" customHeight="1">
      <c r="I828" s="220"/>
    </row>
    <row r="829" spans="9:9" ht="18" hidden="1" customHeight="1">
      <c r="I829" s="220"/>
    </row>
    <row r="830" spans="9:9" ht="18" hidden="1" customHeight="1">
      <c r="I830" s="220"/>
    </row>
    <row r="831" spans="9:9" ht="18" hidden="1" customHeight="1">
      <c r="I831" s="220"/>
    </row>
    <row r="832" spans="9:9" ht="18" hidden="1" customHeight="1">
      <c r="I832" s="220"/>
    </row>
    <row r="833" spans="9:9" ht="18" hidden="1" customHeight="1">
      <c r="I833" s="220"/>
    </row>
    <row r="834" spans="9:9" ht="18" hidden="1" customHeight="1">
      <c r="I834" s="220"/>
    </row>
    <row r="835" spans="9:9" ht="18" hidden="1" customHeight="1">
      <c r="I835" s="220"/>
    </row>
    <row r="836" spans="9:9" ht="18" hidden="1" customHeight="1">
      <c r="I836" s="220"/>
    </row>
    <row r="837" spans="9:9" ht="18" hidden="1" customHeight="1">
      <c r="I837" s="220"/>
    </row>
    <row r="838" spans="9:9" ht="18" hidden="1" customHeight="1">
      <c r="I838" s="220"/>
    </row>
    <row r="839" spans="9:9" ht="18" hidden="1" customHeight="1">
      <c r="I839" s="220"/>
    </row>
    <row r="840" spans="9:9" ht="18" hidden="1" customHeight="1">
      <c r="I840" s="220"/>
    </row>
    <row r="841" spans="9:9" ht="18" hidden="1" customHeight="1">
      <c r="I841" s="220"/>
    </row>
    <row r="842" spans="9:9" ht="18" hidden="1" customHeight="1">
      <c r="I842" s="220"/>
    </row>
    <row r="843" spans="9:9" ht="18" hidden="1" customHeight="1">
      <c r="I843" s="220"/>
    </row>
    <row r="844" spans="9:9" ht="18" hidden="1" customHeight="1">
      <c r="I844" s="220"/>
    </row>
    <row r="845" spans="9:9" ht="18" hidden="1" customHeight="1">
      <c r="I845" s="220"/>
    </row>
    <row r="846" spans="9:9" ht="18" hidden="1" customHeight="1">
      <c r="I846" s="220"/>
    </row>
    <row r="847" spans="9:9" ht="18" hidden="1" customHeight="1">
      <c r="I847" s="220"/>
    </row>
    <row r="848" spans="9:9" ht="18" hidden="1" customHeight="1">
      <c r="I848" s="220"/>
    </row>
    <row r="849" spans="9:9" ht="18" hidden="1" customHeight="1">
      <c r="I849" s="220"/>
    </row>
    <row r="850" spans="9:9" ht="18" hidden="1" customHeight="1">
      <c r="I850" s="220"/>
    </row>
    <row r="851" spans="9:9" ht="18" hidden="1" customHeight="1">
      <c r="I851" s="220"/>
    </row>
    <row r="852" spans="9:9" ht="18" hidden="1" customHeight="1">
      <c r="I852" s="220"/>
    </row>
    <row r="853" spans="9:9" ht="18" hidden="1" customHeight="1">
      <c r="I853" s="220"/>
    </row>
    <row r="854" spans="9:9" ht="18" hidden="1" customHeight="1">
      <c r="I854" s="220"/>
    </row>
    <row r="855" spans="9:9" ht="18" hidden="1" customHeight="1">
      <c r="I855" s="220"/>
    </row>
    <row r="856" spans="9:9" ht="18" hidden="1" customHeight="1">
      <c r="I856" s="220"/>
    </row>
    <row r="857" spans="9:9" ht="18" hidden="1" customHeight="1">
      <c r="I857" s="220"/>
    </row>
    <row r="858" spans="9:9" ht="18" hidden="1" customHeight="1">
      <c r="I858" s="220"/>
    </row>
    <row r="859" spans="9:9" ht="18" hidden="1" customHeight="1">
      <c r="I859" s="220"/>
    </row>
    <row r="860" spans="9:9" ht="18" hidden="1" customHeight="1">
      <c r="I860" s="220"/>
    </row>
    <row r="861" spans="9:9" ht="18" hidden="1" customHeight="1">
      <c r="I861" s="220"/>
    </row>
    <row r="862" spans="9:9" ht="18" hidden="1" customHeight="1">
      <c r="I862" s="220"/>
    </row>
    <row r="863" spans="9:9" ht="18" hidden="1" customHeight="1">
      <c r="I863" s="220"/>
    </row>
    <row r="864" spans="9:9" ht="18" hidden="1" customHeight="1">
      <c r="I864" s="220"/>
    </row>
    <row r="865" spans="9:9" ht="18" hidden="1" customHeight="1">
      <c r="I865" s="220"/>
    </row>
    <row r="866" spans="9:9" ht="18" hidden="1" customHeight="1">
      <c r="I866" s="220"/>
    </row>
    <row r="867" spans="9:9" ht="18" hidden="1" customHeight="1">
      <c r="I867" s="220"/>
    </row>
    <row r="868" spans="9:9" ht="18" hidden="1" customHeight="1">
      <c r="I868" s="220"/>
    </row>
    <row r="869" spans="9:9" ht="18" hidden="1" customHeight="1">
      <c r="I869" s="220"/>
    </row>
    <row r="870" spans="9:9" ht="18" hidden="1" customHeight="1">
      <c r="I870" s="220"/>
    </row>
    <row r="871" spans="9:9" ht="18" hidden="1" customHeight="1">
      <c r="I871" s="220"/>
    </row>
    <row r="872" spans="9:9" ht="18" hidden="1" customHeight="1">
      <c r="I872" s="220"/>
    </row>
    <row r="873" spans="9:9" ht="18" hidden="1" customHeight="1">
      <c r="I873" s="220"/>
    </row>
    <row r="874" spans="9:9" ht="18" hidden="1" customHeight="1">
      <c r="I874" s="220"/>
    </row>
    <row r="875" spans="9:9" ht="18" hidden="1" customHeight="1">
      <c r="I875" s="220"/>
    </row>
    <row r="876" spans="9:9" ht="18" hidden="1" customHeight="1">
      <c r="I876" s="220"/>
    </row>
    <row r="877" spans="9:9" ht="18" hidden="1" customHeight="1">
      <c r="I877" s="220"/>
    </row>
    <row r="878" spans="9:9" ht="18" hidden="1" customHeight="1">
      <c r="I878" s="220"/>
    </row>
    <row r="879" spans="9:9" ht="18" hidden="1" customHeight="1">
      <c r="I879" s="220"/>
    </row>
    <row r="880" spans="9:9" ht="18" hidden="1" customHeight="1">
      <c r="I880" s="220"/>
    </row>
    <row r="881" spans="9:9" ht="18" hidden="1" customHeight="1">
      <c r="I881" s="220"/>
    </row>
    <row r="882" spans="9:9" ht="18" hidden="1" customHeight="1">
      <c r="I882" s="220"/>
    </row>
    <row r="883" spans="9:9" ht="18" hidden="1" customHeight="1">
      <c r="I883" s="220"/>
    </row>
    <row r="884" spans="9:9" ht="18" hidden="1" customHeight="1">
      <c r="I884" s="220"/>
    </row>
    <row r="885" spans="9:9" ht="18" hidden="1" customHeight="1">
      <c r="I885" s="220"/>
    </row>
    <row r="886" spans="9:9" ht="18" hidden="1" customHeight="1">
      <c r="I886" s="220"/>
    </row>
    <row r="887" spans="9:9" ht="18" hidden="1" customHeight="1">
      <c r="I887" s="220"/>
    </row>
    <row r="888" spans="9:9" ht="18" hidden="1" customHeight="1">
      <c r="I888" s="220"/>
    </row>
    <row r="889" spans="9:9" ht="18" hidden="1" customHeight="1">
      <c r="I889" s="220"/>
    </row>
    <row r="890" spans="9:9" ht="18" hidden="1" customHeight="1">
      <c r="I890" s="220"/>
    </row>
    <row r="891" spans="9:9" ht="18" hidden="1" customHeight="1">
      <c r="I891" s="220"/>
    </row>
    <row r="892" spans="9:9" ht="18" hidden="1" customHeight="1">
      <c r="I892" s="220"/>
    </row>
    <row r="893" spans="9:9" ht="18" hidden="1" customHeight="1">
      <c r="I893" s="220"/>
    </row>
    <row r="894" spans="9:9" ht="18" hidden="1" customHeight="1">
      <c r="I894" s="220"/>
    </row>
    <row r="895" spans="9:9" ht="18" hidden="1" customHeight="1">
      <c r="I895" s="220"/>
    </row>
    <row r="896" spans="9:9" ht="18" hidden="1" customHeight="1">
      <c r="I896" s="220"/>
    </row>
    <row r="897" spans="9:9" ht="18" hidden="1" customHeight="1">
      <c r="I897" s="220"/>
    </row>
    <row r="898" spans="9:9" ht="18" hidden="1" customHeight="1">
      <c r="I898" s="220"/>
    </row>
    <row r="899" spans="9:9" ht="18" hidden="1" customHeight="1">
      <c r="I899" s="220"/>
    </row>
    <row r="900" spans="9:9" ht="18" hidden="1" customHeight="1">
      <c r="I900" s="220"/>
    </row>
    <row r="901" spans="9:9" ht="18" hidden="1" customHeight="1">
      <c r="I901" s="220"/>
    </row>
    <row r="902" spans="9:9" ht="18" hidden="1" customHeight="1">
      <c r="I902" s="220"/>
    </row>
    <row r="903" spans="9:9" ht="18" hidden="1" customHeight="1">
      <c r="I903" s="220"/>
    </row>
    <row r="904" spans="9:9" ht="18" hidden="1" customHeight="1">
      <c r="I904" s="220"/>
    </row>
    <row r="905" spans="9:9" ht="18" hidden="1" customHeight="1">
      <c r="I905" s="220"/>
    </row>
    <row r="906" spans="9:9" ht="18" hidden="1" customHeight="1">
      <c r="I906" s="220"/>
    </row>
    <row r="907" spans="9:9" ht="18" hidden="1" customHeight="1">
      <c r="I907" s="220"/>
    </row>
    <row r="908" spans="9:9" ht="18" hidden="1" customHeight="1">
      <c r="I908" s="220"/>
    </row>
    <row r="909" spans="9:9" ht="18" hidden="1" customHeight="1">
      <c r="I909" s="220"/>
    </row>
    <row r="910" spans="9:9" ht="18" hidden="1" customHeight="1">
      <c r="I910" s="220"/>
    </row>
    <row r="911" spans="9:9" ht="18" hidden="1" customHeight="1">
      <c r="I911" s="220"/>
    </row>
    <row r="912" spans="9:9" ht="18" hidden="1" customHeight="1">
      <c r="I912" s="220"/>
    </row>
    <row r="913" spans="9:9" ht="18" hidden="1" customHeight="1">
      <c r="I913" s="220"/>
    </row>
    <row r="914" spans="9:9" ht="18" hidden="1" customHeight="1">
      <c r="I914" s="220"/>
    </row>
    <row r="915" spans="9:9" ht="18" hidden="1" customHeight="1">
      <c r="I915" s="220"/>
    </row>
    <row r="916" spans="9:9" ht="18" hidden="1" customHeight="1">
      <c r="I916" s="220"/>
    </row>
    <row r="917" spans="9:9" ht="18" hidden="1" customHeight="1">
      <c r="I917" s="220"/>
    </row>
    <row r="918" spans="9:9" ht="18" hidden="1" customHeight="1">
      <c r="I918" s="220"/>
    </row>
    <row r="919" spans="9:9" ht="18" hidden="1" customHeight="1">
      <c r="I919" s="220"/>
    </row>
    <row r="920" spans="9:9" ht="18" hidden="1" customHeight="1">
      <c r="I920" s="220"/>
    </row>
    <row r="921" spans="9:9" ht="18" hidden="1" customHeight="1">
      <c r="I921" s="220"/>
    </row>
    <row r="922" spans="9:9" ht="18" hidden="1" customHeight="1">
      <c r="I922" s="220"/>
    </row>
    <row r="923" spans="9:9" ht="18" hidden="1" customHeight="1">
      <c r="I923" s="220"/>
    </row>
    <row r="924" spans="9:9" ht="18" hidden="1" customHeight="1">
      <c r="I924" s="220"/>
    </row>
    <row r="925" spans="9:9" ht="18" hidden="1" customHeight="1">
      <c r="I925" s="220"/>
    </row>
    <row r="926" spans="9:9" ht="18" hidden="1" customHeight="1">
      <c r="I926" s="220"/>
    </row>
    <row r="927" spans="9:9" ht="18" hidden="1" customHeight="1">
      <c r="I927" s="220"/>
    </row>
    <row r="928" spans="9:9" ht="18" hidden="1" customHeight="1">
      <c r="I928" s="220"/>
    </row>
    <row r="929" spans="9:9" ht="18" hidden="1" customHeight="1">
      <c r="I929" s="220"/>
    </row>
    <row r="930" spans="9:9" ht="18" hidden="1" customHeight="1">
      <c r="I930" s="220"/>
    </row>
    <row r="931" spans="9:9" ht="18" hidden="1" customHeight="1">
      <c r="I931" s="220"/>
    </row>
    <row r="932" spans="9:9" ht="18" hidden="1" customHeight="1">
      <c r="I932" s="220"/>
    </row>
    <row r="933" spans="9:9" ht="18" hidden="1" customHeight="1">
      <c r="I933" s="220"/>
    </row>
    <row r="934" spans="9:9" ht="18" hidden="1" customHeight="1">
      <c r="I934" s="220"/>
    </row>
    <row r="935" spans="9:9" ht="18" hidden="1" customHeight="1">
      <c r="I935" s="220"/>
    </row>
    <row r="936" spans="9:9" ht="18" hidden="1" customHeight="1">
      <c r="I936" s="220"/>
    </row>
    <row r="937" spans="9:9" ht="18" hidden="1" customHeight="1">
      <c r="I937" s="220"/>
    </row>
    <row r="938" spans="9:9" ht="18" hidden="1" customHeight="1">
      <c r="I938" s="220"/>
    </row>
    <row r="939" spans="9:9" ht="18" hidden="1" customHeight="1">
      <c r="I939" s="220"/>
    </row>
    <row r="940" spans="9:9" ht="18" hidden="1" customHeight="1">
      <c r="I940" s="220"/>
    </row>
    <row r="941" spans="9:9" ht="18" hidden="1" customHeight="1">
      <c r="I941" s="220"/>
    </row>
    <row r="942" spans="9:9" ht="18" hidden="1" customHeight="1">
      <c r="I942" s="220"/>
    </row>
    <row r="943" spans="9:9" ht="18" customHeight="1">
      <c r="I943" s="220"/>
    </row>
    <row r="944" spans="9:9" ht="18" customHeight="1">
      <c r="I944" s="220"/>
    </row>
    <row r="945" spans="9:9" ht="18" customHeight="1">
      <c r="I945" s="220"/>
    </row>
    <row r="946" spans="9:9" ht="18" customHeight="1">
      <c r="I946" s="220"/>
    </row>
    <row r="947" spans="9:9" ht="18" customHeight="1">
      <c r="I947" s="220"/>
    </row>
    <row r="948" spans="9:9" ht="18" customHeight="1">
      <c r="I948" s="220"/>
    </row>
    <row r="949" spans="9:9" ht="18" customHeight="1">
      <c r="I949" s="220"/>
    </row>
    <row r="950" spans="9:9" ht="18" customHeight="1">
      <c r="I950" s="220"/>
    </row>
    <row r="951" spans="9:9" ht="18" customHeight="1">
      <c r="I951" s="220"/>
    </row>
    <row r="952" spans="9:9" ht="18" customHeight="1">
      <c r="I952" s="220"/>
    </row>
    <row r="953" spans="9:9" ht="18" customHeight="1">
      <c r="I953" s="220"/>
    </row>
    <row r="954" spans="9:9" ht="18" customHeight="1">
      <c r="I954" s="220"/>
    </row>
  </sheetData>
  <sheetProtection algorithmName="SHA-512" hashValue="ZBi1tftEXCv0X1kIYUfQnZmEmXAeL35ibPt21fEOPZs/UDhdS/0mHGRZ5svtMcfUkWpsj8mswgXHqZDehSHE/w==" saltValue="KbkX2Wx3kEGtfjMA92oomQ==" spinCount="100000" sheet="1" objects="1" scenarios="1" formatCells="0" formatColumns="0" formatRows="0" insertColumns="0" insertRows="0" insertHyperlinks="0" deleteColumns="0" deleteRows="0" sort="0" autoFilter="0" pivotTables="0"/>
  <mergeCells count="1529">
    <mergeCell ref="I776:P776"/>
    <mergeCell ref="I777:P777"/>
    <mergeCell ref="C525:P525"/>
    <mergeCell ref="E526:P526"/>
    <mergeCell ref="C526:D526"/>
    <mergeCell ref="I767:P767"/>
    <mergeCell ref="I768:P768"/>
    <mergeCell ref="I769:P769"/>
    <mergeCell ref="I770:P770"/>
    <mergeCell ref="I771:P771"/>
    <mergeCell ref="I772:P772"/>
    <mergeCell ref="I773:P773"/>
    <mergeCell ref="I774:P774"/>
    <mergeCell ref="I775:P775"/>
    <mergeCell ref="I758:P758"/>
    <mergeCell ref="I759:P759"/>
    <mergeCell ref="I760:P760"/>
    <mergeCell ref="I761:P761"/>
    <mergeCell ref="I762:P762"/>
    <mergeCell ref="I763:P763"/>
    <mergeCell ref="I764:P764"/>
    <mergeCell ref="I765:P765"/>
    <mergeCell ref="I766:P766"/>
    <mergeCell ref="I749:P749"/>
    <mergeCell ref="I750:P750"/>
    <mergeCell ref="I751:P751"/>
    <mergeCell ref="I752:P752"/>
    <mergeCell ref="I753:P753"/>
    <mergeCell ref="I754:P754"/>
    <mergeCell ref="I755:P755"/>
    <mergeCell ref="I756:P756"/>
    <mergeCell ref="I757:P757"/>
    <mergeCell ref="I740:P740"/>
    <mergeCell ref="I741:P741"/>
    <mergeCell ref="I742:P742"/>
    <mergeCell ref="I743:P743"/>
    <mergeCell ref="I744:P744"/>
    <mergeCell ref="I745:P745"/>
    <mergeCell ref="I746:P746"/>
    <mergeCell ref="I747:P747"/>
    <mergeCell ref="I748:P748"/>
    <mergeCell ref="I731:P731"/>
    <mergeCell ref="I732:P732"/>
    <mergeCell ref="I733:P733"/>
    <mergeCell ref="I734:P734"/>
    <mergeCell ref="I735:P735"/>
    <mergeCell ref="I736:P736"/>
    <mergeCell ref="I737:P737"/>
    <mergeCell ref="I738:P738"/>
    <mergeCell ref="I739:P739"/>
    <mergeCell ref="I722:P722"/>
    <mergeCell ref="I723:P723"/>
    <mergeCell ref="I724:P724"/>
    <mergeCell ref="I725:P725"/>
    <mergeCell ref="I726:P726"/>
    <mergeCell ref="I727:P727"/>
    <mergeCell ref="I728:P728"/>
    <mergeCell ref="I729:P729"/>
    <mergeCell ref="I730:P730"/>
    <mergeCell ref="I713:P713"/>
    <mergeCell ref="I714:P714"/>
    <mergeCell ref="I715:P715"/>
    <mergeCell ref="I716:P716"/>
    <mergeCell ref="I717:P717"/>
    <mergeCell ref="I718:P718"/>
    <mergeCell ref="I719:P719"/>
    <mergeCell ref="I720:P720"/>
    <mergeCell ref="I721:P721"/>
    <mergeCell ref="I704:P704"/>
    <mergeCell ref="I705:P705"/>
    <mergeCell ref="I706:P706"/>
    <mergeCell ref="I707:P707"/>
    <mergeCell ref="I708:P708"/>
    <mergeCell ref="I709:P709"/>
    <mergeCell ref="I710:P710"/>
    <mergeCell ref="I711:P711"/>
    <mergeCell ref="I712:P712"/>
    <mergeCell ref="I695:P695"/>
    <mergeCell ref="I696:P696"/>
    <mergeCell ref="I697:P697"/>
    <mergeCell ref="I698:P698"/>
    <mergeCell ref="I699:P699"/>
    <mergeCell ref="I700:P700"/>
    <mergeCell ref="I701:P701"/>
    <mergeCell ref="I702:P702"/>
    <mergeCell ref="I703:P703"/>
    <mergeCell ref="I686:P686"/>
    <mergeCell ref="I687:P687"/>
    <mergeCell ref="I688:P688"/>
    <mergeCell ref="I689:P689"/>
    <mergeCell ref="I690:P690"/>
    <mergeCell ref="I691:P691"/>
    <mergeCell ref="I692:P692"/>
    <mergeCell ref="I693:P693"/>
    <mergeCell ref="I694:P694"/>
    <mergeCell ref="I677:P677"/>
    <mergeCell ref="I678:P678"/>
    <mergeCell ref="I679:P679"/>
    <mergeCell ref="I680:P680"/>
    <mergeCell ref="I681:P681"/>
    <mergeCell ref="I682:P682"/>
    <mergeCell ref="I683:P683"/>
    <mergeCell ref="I684:P684"/>
    <mergeCell ref="I685:P685"/>
    <mergeCell ref="I668:P668"/>
    <mergeCell ref="I669:P669"/>
    <mergeCell ref="I670:P670"/>
    <mergeCell ref="I671:P671"/>
    <mergeCell ref="I672:P672"/>
    <mergeCell ref="I673:P673"/>
    <mergeCell ref="I674:P674"/>
    <mergeCell ref="I675:P675"/>
    <mergeCell ref="I676:P676"/>
    <mergeCell ref="I659:P659"/>
    <mergeCell ref="I660:P660"/>
    <mergeCell ref="I661:P661"/>
    <mergeCell ref="I662:P662"/>
    <mergeCell ref="I663:P663"/>
    <mergeCell ref="I664:P664"/>
    <mergeCell ref="I665:P665"/>
    <mergeCell ref="I666:P666"/>
    <mergeCell ref="I667:P667"/>
    <mergeCell ref="I651:P651"/>
    <mergeCell ref="I652:P652"/>
    <mergeCell ref="I653:P653"/>
    <mergeCell ref="I654:P654"/>
    <mergeCell ref="I655:P655"/>
    <mergeCell ref="I656:P656"/>
    <mergeCell ref="I657:P657"/>
    <mergeCell ref="I658:P658"/>
    <mergeCell ref="I641:P641"/>
    <mergeCell ref="I642:P642"/>
    <mergeCell ref="I643:P643"/>
    <mergeCell ref="I644:P644"/>
    <mergeCell ref="I645:P645"/>
    <mergeCell ref="I646:P646"/>
    <mergeCell ref="I647:P647"/>
    <mergeCell ref="I648:P648"/>
    <mergeCell ref="I649:P649"/>
    <mergeCell ref="I634:P634"/>
    <mergeCell ref="I635:P635"/>
    <mergeCell ref="I636:P636"/>
    <mergeCell ref="I637:P637"/>
    <mergeCell ref="I638:P638"/>
    <mergeCell ref="I639:P639"/>
    <mergeCell ref="I640:P640"/>
    <mergeCell ref="I623:P623"/>
    <mergeCell ref="I624:P624"/>
    <mergeCell ref="I625:P625"/>
    <mergeCell ref="I626:P626"/>
    <mergeCell ref="I627:P627"/>
    <mergeCell ref="I628:P628"/>
    <mergeCell ref="I629:P629"/>
    <mergeCell ref="I630:P630"/>
    <mergeCell ref="I631:P631"/>
    <mergeCell ref="I650:P650"/>
    <mergeCell ref="I617:P617"/>
    <mergeCell ref="I618:P618"/>
    <mergeCell ref="I619:P619"/>
    <mergeCell ref="I620:P620"/>
    <mergeCell ref="I621:P621"/>
    <mergeCell ref="I622:P622"/>
    <mergeCell ref="I605:P605"/>
    <mergeCell ref="I606:P606"/>
    <mergeCell ref="I607:P607"/>
    <mergeCell ref="I608:P608"/>
    <mergeCell ref="I609:P609"/>
    <mergeCell ref="I610:P610"/>
    <mergeCell ref="I611:P611"/>
    <mergeCell ref="I612:P612"/>
    <mergeCell ref="I613:P613"/>
    <mergeCell ref="I632:P632"/>
    <mergeCell ref="I633:P633"/>
    <mergeCell ref="I600:P600"/>
    <mergeCell ref="I601:P601"/>
    <mergeCell ref="I602:P602"/>
    <mergeCell ref="I603:P603"/>
    <mergeCell ref="I604:P604"/>
    <mergeCell ref="I587:P587"/>
    <mergeCell ref="I588:P588"/>
    <mergeCell ref="I589:P589"/>
    <mergeCell ref="I590:P590"/>
    <mergeCell ref="I591:P591"/>
    <mergeCell ref="I592:P592"/>
    <mergeCell ref="I593:P593"/>
    <mergeCell ref="I594:P594"/>
    <mergeCell ref="I595:P595"/>
    <mergeCell ref="I614:P614"/>
    <mergeCell ref="I615:P615"/>
    <mergeCell ref="I616:P616"/>
    <mergeCell ref="I583:P583"/>
    <mergeCell ref="I584:P584"/>
    <mergeCell ref="I585:P585"/>
    <mergeCell ref="I586:P586"/>
    <mergeCell ref="I569:P569"/>
    <mergeCell ref="I570:P570"/>
    <mergeCell ref="I571:P571"/>
    <mergeCell ref="I572:P572"/>
    <mergeCell ref="I573:P573"/>
    <mergeCell ref="I574:P574"/>
    <mergeCell ref="I575:P575"/>
    <mergeCell ref="I576:P576"/>
    <mergeCell ref="I577:P577"/>
    <mergeCell ref="I596:P596"/>
    <mergeCell ref="I597:P597"/>
    <mergeCell ref="I598:P598"/>
    <mergeCell ref="I599:P599"/>
    <mergeCell ref="I566:P566"/>
    <mergeCell ref="I567:P567"/>
    <mergeCell ref="I568:P568"/>
    <mergeCell ref="I551:P551"/>
    <mergeCell ref="I552:P552"/>
    <mergeCell ref="I553:P553"/>
    <mergeCell ref="I554:P554"/>
    <mergeCell ref="I555:P555"/>
    <mergeCell ref="I556:P556"/>
    <mergeCell ref="I557:P557"/>
    <mergeCell ref="I558:P558"/>
    <mergeCell ref="I559:P559"/>
    <mergeCell ref="I578:P578"/>
    <mergeCell ref="I579:P579"/>
    <mergeCell ref="I580:P580"/>
    <mergeCell ref="I581:P581"/>
    <mergeCell ref="I582:P582"/>
    <mergeCell ref="I548:P548"/>
    <mergeCell ref="I549:P549"/>
    <mergeCell ref="I550:P550"/>
    <mergeCell ref="D770:F770"/>
    <mergeCell ref="D771:F771"/>
    <mergeCell ref="D772:F772"/>
    <mergeCell ref="D773:F773"/>
    <mergeCell ref="D774:F774"/>
    <mergeCell ref="D775:F775"/>
    <mergeCell ref="D776:F776"/>
    <mergeCell ref="D777:F777"/>
    <mergeCell ref="D761:F761"/>
    <mergeCell ref="D762:F762"/>
    <mergeCell ref="D763:F763"/>
    <mergeCell ref="D764:F764"/>
    <mergeCell ref="D765:F765"/>
    <mergeCell ref="D766:F766"/>
    <mergeCell ref="D767:F767"/>
    <mergeCell ref="D768:F768"/>
    <mergeCell ref="D769:F769"/>
    <mergeCell ref="D752:F752"/>
    <mergeCell ref="D753:F753"/>
    <mergeCell ref="D754:F754"/>
    <mergeCell ref="D755:F755"/>
    <mergeCell ref="D756:F756"/>
    <mergeCell ref="D757:F757"/>
    <mergeCell ref="I560:P560"/>
    <mergeCell ref="I561:P561"/>
    <mergeCell ref="I562:P562"/>
    <mergeCell ref="I563:P563"/>
    <mergeCell ref="I564:P564"/>
    <mergeCell ref="I565:P565"/>
    <mergeCell ref="D758:F758"/>
    <mergeCell ref="D759:F759"/>
    <mergeCell ref="D760:F760"/>
    <mergeCell ref="D743:F743"/>
    <mergeCell ref="D744:F744"/>
    <mergeCell ref="D745:F745"/>
    <mergeCell ref="D746:F746"/>
    <mergeCell ref="D747:F747"/>
    <mergeCell ref="D748:F748"/>
    <mergeCell ref="D749:F749"/>
    <mergeCell ref="D750:F750"/>
    <mergeCell ref="D751:F751"/>
    <mergeCell ref="D734:F734"/>
    <mergeCell ref="D735:F735"/>
    <mergeCell ref="D736:F736"/>
    <mergeCell ref="D737:F737"/>
    <mergeCell ref="D738:F738"/>
    <mergeCell ref="D739:F739"/>
    <mergeCell ref="D740:F740"/>
    <mergeCell ref="D741:F741"/>
    <mergeCell ref="D742:F742"/>
    <mergeCell ref="D725:F725"/>
    <mergeCell ref="D726:F726"/>
    <mergeCell ref="D727:F727"/>
    <mergeCell ref="D728:F728"/>
    <mergeCell ref="D729:F729"/>
    <mergeCell ref="D730:F730"/>
    <mergeCell ref="D731:F731"/>
    <mergeCell ref="D732:F732"/>
    <mergeCell ref="D733:F733"/>
    <mergeCell ref="D716:F716"/>
    <mergeCell ref="D717:F717"/>
    <mergeCell ref="D718:F718"/>
    <mergeCell ref="D719:F719"/>
    <mergeCell ref="D720:F720"/>
    <mergeCell ref="D721:F721"/>
    <mergeCell ref="D722:F722"/>
    <mergeCell ref="D723:F723"/>
    <mergeCell ref="D724:F724"/>
    <mergeCell ref="D707:F707"/>
    <mergeCell ref="D708:F708"/>
    <mergeCell ref="D709:F709"/>
    <mergeCell ref="D710:F710"/>
    <mergeCell ref="D711:F711"/>
    <mergeCell ref="D712:F712"/>
    <mergeCell ref="D713:F713"/>
    <mergeCell ref="D714:F714"/>
    <mergeCell ref="D715:F715"/>
    <mergeCell ref="D698:F698"/>
    <mergeCell ref="D699:F699"/>
    <mergeCell ref="D700:F700"/>
    <mergeCell ref="D701:F701"/>
    <mergeCell ref="D702:F702"/>
    <mergeCell ref="D703:F703"/>
    <mergeCell ref="D704:F704"/>
    <mergeCell ref="D705:F705"/>
    <mergeCell ref="D706:F706"/>
    <mergeCell ref="D689:F689"/>
    <mergeCell ref="D690:F690"/>
    <mergeCell ref="D691:F691"/>
    <mergeCell ref="D692:F692"/>
    <mergeCell ref="D693:F693"/>
    <mergeCell ref="D694:F694"/>
    <mergeCell ref="D695:F695"/>
    <mergeCell ref="D696:F696"/>
    <mergeCell ref="D697:F697"/>
    <mergeCell ref="D680:F680"/>
    <mergeCell ref="D681:F681"/>
    <mergeCell ref="D682:F682"/>
    <mergeCell ref="D683:F683"/>
    <mergeCell ref="D684:F684"/>
    <mergeCell ref="D685:F685"/>
    <mergeCell ref="D686:F686"/>
    <mergeCell ref="D687:F687"/>
    <mergeCell ref="D688:F688"/>
    <mergeCell ref="D671:F671"/>
    <mergeCell ref="D672:F672"/>
    <mergeCell ref="D673:F673"/>
    <mergeCell ref="D674:F674"/>
    <mergeCell ref="D675:F675"/>
    <mergeCell ref="D676:F676"/>
    <mergeCell ref="D677:F677"/>
    <mergeCell ref="D678:F678"/>
    <mergeCell ref="D679:F679"/>
    <mergeCell ref="D662:F662"/>
    <mergeCell ref="D663:F663"/>
    <mergeCell ref="D664:F664"/>
    <mergeCell ref="D665:F665"/>
    <mergeCell ref="D666:F666"/>
    <mergeCell ref="D667:F667"/>
    <mergeCell ref="D668:F668"/>
    <mergeCell ref="D669:F669"/>
    <mergeCell ref="D670:F670"/>
    <mergeCell ref="D653:F653"/>
    <mergeCell ref="D654:F654"/>
    <mergeCell ref="D655:F655"/>
    <mergeCell ref="D656:F656"/>
    <mergeCell ref="D657:F657"/>
    <mergeCell ref="D658:F658"/>
    <mergeCell ref="D659:F659"/>
    <mergeCell ref="D660:F660"/>
    <mergeCell ref="D661:F661"/>
    <mergeCell ref="D644:F644"/>
    <mergeCell ref="D645:F645"/>
    <mergeCell ref="D646:F646"/>
    <mergeCell ref="D647:F647"/>
    <mergeCell ref="D648:F648"/>
    <mergeCell ref="D649:F649"/>
    <mergeCell ref="D650:F650"/>
    <mergeCell ref="D651:F651"/>
    <mergeCell ref="D652:F652"/>
    <mergeCell ref="D635:F635"/>
    <mergeCell ref="D636:F636"/>
    <mergeCell ref="D637:F637"/>
    <mergeCell ref="D638:F638"/>
    <mergeCell ref="D639:F639"/>
    <mergeCell ref="D640:F640"/>
    <mergeCell ref="D641:F641"/>
    <mergeCell ref="D642:F642"/>
    <mergeCell ref="D643:F643"/>
    <mergeCell ref="D626:F626"/>
    <mergeCell ref="D627:F627"/>
    <mergeCell ref="D628:F628"/>
    <mergeCell ref="D629:F629"/>
    <mergeCell ref="D630:F630"/>
    <mergeCell ref="D631:F631"/>
    <mergeCell ref="D632:F632"/>
    <mergeCell ref="D633:F633"/>
    <mergeCell ref="D634:F634"/>
    <mergeCell ref="D617:F617"/>
    <mergeCell ref="D618:F618"/>
    <mergeCell ref="D619:F619"/>
    <mergeCell ref="D620:F620"/>
    <mergeCell ref="D621:F621"/>
    <mergeCell ref="D622:F622"/>
    <mergeCell ref="D623:F623"/>
    <mergeCell ref="D624:F624"/>
    <mergeCell ref="D625:F625"/>
    <mergeCell ref="D608:F608"/>
    <mergeCell ref="D609:F609"/>
    <mergeCell ref="D610:F610"/>
    <mergeCell ref="D611:F611"/>
    <mergeCell ref="D612:F612"/>
    <mergeCell ref="D613:F613"/>
    <mergeCell ref="D614:F614"/>
    <mergeCell ref="D615:F615"/>
    <mergeCell ref="D616:F616"/>
    <mergeCell ref="D599:F599"/>
    <mergeCell ref="D600:F600"/>
    <mergeCell ref="D601:F601"/>
    <mergeCell ref="D602:F602"/>
    <mergeCell ref="D603:F603"/>
    <mergeCell ref="D604:F604"/>
    <mergeCell ref="D605:F605"/>
    <mergeCell ref="D606:F606"/>
    <mergeCell ref="D607:F607"/>
    <mergeCell ref="D590:F590"/>
    <mergeCell ref="D591:F591"/>
    <mergeCell ref="D592:F592"/>
    <mergeCell ref="D593:F593"/>
    <mergeCell ref="D594:F594"/>
    <mergeCell ref="D595:F595"/>
    <mergeCell ref="D596:F596"/>
    <mergeCell ref="D597:F597"/>
    <mergeCell ref="D598:F598"/>
    <mergeCell ref="D587:F587"/>
    <mergeCell ref="D588:F588"/>
    <mergeCell ref="D589:F589"/>
    <mergeCell ref="D469:F469"/>
    <mergeCell ref="I469:J469"/>
    <mergeCell ref="D470:F470"/>
    <mergeCell ref="I470:J470"/>
    <mergeCell ref="D471:F471"/>
    <mergeCell ref="I471:J471"/>
    <mergeCell ref="D578:F578"/>
    <mergeCell ref="D579:F579"/>
    <mergeCell ref="D580:F580"/>
    <mergeCell ref="I527:P527"/>
    <mergeCell ref="I528:P528"/>
    <mergeCell ref="I529:P529"/>
    <mergeCell ref="I530:P530"/>
    <mergeCell ref="I531:P531"/>
    <mergeCell ref="I532:P532"/>
    <mergeCell ref="I533:P533"/>
    <mergeCell ref="I534:P534"/>
    <mergeCell ref="I535:P535"/>
    <mergeCell ref="I536:P536"/>
    <mergeCell ref="I537:P537"/>
    <mergeCell ref="I538:P538"/>
    <mergeCell ref="I539:P539"/>
    <mergeCell ref="I540:P540"/>
    <mergeCell ref="I542:P542"/>
    <mergeCell ref="I543:P543"/>
    <mergeCell ref="I544:P544"/>
    <mergeCell ref="I545:P545"/>
    <mergeCell ref="I546:P546"/>
    <mergeCell ref="I547:P547"/>
    <mergeCell ref="D472:F472"/>
    <mergeCell ref="D473:F473"/>
    <mergeCell ref="D474:F474"/>
    <mergeCell ref="D475:F475"/>
    <mergeCell ref="D476:F476"/>
    <mergeCell ref="D482:F482"/>
    <mergeCell ref="D483:F483"/>
    <mergeCell ref="D484:F484"/>
    <mergeCell ref="D485:F485"/>
    <mergeCell ref="D486:F486"/>
    <mergeCell ref="D477:F477"/>
    <mergeCell ref="D581:F581"/>
    <mergeCell ref="D582:F582"/>
    <mergeCell ref="D583:F583"/>
    <mergeCell ref="D584:F584"/>
    <mergeCell ref="D585:F585"/>
    <mergeCell ref="D586:F586"/>
    <mergeCell ref="D478:F478"/>
    <mergeCell ref="D479:F479"/>
    <mergeCell ref="D480:F480"/>
    <mergeCell ref="D481:F481"/>
    <mergeCell ref="D492:F492"/>
    <mergeCell ref="D493:F493"/>
    <mergeCell ref="D494:F494"/>
    <mergeCell ref="D495:F495"/>
    <mergeCell ref="D496:F496"/>
    <mergeCell ref="D487:F487"/>
    <mergeCell ref="D488:F488"/>
    <mergeCell ref="D489:F489"/>
    <mergeCell ref="D490:F490"/>
    <mergeCell ref="D491:F491"/>
    <mergeCell ref="D511:F511"/>
    <mergeCell ref="D464:F464"/>
    <mergeCell ref="I464:J464"/>
    <mergeCell ref="D465:F465"/>
    <mergeCell ref="I465:J465"/>
    <mergeCell ref="D466:F466"/>
    <mergeCell ref="I466:J466"/>
    <mergeCell ref="D467:F467"/>
    <mergeCell ref="I467:J467"/>
    <mergeCell ref="D468:F468"/>
    <mergeCell ref="I468:J468"/>
    <mergeCell ref="D459:F459"/>
    <mergeCell ref="I459:J459"/>
    <mergeCell ref="D460:F460"/>
    <mergeCell ref="I460:J460"/>
    <mergeCell ref="D461:F461"/>
    <mergeCell ref="I461:J461"/>
    <mergeCell ref="D462:F462"/>
    <mergeCell ref="I462:J462"/>
    <mergeCell ref="D463:F463"/>
    <mergeCell ref="I463:J463"/>
    <mergeCell ref="D454:F454"/>
    <mergeCell ref="I454:J454"/>
    <mergeCell ref="D455:F455"/>
    <mergeCell ref="I455:J455"/>
    <mergeCell ref="D456:F456"/>
    <mergeCell ref="I456:J456"/>
    <mergeCell ref="D457:F457"/>
    <mergeCell ref="I457:J457"/>
    <mergeCell ref="D458:F458"/>
    <mergeCell ref="I458:J458"/>
    <mergeCell ref="D449:F449"/>
    <mergeCell ref="I449:J449"/>
    <mergeCell ref="D450:F450"/>
    <mergeCell ref="I450:J450"/>
    <mergeCell ref="D451:F451"/>
    <mergeCell ref="I451:J451"/>
    <mergeCell ref="D452:F452"/>
    <mergeCell ref="I452:J452"/>
    <mergeCell ref="D453:F453"/>
    <mergeCell ref="I453:J453"/>
    <mergeCell ref="D444:F444"/>
    <mergeCell ref="I444:J444"/>
    <mergeCell ref="D445:F445"/>
    <mergeCell ref="I445:J445"/>
    <mergeCell ref="D446:F446"/>
    <mergeCell ref="I446:J446"/>
    <mergeCell ref="D447:F447"/>
    <mergeCell ref="I447:J447"/>
    <mergeCell ref="D448:F448"/>
    <mergeCell ref="I448:J448"/>
    <mergeCell ref="D439:F439"/>
    <mergeCell ref="I439:J439"/>
    <mergeCell ref="D440:F440"/>
    <mergeCell ref="I440:J440"/>
    <mergeCell ref="D441:F441"/>
    <mergeCell ref="I441:J441"/>
    <mergeCell ref="D442:F442"/>
    <mergeCell ref="I442:J442"/>
    <mergeCell ref="D443:F443"/>
    <mergeCell ref="I443:J443"/>
    <mergeCell ref="D434:F434"/>
    <mergeCell ref="I434:J434"/>
    <mergeCell ref="D435:F435"/>
    <mergeCell ref="I435:J435"/>
    <mergeCell ref="D436:F436"/>
    <mergeCell ref="I436:J436"/>
    <mergeCell ref="D437:F437"/>
    <mergeCell ref="I437:J437"/>
    <mergeCell ref="D438:F438"/>
    <mergeCell ref="I438:J438"/>
    <mergeCell ref="D429:F429"/>
    <mergeCell ref="I429:J429"/>
    <mergeCell ref="D430:F430"/>
    <mergeCell ref="I430:J430"/>
    <mergeCell ref="D431:F431"/>
    <mergeCell ref="I431:J431"/>
    <mergeCell ref="D432:F432"/>
    <mergeCell ref="I432:J432"/>
    <mergeCell ref="D433:F433"/>
    <mergeCell ref="I433:J433"/>
    <mergeCell ref="D424:F424"/>
    <mergeCell ref="I424:J424"/>
    <mergeCell ref="D425:F425"/>
    <mergeCell ref="I425:J425"/>
    <mergeCell ref="D426:F426"/>
    <mergeCell ref="I426:J426"/>
    <mergeCell ref="D427:F427"/>
    <mergeCell ref="I427:J427"/>
    <mergeCell ref="D428:F428"/>
    <mergeCell ref="I428:J428"/>
    <mergeCell ref="D419:F419"/>
    <mergeCell ref="I419:J419"/>
    <mergeCell ref="D420:F420"/>
    <mergeCell ref="I420:J420"/>
    <mergeCell ref="D421:F421"/>
    <mergeCell ref="I421:J421"/>
    <mergeCell ref="D422:F422"/>
    <mergeCell ref="I422:J422"/>
    <mergeCell ref="D423:F423"/>
    <mergeCell ref="I423:J423"/>
    <mergeCell ref="D414:F414"/>
    <mergeCell ref="I414:J414"/>
    <mergeCell ref="D415:F415"/>
    <mergeCell ref="I415:J415"/>
    <mergeCell ref="D416:F416"/>
    <mergeCell ref="I416:J416"/>
    <mergeCell ref="D417:F417"/>
    <mergeCell ref="I417:J417"/>
    <mergeCell ref="D418:F418"/>
    <mergeCell ref="I418:J418"/>
    <mergeCell ref="D409:F409"/>
    <mergeCell ref="I409:J409"/>
    <mergeCell ref="D410:F410"/>
    <mergeCell ref="I410:J410"/>
    <mergeCell ref="D411:F411"/>
    <mergeCell ref="I411:J411"/>
    <mergeCell ref="D412:F412"/>
    <mergeCell ref="I412:J412"/>
    <mergeCell ref="D413:F413"/>
    <mergeCell ref="I413:J413"/>
    <mergeCell ref="D404:F404"/>
    <mergeCell ref="I404:J404"/>
    <mergeCell ref="D405:F405"/>
    <mergeCell ref="I405:J405"/>
    <mergeCell ref="D406:F406"/>
    <mergeCell ref="I406:J406"/>
    <mergeCell ref="D407:F407"/>
    <mergeCell ref="I407:J407"/>
    <mergeCell ref="D408:F408"/>
    <mergeCell ref="I408:J408"/>
    <mergeCell ref="D399:F399"/>
    <mergeCell ref="I399:J399"/>
    <mergeCell ref="D400:F400"/>
    <mergeCell ref="I400:J400"/>
    <mergeCell ref="D401:F401"/>
    <mergeCell ref="I401:J401"/>
    <mergeCell ref="D402:F402"/>
    <mergeCell ref="I402:J402"/>
    <mergeCell ref="D403:F403"/>
    <mergeCell ref="I403:J403"/>
    <mergeCell ref="D394:F394"/>
    <mergeCell ref="I394:J394"/>
    <mergeCell ref="D395:F395"/>
    <mergeCell ref="I395:J395"/>
    <mergeCell ref="D396:F396"/>
    <mergeCell ref="I396:J396"/>
    <mergeCell ref="D397:F397"/>
    <mergeCell ref="I397:J397"/>
    <mergeCell ref="D398:F398"/>
    <mergeCell ref="I398:J398"/>
    <mergeCell ref="D389:F389"/>
    <mergeCell ref="I389:J389"/>
    <mergeCell ref="D390:F390"/>
    <mergeCell ref="I390:J390"/>
    <mergeCell ref="D391:F391"/>
    <mergeCell ref="I391:J391"/>
    <mergeCell ref="D392:F392"/>
    <mergeCell ref="I392:J392"/>
    <mergeCell ref="D393:F393"/>
    <mergeCell ref="I393:J393"/>
    <mergeCell ref="D384:F384"/>
    <mergeCell ref="I384:J384"/>
    <mergeCell ref="D385:F385"/>
    <mergeCell ref="I385:J385"/>
    <mergeCell ref="D386:F386"/>
    <mergeCell ref="I386:J386"/>
    <mergeCell ref="D387:F387"/>
    <mergeCell ref="I387:J387"/>
    <mergeCell ref="D388:F388"/>
    <mergeCell ref="I388:J388"/>
    <mergeCell ref="D379:F379"/>
    <mergeCell ref="I379:J379"/>
    <mergeCell ref="D380:F380"/>
    <mergeCell ref="I380:J380"/>
    <mergeCell ref="D381:F381"/>
    <mergeCell ref="I381:J381"/>
    <mergeCell ref="D382:F382"/>
    <mergeCell ref="I382:J382"/>
    <mergeCell ref="D383:F383"/>
    <mergeCell ref="I383:J383"/>
    <mergeCell ref="D374:F374"/>
    <mergeCell ref="I374:J374"/>
    <mergeCell ref="D375:F375"/>
    <mergeCell ref="I375:J375"/>
    <mergeCell ref="D376:F376"/>
    <mergeCell ref="I376:J376"/>
    <mergeCell ref="D377:F377"/>
    <mergeCell ref="I377:J377"/>
    <mergeCell ref="D378:F378"/>
    <mergeCell ref="I378:J378"/>
    <mergeCell ref="D369:F369"/>
    <mergeCell ref="I369:J369"/>
    <mergeCell ref="D370:F370"/>
    <mergeCell ref="I370:J370"/>
    <mergeCell ref="D371:F371"/>
    <mergeCell ref="I371:J371"/>
    <mergeCell ref="D372:F372"/>
    <mergeCell ref="I372:J372"/>
    <mergeCell ref="D373:F373"/>
    <mergeCell ref="I373:J373"/>
    <mergeCell ref="D364:F364"/>
    <mergeCell ref="I364:J364"/>
    <mergeCell ref="D365:F365"/>
    <mergeCell ref="I365:J365"/>
    <mergeCell ref="D366:F366"/>
    <mergeCell ref="I366:J366"/>
    <mergeCell ref="D367:F367"/>
    <mergeCell ref="I367:J367"/>
    <mergeCell ref="D368:F368"/>
    <mergeCell ref="I368:J368"/>
    <mergeCell ref="D359:F359"/>
    <mergeCell ref="I359:J359"/>
    <mergeCell ref="D360:F360"/>
    <mergeCell ref="I360:J360"/>
    <mergeCell ref="D361:F361"/>
    <mergeCell ref="I361:J361"/>
    <mergeCell ref="D362:F362"/>
    <mergeCell ref="I362:J362"/>
    <mergeCell ref="D363:F363"/>
    <mergeCell ref="I363:J363"/>
    <mergeCell ref="D354:F354"/>
    <mergeCell ref="I354:J354"/>
    <mergeCell ref="D355:F355"/>
    <mergeCell ref="I355:J355"/>
    <mergeCell ref="D356:F356"/>
    <mergeCell ref="I356:J356"/>
    <mergeCell ref="D357:F357"/>
    <mergeCell ref="I357:J357"/>
    <mergeCell ref="D358:F358"/>
    <mergeCell ref="I358:J358"/>
    <mergeCell ref="D349:F349"/>
    <mergeCell ref="I349:J349"/>
    <mergeCell ref="D350:F350"/>
    <mergeCell ref="I350:J350"/>
    <mergeCell ref="D351:F351"/>
    <mergeCell ref="I351:J351"/>
    <mergeCell ref="D352:F352"/>
    <mergeCell ref="I352:J352"/>
    <mergeCell ref="D353:F353"/>
    <mergeCell ref="I353:J353"/>
    <mergeCell ref="D344:F344"/>
    <mergeCell ref="I344:J344"/>
    <mergeCell ref="D345:F345"/>
    <mergeCell ref="I345:J345"/>
    <mergeCell ref="D346:F346"/>
    <mergeCell ref="I346:J346"/>
    <mergeCell ref="D347:F347"/>
    <mergeCell ref="I347:J347"/>
    <mergeCell ref="D348:F348"/>
    <mergeCell ref="I348:J348"/>
    <mergeCell ref="D339:F339"/>
    <mergeCell ref="I339:J339"/>
    <mergeCell ref="D340:F340"/>
    <mergeCell ref="I340:J340"/>
    <mergeCell ref="D341:F341"/>
    <mergeCell ref="I341:J341"/>
    <mergeCell ref="D342:F342"/>
    <mergeCell ref="I342:J342"/>
    <mergeCell ref="D343:F343"/>
    <mergeCell ref="I343:J343"/>
    <mergeCell ref="D334:F334"/>
    <mergeCell ref="I334:J334"/>
    <mergeCell ref="D335:F335"/>
    <mergeCell ref="I335:J335"/>
    <mergeCell ref="D336:F336"/>
    <mergeCell ref="I336:J336"/>
    <mergeCell ref="D337:F337"/>
    <mergeCell ref="I337:J337"/>
    <mergeCell ref="D338:F338"/>
    <mergeCell ref="I338:J338"/>
    <mergeCell ref="D329:F329"/>
    <mergeCell ref="I329:J329"/>
    <mergeCell ref="D330:F330"/>
    <mergeCell ref="I330:J330"/>
    <mergeCell ref="D331:F331"/>
    <mergeCell ref="I331:J331"/>
    <mergeCell ref="D332:F332"/>
    <mergeCell ref="I332:J332"/>
    <mergeCell ref="D333:F333"/>
    <mergeCell ref="I333:J333"/>
    <mergeCell ref="D324:F324"/>
    <mergeCell ref="I324:J324"/>
    <mergeCell ref="D325:F325"/>
    <mergeCell ref="I325:J325"/>
    <mergeCell ref="D326:F326"/>
    <mergeCell ref="I326:J326"/>
    <mergeCell ref="D327:F327"/>
    <mergeCell ref="I327:J327"/>
    <mergeCell ref="D328:F328"/>
    <mergeCell ref="I328:J328"/>
    <mergeCell ref="D319:F319"/>
    <mergeCell ref="I319:J319"/>
    <mergeCell ref="D320:F320"/>
    <mergeCell ref="I320:J320"/>
    <mergeCell ref="D321:F321"/>
    <mergeCell ref="I321:J321"/>
    <mergeCell ref="D322:F322"/>
    <mergeCell ref="I322:J322"/>
    <mergeCell ref="D323:F323"/>
    <mergeCell ref="I323:J323"/>
    <mergeCell ref="D314:F314"/>
    <mergeCell ref="I314:J314"/>
    <mergeCell ref="D315:F315"/>
    <mergeCell ref="I315:J315"/>
    <mergeCell ref="D316:F316"/>
    <mergeCell ref="I316:J316"/>
    <mergeCell ref="D317:F317"/>
    <mergeCell ref="I317:J317"/>
    <mergeCell ref="D318:F318"/>
    <mergeCell ref="I318:J318"/>
    <mergeCell ref="D309:F309"/>
    <mergeCell ref="I309:J309"/>
    <mergeCell ref="D310:F310"/>
    <mergeCell ref="I310:J310"/>
    <mergeCell ref="D311:F311"/>
    <mergeCell ref="I311:J311"/>
    <mergeCell ref="D312:F312"/>
    <mergeCell ref="I312:J312"/>
    <mergeCell ref="D313:F313"/>
    <mergeCell ref="I313:J313"/>
    <mergeCell ref="D304:F304"/>
    <mergeCell ref="I304:J304"/>
    <mergeCell ref="D305:F305"/>
    <mergeCell ref="I305:J305"/>
    <mergeCell ref="D306:F306"/>
    <mergeCell ref="I306:J306"/>
    <mergeCell ref="D307:F307"/>
    <mergeCell ref="I307:J307"/>
    <mergeCell ref="D308:F308"/>
    <mergeCell ref="I308:J308"/>
    <mergeCell ref="D299:F299"/>
    <mergeCell ref="I299:J299"/>
    <mergeCell ref="D300:F300"/>
    <mergeCell ref="I300:J300"/>
    <mergeCell ref="D301:F301"/>
    <mergeCell ref="I301:J301"/>
    <mergeCell ref="D302:F302"/>
    <mergeCell ref="I302:J302"/>
    <mergeCell ref="D303:F303"/>
    <mergeCell ref="I303:J303"/>
    <mergeCell ref="D294:F294"/>
    <mergeCell ref="I294:J294"/>
    <mergeCell ref="D295:F295"/>
    <mergeCell ref="I295:J295"/>
    <mergeCell ref="D296:F296"/>
    <mergeCell ref="I296:J296"/>
    <mergeCell ref="D297:F297"/>
    <mergeCell ref="I297:J297"/>
    <mergeCell ref="D298:F298"/>
    <mergeCell ref="I298:J298"/>
    <mergeCell ref="D289:F289"/>
    <mergeCell ref="I289:J289"/>
    <mergeCell ref="D290:F290"/>
    <mergeCell ref="I290:J290"/>
    <mergeCell ref="D291:F291"/>
    <mergeCell ref="I291:J291"/>
    <mergeCell ref="D292:F292"/>
    <mergeCell ref="I292:J292"/>
    <mergeCell ref="D293:F293"/>
    <mergeCell ref="I293:J293"/>
    <mergeCell ref="D284:F284"/>
    <mergeCell ref="I284:J284"/>
    <mergeCell ref="D285:F285"/>
    <mergeCell ref="I285:J285"/>
    <mergeCell ref="D286:F286"/>
    <mergeCell ref="I286:J286"/>
    <mergeCell ref="D287:F287"/>
    <mergeCell ref="I287:J287"/>
    <mergeCell ref="D288:F288"/>
    <mergeCell ref="I288:J288"/>
    <mergeCell ref="I279:J279"/>
    <mergeCell ref="D280:F280"/>
    <mergeCell ref="I280:J280"/>
    <mergeCell ref="D281:F281"/>
    <mergeCell ref="I281:J281"/>
    <mergeCell ref="D282:F282"/>
    <mergeCell ref="I282:J282"/>
    <mergeCell ref="D283:F283"/>
    <mergeCell ref="I283:J283"/>
    <mergeCell ref="D279:F279"/>
    <mergeCell ref="D207:F207"/>
    <mergeCell ref="I207:J207"/>
    <mergeCell ref="D208:F208"/>
    <mergeCell ref="I208:J208"/>
    <mergeCell ref="D246:F246"/>
    <mergeCell ref="I246:J246"/>
    <mergeCell ref="D247:F247"/>
    <mergeCell ref="I247:J247"/>
    <mergeCell ref="D248:F248"/>
    <mergeCell ref="I248:J248"/>
    <mergeCell ref="D202:F202"/>
    <mergeCell ref="I202:J202"/>
    <mergeCell ref="D203:F203"/>
    <mergeCell ref="I203:J203"/>
    <mergeCell ref="D204:F204"/>
    <mergeCell ref="I204:J204"/>
    <mergeCell ref="D205:F205"/>
    <mergeCell ref="I205:J205"/>
    <mergeCell ref="D206:F206"/>
    <mergeCell ref="I206:J206"/>
    <mergeCell ref="I215:J215"/>
    <mergeCell ref="D216:F216"/>
    <mergeCell ref="I216:J216"/>
    <mergeCell ref="D211:F211"/>
    <mergeCell ref="I211:J211"/>
    <mergeCell ref="D212:F212"/>
    <mergeCell ref="I212:J212"/>
    <mergeCell ref="D213:F213"/>
    <mergeCell ref="I213:J213"/>
    <mergeCell ref="D220:F220"/>
    <mergeCell ref="I220:J220"/>
    <mergeCell ref="D221:F221"/>
    <mergeCell ref="D197:F197"/>
    <mergeCell ref="I197:J197"/>
    <mergeCell ref="D198:F198"/>
    <mergeCell ref="I198:J198"/>
    <mergeCell ref="D199:F199"/>
    <mergeCell ref="I199:J199"/>
    <mergeCell ref="D200:F200"/>
    <mergeCell ref="I200:J200"/>
    <mergeCell ref="D201:F201"/>
    <mergeCell ref="I201:J201"/>
    <mergeCell ref="D192:F192"/>
    <mergeCell ref="I192:J192"/>
    <mergeCell ref="D193:F193"/>
    <mergeCell ref="I193:J193"/>
    <mergeCell ref="D194:F194"/>
    <mergeCell ref="I194:J194"/>
    <mergeCell ref="D195:F195"/>
    <mergeCell ref="I195:J195"/>
    <mergeCell ref="D196:F196"/>
    <mergeCell ref="I196:J196"/>
    <mergeCell ref="D187:F187"/>
    <mergeCell ref="I187:J187"/>
    <mergeCell ref="D188:F188"/>
    <mergeCell ref="I188:J188"/>
    <mergeCell ref="D189:F189"/>
    <mergeCell ref="I189:J189"/>
    <mergeCell ref="D190:F190"/>
    <mergeCell ref="I190:J190"/>
    <mergeCell ref="D191:F191"/>
    <mergeCell ref="I191:J191"/>
    <mergeCell ref="D182:F182"/>
    <mergeCell ref="I182:J182"/>
    <mergeCell ref="D183:F183"/>
    <mergeCell ref="I183:J183"/>
    <mergeCell ref="D184:F184"/>
    <mergeCell ref="I184:J184"/>
    <mergeCell ref="D185:F185"/>
    <mergeCell ref="I185:J185"/>
    <mergeCell ref="D186:F186"/>
    <mergeCell ref="I186:J186"/>
    <mergeCell ref="D177:F177"/>
    <mergeCell ref="I177:J177"/>
    <mergeCell ref="D178:F178"/>
    <mergeCell ref="I178:J178"/>
    <mergeCell ref="D179:F179"/>
    <mergeCell ref="I179:J179"/>
    <mergeCell ref="D180:F180"/>
    <mergeCell ref="I180:J180"/>
    <mergeCell ref="D181:F181"/>
    <mergeCell ref="I181:J181"/>
    <mergeCell ref="D172:F172"/>
    <mergeCell ref="I172:J172"/>
    <mergeCell ref="D173:F173"/>
    <mergeCell ref="I173:J173"/>
    <mergeCell ref="D174:F174"/>
    <mergeCell ref="I174:J174"/>
    <mergeCell ref="D175:F175"/>
    <mergeCell ref="I175:J175"/>
    <mergeCell ref="D176:F176"/>
    <mergeCell ref="I176:J176"/>
    <mergeCell ref="D167:F167"/>
    <mergeCell ref="I167:J167"/>
    <mergeCell ref="D168:F168"/>
    <mergeCell ref="I168:J168"/>
    <mergeCell ref="D169:F169"/>
    <mergeCell ref="I169:J169"/>
    <mergeCell ref="D170:F170"/>
    <mergeCell ref="I170:J170"/>
    <mergeCell ref="D171:F171"/>
    <mergeCell ref="I171:J171"/>
    <mergeCell ref="D162:F162"/>
    <mergeCell ref="I162:J162"/>
    <mergeCell ref="D163:F163"/>
    <mergeCell ref="I163:J163"/>
    <mergeCell ref="D164:F164"/>
    <mergeCell ref="I164:J164"/>
    <mergeCell ref="D165:F165"/>
    <mergeCell ref="I165:J165"/>
    <mergeCell ref="D166:F166"/>
    <mergeCell ref="I166:J166"/>
    <mergeCell ref="D157:F157"/>
    <mergeCell ref="I157:J157"/>
    <mergeCell ref="D158:F158"/>
    <mergeCell ref="I158:J158"/>
    <mergeCell ref="D159:F159"/>
    <mergeCell ref="I159:J159"/>
    <mergeCell ref="D160:F160"/>
    <mergeCell ref="I160:J160"/>
    <mergeCell ref="D161:F161"/>
    <mergeCell ref="I161:J161"/>
    <mergeCell ref="D152:F152"/>
    <mergeCell ref="I152:J152"/>
    <mergeCell ref="D153:F153"/>
    <mergeCell ref="I153:J153"/>
    <mergeCell ref="D154:F154"/>
    <mergeCell ref="I154:J154"/>
    <mergeCell ref="D155:F155"/>
    <mergeCell ref="I155:J155"/>
    <mergeCell ref="D156:F156"/>
    <mergeCell ref="I156:J156"/>
    <mergeCell ref="D147:F147"/>
    <mergeCell ref="I147:J147"/>
    <mergeCell ref="D148:F148"/>
    <mergeCell ref="I148:J148"/>
    <mergeCell ref="D149:F149"/>
    <mergeCell ref="I149:J149"/>
    <mergeCell ref="D150:F150"/>
    <mergeCell ref="I150:J150"/>
    <mergeCell ref="D151:F151"/>
    <mergeCell ref="I151:J151"/>
    <mergeCell ref="D142:F142"/>
    <mergeCell ref="I142:J142"/>
    <mergeCell ref="D143:F143"/>
    <mergeCell ref="I143:J143"/>
    <mergeCell ref="D144:F144"/>
    <mergeCell ref="I144:J144"/>
    <mergeCell ref="D145:F145"/>
    <mergeCell ref="I145:J145"/>
    <mergeCell ref="D146:F146"/>
    <mergeCell ref="I146:J146"/>
    <mergeCell ref="D137:F137"/>
    <mergeCell ref="I137:J137"/>
    <mergeCell ref="D138:F138"/>
    <mergeCell ref="I138:J138"/>
    <mergeCell ref="D139:F139"/>
    <mergeCell ref="I139:J139"/>
    <mergeCell ref="D140:F140"/>
    <mergeCell ref="I140:J140"/>
    <mergeCell ref="D141:F141"/>
    <mergeCell ref="I141:J141"/>
    <mergeCell ref="D132:F132"/>
    <mergeCell ref="I132:J132"/>
    <mergeCell ref="D133:F133"/>
    <mergeCell ref="I133:J133"/>
    <mergeCell ref="D134:F134"/>
    <mergeCell ref="I134:J134"/>
    <mergeCell ref="D135:F135"/>
    <mergeCell ref="I135:J135"/>
    <mergeCell ref="D136:F136"/>
    <mergeCell ref="I136:J136"/>
    <mergeCell ref="D127:F127"/>
    <mergeCell ref="I127:J127"/>
    <mergeCell ref="D128:F128"/>
    <mergeCell ref="I128:J128"/>
    <mergeCell ref="D129:F129"/>
    <mergeCell ref="I129:J129"/>
    <mergeCell ref="D130:F130"/>
    <mergeCell ref="I130:J130"/>
    <mergeCell ref="D131:F131"/>
    <mergeCell ref="I131:J131"/>
    <mergeCell ref="D122:F122"/>
    <mergeCell ref="I122:J122"/>
    <mergeCell ref="D123:F123"/>
    <mergeCell ref="I123:J123"/>
    <mergeCell ref="D124:F124"/>
    <mergeCell ref="I124:J124"/>
    <mergeCell ref="D125:F125"/>
    <mergeCell ref="I125:J125"/>
    <mergeCell ref="D126:F126"/>
    <mergeCell ref="I126:J126"/>
    <mergeCell ref="D117:F117"/>
    <mergeCell ref="I117:J117"/>
    <mergeCell ref="D118:F118"/>
    <mergeCell ref="I118:J118"/>
    <mergeCell ref="D119:F119"/>
    <mergeCell ref="I119:J119"/>
    <mergeCell ref="D120:F120"/>
    <mergeCell ref="I120:J120"/>
    <mergeCell ref="D121:F121"/>
    <mergeCell ref="I121:J121"/>
    <mergeCell ref="D112:F112"/>
    <mergeCell ref="I112:J112"/>
    <mergeCell ref="D113:F113"/>
    <mergeCell ref="I113:J113"/>
    <mergeCell ref="D114:F114"/>
    <mergeCell ref="I114:J114"/>
    <mergeCell ref="D115:F115"/>
    <mergeCell ref="I115:J115"/>
    <mergeCell ref="D116:F116"/>
    <mergeCell ref="I116:J116"/>
    <mergeCell ref="D107:F107"/>
    <mergeCell ref="I107:J107"/>
    <mergeCell ref="D108:F108"/>
    <mergeCell ref="I108:J108"/>
    <mergeCell ref="D109:F109"/>
    <mergeCell ref="I109:J109"/>
    <mergeCell ref="D110:F110"/>
    <mergeCell ref="I110:J110"/>
    <mergeCell ref="D111:F111"/>
    <mergeCell ref="I111:J111"/>
    <mergeCell ref="D102:F102"/>
    <mergeCell ref="I102:J102"/>
    <mergeCell ref="D103:F103"/>
    <mergeCell ref="I103:J103"/>
    <mergeCell ref="D104:F104"/>
    <mergeCell ref="I104:J104"/>
    <mergeCell ref="D105:F105"/>
    <mergeCell ref="I105:J105"/>
    <mergeCell ref="D106:F106"/>
    <mergeCell ref="I106:J106"/>
    <mergeCell ref="D97:F97"/>
    <mergeCell ref="I97:J97"/>
    <mergeCell ref="D98:F98"/>
    <mergeCell ref="I98:J98"/>
    <mergeCell ref="D99:F99"/>
    <mergeCell ref="I99:J99"/>
    <mergeCell ref="D100:F100"/>
    <mergeCell ref="I100:J100"/>
    <mergeCell ref="D101:F101"/>
    <mergeCell ref="I101:J101"/>
    <mergeCell ref="D92:F92"/>
    <mergeCell ref="I92:J92"/>
    <mergeCell ref="D93:F93"/>
    <mergeCell ref="I93:J93"/>
    <mergeCell ref="D94:F94"/>
    <mergeCell ref="I94:J94"/>
    <mergeCell ref="D95:F95"/>
    <mergeCell ref="I95:J95"/>
    <mergeCell ref="D96:F96"/>
    <mergeCell ref="I96:J96"/>
    <mergeCell ref="D87:F87"/>
    <mergeCell ref="I87:J87"/>
    <mergeCell ref="D88:F88"/>
    <mergeCell ref="I88:J88"/>
    <mergeCell ref="D89:F89"/>
    <mergeCell ref="I89:J89"/>
    <mergeCell ref="D90:F90"/>
    <mergeCell ref="I90:J90"/>
    <mergeCell ref="D91:F91"/>
    <mergeCell ref="I91:J91"/>
    <mergeCell ref="D82:F82"/>
    <mergeCell ref="I82:J82"/>
    <mergeCell ref="D83:F83"/>
    <mergeCell ref="I83:J83"/>
    <mergeCell ref="D84:F84"/>
    <mergeCell ref="I84:J84"/>
    <mergeCell ref="D85:F85"/>
    <mergeCell ref="I85:J85"/>
    <mergeCell ref="D86:F86"/>
    <mergeCell ref="I86:J86"/>
    <mergeCell ref="D77:F77"/>
    <mergeCell ref="I77:J77"/>
    <mergeCell ref="D78:F78"/>
    <mergeCell ref="I78:J78"/>
    <mergeCell ref="D79:F79"/>
    <mergeCell ref="I79:J79"/>
    <mergeCell ref="D80:F80"/>
    <mergeCell ref="I80:J80"/>
    <mergeCell ref="D81:F81"/>
    <mergeCell ref="I81:J81"/>
    <mergeCell ref="D72:F72"/>
    <mergeCell ref="I72:J72"/>
    <mergeCell ref="D73:F73"/>
    <mergeCell ref="I73:J73"/>
    <mergeCell ref="D74:F74"/>
    <mergeCell ref="I74:J74"/>
    <mergeCell ref="D75:F75"/>
    <mergeCell ref="I75:J75"/>
    <mergeCell ref="D76:F76"/>
    <mergeCell ref="I76:J76"/>
    <mergeCell ref="D67:F67"/>
    <mergeCell ref="I67:J67"/>
    <mergeCell ref="D68:F68"/>
    <mergeCell ref="I68:J68"/>
    <mergeCell ref="D69:F69"/>
    <mergeCell ref="I69:J69"/>
    <mergeCell ref="D70:F70"/>
    <mergeCell ref="I70:J70"/>
    <mergeCell ref="D71:F71"/>
    <mergeCell ref="I71:J71"/>
    <mergeCell ref="D62:F62"/>
    <mergeCell ref="I62:J62"/>
    <mergeCell ref="D63:F63"/>
    <mergeCell ref="I63:J63"/>
    <mergeCell ref="D64:F64"/>
    <mergeCell ref="I64:J64"/>
    <mergeCell ref="D65:F65"/>
    <mergeCell ref="I65:J65"/>
    <mergeCell ref="D66:F66"/>
    <mergeCell ref="I66:J66"/>
    <mergeCell ref="D57:F57"/>
    <mergeCell ref="I57:J57"/>
    <mergeCell ref="D58:F58"/>
    <mergeCell ref="I58:J58"/>
    <mergeCell ref="D59:F59"/>
    <mergeCell ref="I59:J59"/>
    <mergeCell ref="D60:F60"/>
    <mergeCell ref="I60:J60"/>
    <mergeCell ref="D61:F61"/>
    <mergeCell ref="I61:J61"/>
    <mergeCell ref="D52:F52"/>
    <mergeCell ref="I52:J52"/>
    <mergeCell ref="D53:F53"/>
    <mergeCell ref="I53:J53"/>
    <mergeCell ref="D54:F54"/>
    <mergeCell ref="I54:J54"/>
    <mergeCell ref="D55:F55"/>
    <mergeCell ref="I55:J55"/>
    <mergeCell ref="D56:F56"/>
    <mergeCell ref="I56:J56"/>
    <mergeCell ref="D47:F47"/>
    <mergeCell ref="I47:J47"/>
    <mergeCell ref="D48:F48"/>
    <mergeCell ref="I48:J48"/>
    <mergeCell ref="D49:F49"/>
    <mergeCell ref="I49:J49"/>
    <mergeCell ref="D50:F50"/>
    <mergeCell ref="I50:J50"/>
    <mergeCell ref="D51:F51"/>
    <mergeCell ref="I51:J51"/>
    <mergeCell ref="D42:F42"/>
    <mergeCell ref="I42:J42"/>
    <mergeCell ref="D43:F43"/>
    <mergeCell ref="I43:J43"/>
    <mergeCell ref="D44:F44"/>
    <mergeCell ref="I44:J44"/>
    <mergeCell ref="D45:F45"/>
    <mergeCell ref="I45:J45"/>
    <mergeCell ref="D46:F46"/>
    <mergeCell ref="I46:J46"/>
    <mergeCell ref="D37:F37"/>
    <mergeCell ref="I37:J37"/>
    <mergeCell ref="D38:F38"/>
    <mergeCell ref="I38:J38"/>
    <mergeCell ref="D39:F39"/>
    <mergeCell ref="I39:J39"/>
    <mergeCell ref="D40:F40"/>
    <mergeCell ref="I40:J40"/>
    <mergeCell ref="D41:F41"/>
    <mergeCell ref="I41:J41"/>
    <mergeCell ref="D32:F32"/>
    <mergeCell ref="I32:J32"/>
    <mergeCell ref="D33:F33"/>
    <mergeCell ref="I33:J33"/>
    <mergeCell ref="D34:F34"/>
    <mergeCell ref="I34:J34"/>
    <mergeCell ref="D35:F35"/>
    <mergeCell ref="I35:J35"/>
    <mergeCell ref="D36:F36"/>
    <mergeCell ref="I36:J36"/>
    <mergeCell ref="D27:F27"/>
    <mergeCell ref="I27:J27"/>
    <mergeCell ref="D28:F28"/>
    <mergeCell ref="I28:J28"/>
    <mergeCell ref="D29:F29"/>
    <mergeCell ref="I29:J29"/>
    <mergeCell ref="D30:F30"/>
    <mergeCell ref="I30:J30"/>
    <mergeCell ref="D31:F31"/>
    <mergeCell ref="I31:J31"/>
    <mergeCell ref="D22:F22"/>
    <mergeCell ref="I22:J22"/>
    <mergeCell ref="D23:F23"/>
    <mergeCell ref="I23:J23"/>
    <mergeCell ref="D24:F24"/>
    <mergeCell ref="I24:J24"/>
    <mergeCell ref="D25:F25"/>
    <mergeCell ref="I25:J25"/>
    <mergeCell ref="D26:F26"/>
    <mergeCell ref="I26:J26"/>
    <mergeCell ref="D17:F17"/>
    <mergeCell ref="I17:J17"/>
    <mergeCell ref="D18:F18"/>
    <mergeCell ref="I18:J18"/>
    <mergeCell ref="D19:F19"/>
    <mergeCell ref="I19:J19"/>
    <mergeCell ref="D20:F20"/>
    <mergeCell ref="I20:J20"/>
    <mergeCell ref="D21:F21"/>
    <mergeCell ref="I21:J21"/>
    <mergeCell ref="E1:P1"/>
    <mergeCell ref="E2:P2"/>
    <mergeCell ref="E3:J3"/>
    <mergeCell ref="K3:P3"/>
    <mergeCell ref="C269:P269"/>
    <mergeCell ref="C521:L521"/>
    <mergeCell ref="C1:D3"/>
    <mergeCell ref="N521:P521"/>
    <mergeCell ref="D16:F16"/>
    <mergeCell ref="I16:J16"/>
    <mergeCell ref="D209:F209"/>
    <mergeCell ref="I209:J209"/>
    <mergeCell ref="D210:F210"/>
    <mergeCell ref="I210:J210"/>
    <mergeCell ref="D10:I10"/>
    <mergeCell ref="D14:F14"/>
    <mergeCell ref="I14:J14"/>
    <mergeCell ref="D15:F15"/>
    <mergeCell ref="I15:J15"/>
    <mergeCell ref="D214:F214"/>
    <mergeCell ref="I214:J214"/>
    <mergeCell ref="D215:F215"/>
    <mergeCell ref="I221:J221"/>
    <mergeCell ref="D222:F222"/>
    <mergeCell ref="I222:J222"/>
    <mergeCell ref="D217:F217"/>
    <mergeCell ref="I217:J217"/>
    <mergeCell ref="D218:F218"/>
    <mergeCell ref="I218:J218"/>
    <mergeCell ref="D219:F219"/>
    <mergeCell ref="I219:J219"/>
    <mergeCell ref="D226:F226"/>
    <mergeCell ref="I226:J226"/>
    <mergeCell ref="D227:F227"/>
    <mergeCell ref="I227:J227"/>
    <mergeCell ref="D228:F228"/>
    <mergeCell ref="I228:J228"/>
    <mergeCell ref="D223:F223"/>
    <mergeCell ref="I223:J223"/>
    <mergeCell ref="D224:F224"/>
    <mergeCell ref="I224:J224"/>
    <mergeCell ref="D225:F225"/>
    <mergeCell ref="I225:J225"/>
    <mergeCell ref="D229:F229"/>
    <mergeCell ref="I229:J229"/>
    <mergeCell ref="D230:F230"/>
    <mergeCell ref="I230:J230"/>
    <mergeCell ref="D231:F231"/>
    <mergeCell ref="I231:J231"/>
    <mergeCell ref="D238:F238"/>
    <mergeCell ref="I238:J238"/>
    <mergeCell ref="D239:F239"/>
    <mergeCell ref="I239:J239"/>
    <mergeCell ref="D240:F240"/>
    <mergeCell ref="I240:J240"/>
    <mergeCell ref="D235:F235"/>
    <mergeCell ref="I235:J235"/>
    <mergeCell ref="D236:F236"/>
    <mergeCell ref="I236:J236"/>
    <mergeCell ref="D237:F237"/>
    <mergeCell ref="I237:J237"/>
    <mergeCell ref="I242:J242"/>
    <mergeCell ref="D243:F243"/>
    <mergeCell ref="I243:J243"/>
    <mergeCell ref="D249:F249"/>
    <mergeCell ref="I249:J249"/>
    <mergeCell ref="D250:F250"/>
    <mergeCell ref="I250:J250"/>
    <mergeCell ref="D251:F251"/>
    <mergeCell ref="I251:J251"/>
    <mergeCell ref="D252:F252"/>
    <mergeCell ref="I252:J252"/>
    <mergeCell ref="D253:F253"/>
    <mergeCell ref="I253:J253"/>
    <mergeCell ref="D232:F232"/>
    <mergeCell ref="I232:J232"/>
    <mergeCell ref="D233:F233"/>
    <mergeCell ref="I233:J233"/>
    <mergeCell ref="D234:F234"/>
    <mergeCell ref="I234:J234"/>
    <mergeCell ref="C8:P8"/>
    <mergeCell ref="C9:P9"/>
    <mergeCell ref="C11:P11"/>
    <mergeCell ref="D264:F264"/>
    <mergeCell ref="I264:J264"/>
    <mergeCell ref="D261:F261"/>
    <mergeCell ref="I261:J261"/>
    <mergeCell ref="D262:F262"/>
    <mergeCell ref="I262:J262"/>
    <mergeCell ref="D263:F263"/>
    <mergeCell ref="I263:J263"/>
    <mergeCell ref="D258:F258"/>
    <mergeCell ref="I258:J258"/>
    <mergeCell ref="D259:F259"/>
    <mergeCell ref="I259:J259"/>
    <mergeCell ref="D260:F260"/>
    <mergeCell ref="I260:J260"/>
    <mergeCell ref="D255:F255"/>
    <mergeCell ref="I255:J255"/>
    <mergeCell ref="D256:F256"/>
    <mergeCell ref="I256:J256"/>
    <mergeCell ref="D257:F257"/>
    <mergeCell ref="I257:J257"/>
    <mergeCell ref="D244:F244"/>
    <mergeCell ref="I244:J244"/>
    <mergeCell ref="D245:F245"/>
    <mergeCell ref="I245:J245"/>
    <mergeCell ref="D254:F254"/>
    <mergeCell ref="I254:J254"/>
    <mergeCell ref="D241:F241"/>
    <mergeCell ref="I241:J241"/>
    <mergeCell ref="D242:F242"/>
    <mergeCell ref="D270:F270"/>
    <mergeCell ref="I270:J270"/>
    <mergeCell ref="D271:F271"/>
    <mergeCell ref="C265:J265"/>
    <mergeCell ref="D272:F272"/>
    <mergeCell ref="I272:J272"/>
    <mergeCell ref="D273:F273"/>
    <mergeCell ref="I273:J273"/>
    <mergeCell ref="D274:F274"/>
    <mergeCell ref="I274:J274"/>
    <mergeCell ref="D275:F275"/>
    <mergeCell ref="I275:J275"/>
    <mergeCell ref="D276:F276"/>
    <mergeCell ref="I276:J276"/>
    <mergeCell ref="D277:F277"/>
    <mergeCell ref="I277:J277"/>
    <mergeCell ref="D278:F278"/>
    <mergeCell ref="I278:J278"/>
    <mergeCell ref="I480:J480"/>
    <mergeCell ref="I481:J481"/>
    <mergeCell ref="D512:F512"/>
    <mergeCell ref="D513:F513"/>
    <mergeCell ref="D514:F514"/>
    <mergeCell ref="D515:F515"/>
    <mergeCell ref="D516:F516"/>
    <mergeCell ref="D507:F507"/>
    <mergeCell ref="D508:F508"/>
    <mergeCell ref="D509:F509"/>
    <mergeCell ref="D510:F510"/>
    <mergeCell ref="I487:J487"/>
    <mergeCell ref="I488:J488"/>
    <mergeCell ref="I489:J489"/>
    <mergeCell ref="I490:J490"/>
    <mergeCell ref="I491:J491"/>
    <mergeCell ref="I482:J482"/>
    <mergeCell ref="I483:J483"/>
    <mergeCell ref="I484:J484"/>
    <mergeCell ref="C13:K13"/>
    <mergeCell ref="C267:P267"/>
    <mergeCell ref="C523:P523"/>
    <mergeCell ref="I517:J517"/>
    <mergeCell ref="I518:J518"/>
    <mergeCell ref="I519:J519"/>
    <mergeCell ref="I520:J520"/>
    <mergeCell ref="I512:J512"/>
    <mergeCell ref="I513:J513"/>
    <mergeCell ref="I514:J514"/>
    <mergeCell ref="I515:J515"/>
    <mergeCell ref="I516:J516"/>
    <mergeCell ref="I507:J507"/>
    <mergeCell ref="I508:J508"/>
    <mergeCell ref="I509:J509"/>
    <mergeCell ref="I510:J510"/>
    <mergeCell ref="I511:J511"/>
    <mergeCell ref="I502:J502"/>
    <mergeCell ref="I503:J503"/>
    <mergeCell ref="D517:F517"/>
    <mergeCell ref="D518:F518"/>
    <mergeCell ref="D519:F519"/>
    <mergeCell ref="D520:F520"/>
    <mergeCell ref="I271:J271"/>
    <mergeCell ref="I472:J472"/>
    <mergeCell ref="I473:J473"/>
    <mergeCell ref="I474:J474"/>
    <mergeCell ref="I475:J475"/>
    <mergeCell ref="I476:J476"/>
    <mergeCell ref="I477:J477"/>
    <mergeCell ref="I478:J478"/>
    <mergeCell ref="I479:J479"/>
    <mergeCell ref="D532:F532"/>
    <mergeCell ref="D543:F543"/>
    <mergeCell ref="D544:F544"/>
    <mergeCell ref="D545:F545"/>
    <mergeCell ref="D546:F546"/>
    <mergeCell ref="I485:J485"/>
    <mergeCell ref="I486:J486"/>
    <mergeCell ref="I497:J497"/>
    <mergeCell ref="I498:J498"/>
    <mergeCell ref="I499:J499"/>
    <mergeCell ref="I500:J500"/>
    <mergeCell ref="I501:J501"/>
    <mergeCell ref="I492:J492"/>
    <mergeCell ref="I493:J493"/>
    <mergeCell ref="I494:J494"/>
    <mergeCell ref="I495:J495"/>
    <mergeCell ref="I496:J496"/>
    <mergeCell ref="D527:F527"/>
    <mergeCell ref="I541:P541"/>
    <mergeCell ref="D502:F502"/>
    <mergeCell ref="D503:F503"/>
    <mergeCell ref="D504:F504"/>
    <mergeCell ref="D505:F505"/>
    <mergeCell ref="D506:F506"/>
    <mergeCell ref="D497:F497"/>
    <mergeCell ref="D498:F498"/>
    <mergeCell ref="D499:F499"/>
    <mergeCell ref="D500:F500"/>
    <mergeCell ref="D501:F501"/>
    <mergeCell ref="D547:F547"/>
    <mergeCell ref="D538:F538"/>
    <mergeCell ref="D539:F539"/>
    <mergeCell ref="D540:F540"/>
    <mergeCell ref="D541:F541"/>
    <mergeCell ref="D542:F542"/>
    <mergeCell ref="D553:F553"/>
    <mergeCell ref="D554:F554"/>
    <mergeCell ref="D555:F555"/>
    <mergeCell ref="D556:F556"/>
    <mergeCell ref="D557:F557"/>
    <mergeCell ref="D548:F548"/>
    <mergeCell ref="D549:F549"/>
    <mergeCell ref="D550:F550"/>
    <mergeCell ref="D551:F551"/>
    <mergeCell ref="D552:F552"/>
    <mergeCell ref="C5:D5"/>
    <mergeCell ref="C6:D6"/>
    <mergeCell ref="E5:P5"/>
    <mergeCell ref="E6:P6"/>
    <mergeCell ref="I504:J504"/>
    <mergeCell ref="I505:J505"/>
    <mergeCell ref="I506:J506"/>
    <mergeCell ref="D533:F533"/>
    <mergeCell ref="D534:F534"/>
    <mergeCell ref="D535:F535"/>
    <mergeCell ref="D536:F536"/>
    <mergeCell ref="D537:F537"/>
    <mergeCell ref="D528:F528"/>
    <mergeCell ref="D529:F529"/>
    <mergeCell ref="D530:F530"/>
    <mergeCell ref="D531:F531"/>
    <mergeCell ref="D573:F573"/>
    <mergeCell ref="D574:F574"/>
    <mergeCell ref="D575:F575"/>
    <mergeCell ref="D576:F576"/>
    <mergeCell ref="D577:F577"/>
    <mergeCell ref="D568:F568"/>
    <mergeCell ref="D569:F569"/>
    <mergeCell ref="D570:F570"/>
    <mergeCell ref="D571:F571"/>
    <mergeCell ref="D572:F572"/>
    <mergeCell ref="D563:F563"/>
    <mergeCell ref="D564:F564"/>
    <mergeCell ref="D565:F565"/>
    <mergeCell ref="D566:F566"/>
    <mergeCell ref="D567:F567"/>
    <mergeCell ref="D558:F558"/>
    <mergeCell ref="D559:F559"/>
    <mergeCell ref="D560:F560"/>
    <mergeCell ref="D561:F561"/>
    <mergeCell ref="D562:F562"/>
  </mergeCells>
  <conditionalFormatting sqref="P271:P520">
    <cfRule type="containsText" dxfId="45" priority="1" operator="containsText" text="Si">
      <formula>NOT(ISERROR(SEARCH("Si",P271)))</formula>
    </cfRule>
  </conditionalFormatting>
  <dataValidations count="1">
    <dataValidation type="list" allowBlank="1" showInputMessage="1" showErrorMessage="1" sqref="H528:H777" xr:uid="{00000000-0002-0000-0B00-000000000000}">
      <formula1>"Si,No"</formula1>
    </dataValidation>
  </dataValidations>
  <hyperlinks>
    <hyperlink ref="Q1" location="ins" display="Instructivo" xr:uid="{00000000-0004-0000-0B00-000000000000}"/>
    <hyperlink ref="E526" r:id="rId1" xr:uid="{00000000-0004-0000-0B00-000001000000}"/>
  </hyperlinks>
  <printOptions horizontalCentered="1"/>
  <pageMargins left="0" right="0" top="0" bottom="0" header="0" footer="0"/>
  <pageSetup scale="70" fitToHeight="0" orientation="landscape" r:id="rId2"/>
  <drawing r:id="rId3"/>
  <legacyDrawing r:id="rId4"/>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0">
    <tabColor theme="5" tint="0.39997558519241921"/>
    <pageSetUpPr fitToPage="1"/>
  </sheetPr>
  <dimension ref="A1:I41"/>
  <sheetViews>
    <sheetView showGridLines="0" topLeftCell="A7" zoomScaleNormal="100" workbookViewId="0">
      <selection activeCell="G13" sqref="G13"/>
    </sheetView>
  </sheetViews>
  <sheetFormatPr defaultColWidth="13.5" defaultRowHeight="20.100000000000001" customHeight="1"/>
  <cols>
    <col min="1" max="1" width="47.1640625" style="609" customWidth="1"/>
    <col min="2" max="2" width="17.1640625" style="609" customWidth="1"/>
    <col min="3" max="3" width="14.83203125" style="609" customWidth="1"/>
    <col min="4" max="4" width="21.6640625" style="756" customWidth="1"/>
    <col min="5" max="5" width="21.83203125" style="609" customWidth="1"/>
    <col min="6" max="6" width="25.33203125" style="609" customWidth="1"/>
    <col min="7" max="7" width="32" style="609" customWidth="1"/>
    <col min="8" max="8" width="16.83203125" style="609" customWidth="1"/>
    <col min="9" max="16384" width="13.5" style="609"/>
  </cols>
  <sheetData>
    <row r="1" spans="1:9" ht="20.100000000000001" customHeight="1">
      <c r="A1" s="1263"/>
      <c r="B1" s="1078" t="s">
        <v>0</v>
      </c>
      <c r="C1" s="1078"/>
      <c r="D1" s="1078"/>
      <c r="E1" s="1078"/>
      <c r="F1" s="1079"/>
      <c r="G1" s="366" t="s">
        <v>104</v>
      </c>
      <c r="H1" s="65"/>
    </row>
    <row r="2" spans="1:9" ht="20.100000000000001" customHeight="1">
      <c r="A2" s="1264"/>
      <c r="B2" s="1080" t="s">
        <v>533</v>
      </c>
      <c r="C2" s="1080"/>
      <c r="D2" s="1080"/>
      <c r="E2" s="1080"/>
      <c r="F2" s="1081"/>
      <c r="G2" s="603" t="s">
        <v>31</v>
      </c>
    </row>
    <row r="3" spans="1:9" ht="20.100000000000001" customHeight="1" thickBot="1">
      <c r="A3" s="1265"/>
      <c r="B3" s="1083" t="s">
        <v>2</v>
      </c>
      <c r="C3" s="1084"/>
      <c r="D3" s="1108"/>
      <c r="E3" s="1083" t="s">
        <v>3</v>
      </c>
      <c r="F3" s="1085"/>
    </row>
    <row r="4" spans="1:9" ht="20.100000000000001" customHeight="1" thickBot="1"/>
    <row r="5" spans="1:9" ht="20.100000000000001" customHeight="1" thickBot="1">
      <c r="A5" s="635" t="s">
        <v>534</v>
      </c>
      <c r="B5" s="991"/>
      <c r="C5" s="992"/>
      <c r="D5" s="992"/>
      <c r="E5" s="992"/>
      <c r="F5" s="993"/>
    </row>
    <row r="6" spans="1:9" ht="20.100000000000001" customHeight="1" thickBot="1">
      <c r="A6" s="635" t="s">
        <v>107</v>
      </c>
      <c r="B6" s="1090" t="str">
        <f>'Plan Ejecución'!AE5</f>
        <v>CONTRATACIÓN DIRECTA</v>
      </c>
      <c r="C6" s="1091"/>
      <c r="D6" s="1091"/>
      <c r="E6" s="1091"/>
      <c r="F6" s="1092"/>
    </row>
    <row r="7" spans="1:9" ht="31.5" customHeight="1" thickBot="1">
      <c r="A7" s="635" t="s">
        <v>109</v>
      </c>
      <c r="B7" s="1090" t="str">
        <f>'Plan Ejecución'!AE6</f>
        <v xml:space="preserve"> "“SOPORTE, MANTENIMIENTO Y ACTUALIZACIÓN DEL VISOR GEOGRÁFICO – AÑO 2025"</v>
      </c>
      <c r="C7" s="1091"/>
      <c r="D7" s="1091"/>
      <c r="E7" s="1091"/>
      <c r="F7" s="1092"/>
    </row>
    <row r="8" spans="1:9" ht="20.25" customHeight="1">
      <c r="A8" s="168"/>
      <c r="B8" s="169"/>
      <c r="C8" s="169"/>
      <c r="D8" s="169"/>
      <c r="E8" s="169"/>
      <c r="F8" s="169"/>
    </row>
    <row r="9" spans="1:9" ht="20.100000000000001" customHeight="1">
      <c r="A9" s="1335" t="s">
        <v>535</v>
      </c>
      <c r="B9" s="1335"/>
      <c r="C9" s="1335"/>
      <c r="D9" s="1335"/>
      <c r="E9" s="1335"/>
      <c r="F9" s="1335"/>
    </row>
    <row r="10" spans="1:9" ht="53.25" customHeight="1">
      <c r="A10" s="174" t="s">
        <v>391</v>
      </c>
      <c r="B10" s="174" t="s">
        <v>122</v>
      </c>
      <c r="C10" s="174" t="s">
        <v>394</v>
      </c>
      <c r="D10" s="174" t="s">
        <v>536</v>
      </c>
      <c r="E10" s="174" t="s">
        <v>537</v>
      </c>
      <c r="F10" s="174" t="s">
        <v>468</v>
      </c>
    </row>
    <row r="11" spans="1:9" ht="48" customHeight="1">
      <c r="A11" s="729" t="s">
        <v>462</v>
      </c>
      <c r="B11" s="755" t="s">
        <v>154</v>
      </c>
      <c r="C11" s="757">
        <v>1</v>
      </c>
      <c r="E11" s="179">
        <v>10204400</v>
      </c>
      <c r="F11" s="179">
        <f>C11*E11</f>
        <v>10204400</v>
      </c>
    </row>
    <row r="12" spans="1:9" ht="36" customHeight="1">
      <c r="A12" s="729" t="s">
        <v>186</v>
      </c>
      <c r="B12" s="755" t="s">
        <v>187</v>
      </c>
      <c r="C12" s="757">
        <v>12</v>
      </c>
      <c r="D12" s="179"/>
      <c r="E12" s="179">
        <v>5676666.7000000002</v>
      </c>
      <c r="F12" s="179">
        <f>C12*E12</f>
        <v>68120000.400000006</v>
      </c>
      <c r="G12" s="869"/>
      <c r="I12" s="864"/>
    </row>
    <row r="13" spans="1:9" ht="30" customHeight="1">
      <c r="A13" s="757"/>
      <c r="B13" s="755"/>
      <c r="C13" s="757"/>
      <c r="D13" s="758"/>
      <c r="E13" s="759">
        <v>0</v>
      </c>
      <c r="F13" s="759">
        <f t="shared" ref="F13:F16" si="0">C13*E13</f>
        <v>0</v>
      </c>
    </row>
    <row r="14" spans="1:9" ht="20.100000000000001" customHeight="1">
      <c r="A14" s="760"/>
      <c r="B14" s="43"/>
      <c r="C14" s="760"/>
      <c r="D14" s="761"/>
      <c r="E14" s="759">
        <v>0</v>
      </c>
      <c r="F14" s="759">
        <f t="shared" si="0"/>
        <v>0</v>
      </c>
    </row>
    <row r="15" spans="1:9" ht="20.100000000000001" customHeight="1">
      <c r="A15" s="760"/>
      <c r="B15" s="43"/>
      <c r="C15" s="760"/>
      <c r="D15" s="761"/>
      <c r="E15" s="759">
        <v>0</v>
      </c>
      <c r="F15" s="759">
        <f t="shared" si="0"/>
        <v>0</v>
      </c>
    </row>
    <row r="16" spans="1:9" ht="30.75" customHeight="1">
      <c r="A16" s="760"/>
      <c r="B16" s="43"/>
      <c r="C16" s="760"/>
      <c r="D16" s="761"/>
      <c r="E16" s="759">
        <v>0</v>
      </c>
      <c r="F16" s="759">
        <f t="shared" si="0"/>
        <v>0</v>
      </c>
    </row>
    <row r="17" spans="1:6" ht="20.100000000000001" customHeight="1">
      <c r="A17" s="1343" t="s">
        <v>538</v>
      </c>
      <c r="B17" s="1344"/>
      <c r="C17" s="1344"/>
      <c r="D17" s="1344"/>
      <c r="E17" s="1345"/>
      <c r="F17" s="762">
        <f>SUM(F11:F16)</f>
        <v>78324400.400000006</v>
      </c>
    </row>
    <row r="18" spans="1:6" ht="20.100000000000001" customHeight="1">
      <c r="A18" s="1343" t="s">
        <v>539</v>
      </c>
      <c r="B18" s="1344"/>
      <c r="C18" s="1344"/>
      <c r="D18" s="1344"/>
      <c r="E18" s="1345"/>
      <c r="F18" s="762">
        <f>F17*19%</f>
        <v>14881636.076000001</v>
      </c>
    </row>
    <row r="19" spans="1:6" ht="20.100000000000001" customHeight="1">
      <c r="A19" s="1340" t="s">
        <v>540</v>
      </c>
      <c r="B19" s="1341"/>
      <c r="C19" s="1341"/>
      <c r="D19" s="1341"/>
      <c r="E19" s="1342"/>
      <c r="F19" s="763">
        <f>F17+F18</f>
        <v>93206036.476000011</v>
      </c>
    </row>
    <row r="20" spans="1:6" ht="20.100000000000001" customHeight="1">
      <c r="A20" s="764"/>
      <c r="B20" s="764"/>
      <c r="C20" s="764"/>
      <c r="D20" s="765"/>
      <c r="E20" s="764"/>
      <c r="F20" s="764"/>
    </row>
    <row r="21" spans="1:6" ht="20.100000000000001" customHeight="1">
      <c r="A21" s="764"/>
      <c r="B21" s="764"/>
      <c r="C21" s="764"/>
      <c r="D21" s="765"/>
      <c r="E21" s="764"/>
      <c r="F21" s="764"/>
    </row>
    <row r="22" spans="1:6" ht="79.5" customHeight="1">
      <c r="A22" s="1339" t="s">
        <v>541</v>
      </c>
      <c r="B22" s="1339"/>
      <c r="C22" s="1339"/>
      <c r="D22" s="1339"/>
      <c r="E22" s="1339"/>
      <c r="F22" s="1339"/>
    </row>
    <row r="23" spans="1:6" ht="20.100000000000001" customHeight="1" thickBot="1">
      <c r="A23" s="607"/>
      <c r="B23" s="607"/>
      <c r="C23" s="607"/>
      <c r="D23" s="608"/>
      <c r="E23" s="607"/>
    </row>
    <row r="24" spans="1:6" ht="17.25" customHeight="1" thickBot="1">
      <c r="A24" s="1336" t="s">
        <v>542</v>
      </c>
      <c r="B24" s="1337"/>
      <c r="C24" s="1337"/>
      <c r="D24" s="1337"/>
      <c r="E24" s="1337"/>
      <c r="F24" s="1338"/>
    </row>
    <row r="35" spans="2:2" ht="20.100000000000001" customHeight="1">
      <c r="B35" s="8"/>
    </row>
    <row r="36" spans="2:2" ht="20.100000000000001" customHeight="1">
      <c r="B36" s="8"/>
    </row>
    <row r="37" spans="2:2" ht="20.100000000000001" customHeight="1">
      <c r="B37" s="8"/>
    </row>
    <row r="38" spans="2:2" ht="20.100000000000001" customHeight="1">
      <c r="B38" s="8"/>
    </row>
    <row r="39" spans="2:2" ht="20.100000000000001" customHeight="1">
      <c r="B39" s="8"/>
    </row>
    <row r="40" spans="2:2" ht="20.100000000000001" customHeight="1">
      <c r="B40" s="8"/>
    </row>
    <row r="41" spans="2:2" ht="20.100000000000001" customHeight="1">
      <c r="B41" s="8"/>
    </row>
  </sheetData>
  <sheetProtection algorithmName="SHA-512" hashValue="8ujyS0G0Q1hwu2a9JhVvW3YycvIG8FyA/rC7/pd27kk3rVXnUu/UTIoGM4SL/j5ygB0pX3kOqETO8FhrJF/DJw==" saltValue="8lMK78AXgWM30179ZkdyNA==" spinCount="100000" sheet="1" formatCells="0" formatColumns="0" formatRows="0" insertColumns="0" insertRows="0" insertHyperlinks="0" deleteColumns="0" deleteRows="0" sort="0" autoFilter="0" pivotTables="0"/>
  <mergeCells count="14">
    <mergeCell ref="A24:F24"/>
    <mergeCell ref="A22:F22"/>
    <mergeCell ref="A19:E19"/>
    <mergeCell ref="A18:E18"/>
    <mergeCell ref="A17:E17"/>
    <mergeCell ref="B5:F5"/>
    <mergeCell ref="B6:F6"/>
    <mergeCell ref="B7:F7"/>
    <mergeCell ref="A9:F9"/>
    <mergeCell ref="B3:D3"/>
    <mergeCell ref="E3:F3"/>
    <mergeCell ref="A1:A3"/>
    <mergeCell ref="B1:F1"/>
    <mergeCell ref="B2:F2"/>
  </mergeCells>
  <hyperlinks>
    <hyperlink ref="G1" location="ins" display="Instructivo" xr:uid="{00000000-0004-0000-0C00-000000000000}"/>
    <hyperlink ref="G2" location="NPE" display="Notas propuesta económica" xr:uid="{00000000-0004-0000-0C00-000001000000}"/>
  </hyperlinks>
  <printOptions horizontalCentered="1"/>
  <pageMargins left="0" right="0" top="0" bottom="0" header="0" footer="0"/>
  <pageSetup scale="84" fitToHeight="0"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6">
    <tabColor theme="5" tint="0.39997558519241921"/>
    <pageSetUpPr fitToPage="1"/>
  </sheetPr>
  <dimension ref="A1:K50"/>
  <sheetViews>
    <sheetView showGridLines="0" zoomScaleNormal="100" workbookViewId="0">
      <selection activeCell="A19" sqref="A19:I19"/>
    </sheetView>
  </sheetViews>
  <sheetFormatPr defaultColWidth="11.5" defaultRowHeight="18" customHeight="1"/>
  <cols>
    <col min="1" max="1" width="28" style="196" customWidth="1"/>
    <col min="2" max="2" width="11.83203125" style="196" customWidth="1"/>
    <col min="3" max="3" width="12.83203125" style="196" customWidth="1"/>
    <col min="4" max="4" width="11.83203125" style="196" customWidth="1"/>
    <col min="5" max="5" width="13.33203125" style="196" customWidth="1"/>
    <col min="6" max="6" width="18.33203125" style="197" customWidth="1"/>
    <col min="7" max="7" width="14.83203125" style="196" customWidth="1"/>
    <col min="8" max="8" width="21.5" style="196" customWidth="1"/>
    <col min="9" max="9" width="22.1640625" style="198" customWidth="1"/>
    <col min="10" max="10" width="30.33203125" style="74" customWidth="1"/>
    <col min="11" max="16384" width="11.5" style="74"/>
  </cols>
  <sheetData>
    <row r="1" spans="1:11" ht="18" customHeight="1">
      <c r="A1" s="1188"/>
      <c r="B1" s="1189"/>
      <c r="C1" s="1189"/>
      <c r="D1" s="1078" t="s">
        <v>0</v>
      </c>
      <c r="E1" s="1078"/>
      <c r="F1" s="1078"/>
      <c r="G1" s="1078"/>
      <c r="H1" s="1078"/>
      <c r="I1" s="1079"/>
      <c r="J1" s="366" t="s">
        <v>104</v>
      </c>
      <c r="K1" s="65"/>
    </row>
    <row r="2" spans="1:11" ht="18" customHeight="1">
      <c r="A2" s="1190"/>
      <c r="B2" s="1191"/>
      <c r="C2" s="1191"/>
      <c r="D2" s="1080" t="s">
        <v>543</v>
      </c>
      <c r="E2" s="1080"/>
      <c r="F2" s="1080"/>
      <c r="G2" s="1080"/>
      <c r="H2" s="1080"/>
      <c r="I2" s="1081"/>
      <c r="J2" s="603" t="s">
        <v>31</v>
      </c>
      <c r="K2" s="65"/>
    </row>
    <row r="3" spans="1:11" ht="18" customHeight="1" thickBot="1">
      <c r="A3" s="1192"/>
      <c r="B3" s="1193"/>
      <c r="C3" s="1193"/>
      <c r="D3" s="1082" t="s">
        <v>544</v>
      </c>
      <c r="E3" s="1082"/>
      <c r="F3" s="1082"/>
      <c r="G3" s="1082"/>
      <c r="H3" s="1356" t="s">
        <v>3</v>
      </c>
      <c r="I3" s="1357"/>
    </row>
    <row r="4" spans="1:11" s="70" customFormat="1" ht="18" customHeight="1" thickBot="1">
      <c r="A4" s="196"/>
      <c r="B4" s="196"/>
      <c r="C4" s="196"/>
      <c r="D4" s="196"/>
      <c r="E4" s="196"/>
      <c r="F4" s="197"/>
      <c r="G4" s="196"/>
      <c r="H4" s="196"/>
      <c r="I4" s="198"/>
      <c r="J4" s="74"/>
    </row>
    <row r="5" spans="1:11" s="70" customFormat="1" ht="18" customHeight="1" thickBot="1">
      <c r="A5" s="989" t="s">
        <v>534</v>
      </c>
      <c r="B5" s="990"/>
      <c r="C5" s="990"/>
      <c r="D5" s="1194"/>
      <c r="E5" s="991"/>
      <c r="F5" s="992"/>
      <c r="G5" s="992"/>
      <c r="H5" s="992"/>
      <c r="I5" s="993"/>
    </row>
    <row r="6" spans="1:11" s="70" customFormat="1" ht="18" customHeight="1" thickBot="1">
      <c r="A6" s="989" t="s">
        <v>107</v>
      </c>
      <c r="B6" s="990"/>
      <c r="C6" s="990"/>
      <c r="D6" s="1194"/>
      <c r="E6" s="1090" t="str">
        <f>'Plan Ejecución'!AE5</f>
        <v>CONTRATACIÓN DIRECTA</v>
      </c>
      <c r="F6" s="1091"/>
      <c r="G6" s="1091"/>
      <c r="H6" s="1091"/>
      <c r="I6" s="1092"/>
    </row>
    <row r="7" spans="1:11" ht="45" customHeight="1" thickBot="1">
      <c r="A7" s="989" t="s">
        <v>109</v>
      </c>
      <c r="B7" s="990"/>
      <c r="C7" s="990"/>
      <c r="D7" s="1194"/>
      <c r="E7" s="1090" t="str">
        <f>'Plan Ejecución'!AE6</f>
        <v xml:space="preserve"> "“SOPORTE, MANTENIMIENTO Y ACTUALIZACIÓN DEL VISOR GEOGRÁFICO – AÑO 2025"</v>
      </c>
      <c r="F7" s="1091"/>
      <c r="G7" s="1091"/>
      <c r="H7" s="1091"/>
      <c r="I7" s="1092"/>
    </row>
    <row r="8" spans="1:11" ht="18" customHeight="1">
      <c r="A8" s="168"/>
      <c r="B8" s="169"/>
      <c r="C8" s="169"/>
      <c r="D8" s="169"/>
      <c r="E8" s="169"/>
      <c r="F8" s="169"/>
      <c r="G8" s="170"/>
      <c r="H8" s="170"/>
      <c r="I8" s="171"/>
    </row>
    <row r="9" spans="1:11" ht="18" customHeight="1">
      <c r="A9" s="1335" t="s">
        <v>535</v>
      </c>
      <c r="B9" s="1335"/>
      <c r="C9" s="1335"/>
      <c r="D9" s="1335"/>
      <c r="E9" s="1335"/>
      <c r="F9" s="1335"/>
      <c r="G9" s="1335"/>
      <c r="H9" s="1335"/>
      <c r="I9" s="1335"/>
    </row>
    <row r="10" spans="1:11" ht="54.75" customHeight="1">
      <c r="A10" s="109" t="s">
        <v>391</v>
      </c>
      <c r="B10" s="109" t="s">
        <v>392</v>
      </c>
      <c r="C10" s="109" t="s">
        <v>393</v>
      </c>
      <c r="D10" s="109" t="s">
        <v>122</v>
      </c>
      <c r="E10" s="109" t="s">
        <v>394</v>
      </c>
      <c r="F10" s="173" t="s">
        <v>536</v>
      </c>
      <c r="G10" s="109" t="s">
        <v>396</v>
      </c>
      <c r="H10" s="174" t="s">
        <v>537</v>
      </c>
      <c r="I10" s="174" t="s">
        <v>468</v>
      </c>
    </row>
    <row r="11" spans="1:11" ht="18" customHeight="1">
      <c r="A11" s="1248" t="s">
        <v>389</v>
      </c>
      <c r="B11" s="1248"/>
      <c r="C11" s="1248"/>
      <c r="D11" s="1248"/>
      <c r="E11" s="1248"/>
      <c r="F11" s="1248"/>
      <c r="G11" s="1248"/>
      <c r="H11" s="1248"/>
      <c r="I11" s="1248"/>
    </row>
    <row r="12" spans="1:11" ht="18" customHeight="1">
      <c r="A12" s="182"/>
      <c r="B12" s="182"/>
      <c r="C12" s="178"/>
      <c r="D12" s="182"/>
      <c r="E12" s="182"/>
      <c r="F12" s="179"/>
      <c r="G12" s="203"/>
      <c r="H12" s="203"/>
      <c r="I12" s="179">
        <f>B12*C12*E12*G12*H12</f>
        <v>0</v>
      </c>
    </row>
    <row r="13" spans="1:11" ht="18" customHeight="1">
      <c r="A13" s="182"/>
      <c r="B13" s="182"/>
      <c r="C13" s="178"/>
      <c r="D13" s="182"/>
      <c r="E13" s="182"/>
      <c r="F13" s="179"/>
      <c r="G13" s="203"/>
      <c r="H13" s="203"/>
      <c r="I13" s="179">
        <f>B13*C13*E13*G13*H13</f>
        <v>0</v>
      </c>
    </row>
    <row r="14" spans="1:11" ht="18" customHeight="1">
      <c r="A14" s="177"/>
      <c r="B14" s="177"/>
      <c r="C14" s="178"/>
      <c r="D14" s="177"/>
      <c r="E14" s="177"/>
      <c r="F14" s="179"/>
      <c r="G14" s="180"/>
      <c r="H14" s="180"/>
      <c r="I14" s="179">
        <f>B14*C14*E14*G14*H14</f>
        <v>0</v>
      </c>
    </row>
    <row r="15" spans="1:11" ht="18" customHeight="1">
      <c r="A15" s="177"/>
      <c r="B15" s="177"/>
      <c r="C15" s="178"/>
      <c r="D15" s="177"/>
      <c r="E15" s="177"/>
      <c r="F15" s="179"/>
      <c r="G15" s="180"/>
      <c r="H15" s="180"/>
      <c r="I15" s="179">
        <f t="shared" ref="I15" si="0">B15*C15*E15*G15*H15</f>
        <v>0</v>
      </c>
    </row>
    <row r="16" spans="1:11" ht="18" customHeight="1">
      <c r="A16" s="177"/>
      <c r="B16" s="177"/>
      <c r="C16" s="178"/>
      <c r="D16" s="177"/>
      <c r="E16" s="177"/>
      <c r="F16" s="179"/>
      <c r="G16" s="177"/>
      <c r="H16" s="177"/>
      <c r="I16" s="179">
        <f>B16*C16*E16*G16*H16</f>
        <v>0</v>
      </c>
    </row>
    <row r="17" spans="1:9" ht="18" customHeight="1">
      <c r="A17" s="1346" t="s">
        <v>467</v>
      </c>
      <c r="B17" s="1347"/>
      <c r="C17" s="1347"/>
      <c r="D17" s="1347"/>
      <c r="E17" s="1347"/>
      <c r="F17" s="1347"/>
      <c r="G17" s="1347"/>
      <c r="H17" s="1348"/>
      <c r="I17" s="181">
        <f>SUM(I12:I16)</f>
        <v>0</v>
      </c>
    </row>
    <row r="18" spans="1:9" ht="41.25" customHeight="1">
      <c r="A18" s="1068" t="s">
        <v>391</v>
      </c>
      <c r="B18" s="1068"/>
      <c r="C18" s="1068"/>
      <c r="D18" s="117" t="s">
        <v>122</v>
      </c>
      <c r="E18" s="117" t="s">
        <v>394</v>
      </c>
      <c r="F18" s="1068" t="s">
        <v>545</v>
      </c>
      <c r="G18" s="1068"/>
      <c r="H18" s="174" t="s">
        <v>537</v>
      </c>
      <c r="I18" s="174" t="s">
        <v>468</v>
      </c>
    </row>
    <row r="19" spans="1:9" ht="18" customHeight="1">
      <c r="A19" s="1248" t="s">
        <v>469</v>
      </c>
      <c r="B19" s="1248"/>
      <c r="C19" s="1248"/>
      <c r="D19" s="1248"/>
      <c r="E19" s="1248"/>
      <c r="F19" s="1248"/>
      <c r="G19" s="1248"/>
      <c r="H19" s="1248"/>
      <c r="I19" s="1248"/>
    </row>
    <row r="20" spans="1:9" ht="18" customHeight="1">
      <c r="A20" s="1182"/>
      <c r="B20" s="1182"/>
      <c r="C20" s="1182"/>
      <c r="D20" s="182"/>
      <c r="E20" s="182"/>
      <c r="F20" s="1183"/>
      <c r="G20" s="1183"/>
      <c r="H20" s="183"/>
      <c r="I20" s="183">
        <f>E20*H20</f>
        <v>0</v>
      </c>
    </row>
    <row r="21" spans="1:9" ht="18" customHeight="1">
      <c r="A21" s="1182"/>
      <c r="B21" s="1182"/>
      <c r="C21" s="1182"/>
      <c r="D21" s="182"/>
      <c r="E21" s="182"/>
      <c r="F21" s="1183"/>
      <c r="G21" s="1183"/>
      <c r="H21" s="183"/>
      <c r="I21" s="183">
        <f t="shared" ref="I21:I27" si="1">E21*H21</f>
        <v>0</v>
      </c>
    </row>
    <row r="22" spans="1:9" ht="18" customHeight="1">
      <c r="A22" s="1182"/>
      <c r="B22" s="1182"/>
      <c r="C22" s="1182"/>
      <c r="D22" s="182"/>
      <c r="E22" s="182"/>
      <c r="F22" s="1183"/>
      <c r="G22" s="1183"/>
      <c r="H22" s="183"/>
      <c r="I22" s="183">
        <f t="shared" si="1"/>
        <v>0</v>
      </c>
    </row>
    <row r="23" spans="1:9" ht="18" hidden="1" customHeight="1">
      <c r="A23" s="1182"/>
      <c r="B23" s="1182"/>
      <c r="C23" s="1182"/>
      <c r="D23" s="182"/>
      <c r="E23" s="182"/>
      <c r="F23" s="1183"/>
      <c r="G23" s="1183"/>
      <c r="H23" s="183"/>
      <c r="I23" s="183">
        <f t="shared" si="1"/>
        <v>0</v>
      </c>
    </row>
    <row r="24" spans="1:9" ht="18" hidden="1" customHeight="1">
      <c r="A24" s="1182"/>
      <c r="B24" s="1182"/>
      <c r="C24" s="1182"/>
      <c r="D24" s="182"/>
      <c r="E24" s="182"/>
      <c r="F24" s="1185"/>
      <c r="G24" s="1185"/>
      <c r="H24" s="183"/>
      <c r="I24" s="183">
        <f t="shared" si="1"/>
        <v>0</v>
      </c>
    </row>
    <row r="25" spans="1:9" ht="18" hidden="1" customHeight="1">
      <c r="A25" s="1182"/>
      <c r="B25" s="1182"/>
      <c r="C25" s="1182"/>
      <c r="D25" s="182"/>
      <c r="E25" s="182"/>
      <c r="F25" s="1185"/>
      <c r="G25" s="1185"/>
      <c r="H25" s="183"/>
      <c r="I25" s="183">
        <f t="shared" si="1"/>
        <v>0</v>
      </c>
    </row>
    <row r="26" spans="1:9" ht="18" hidden="1" customHeight="1">
      <c r="A26" s="1182"/>
      <c r="B26" s="1182"/>
      <c r="C26" s="1182"/>
      <c r="D26" s="182"/>
      <c r="E26" s="182"/>
      <c r="F26" s="1185"/>
      <c r="G26" s="1185"/>
      <c r="H26" s="183"/>
      <c r="I26" s="183">
        <f t="shared" si="1"/>
        <v>0</v>
      </c>
    </row>
    <row r="27" spans="1:9" ht="18" hidden="1" customHeight="1">
      <c r="A27" s="1182"/>
      <c r="B27" s="1182"/>
      <c r="C27" s="1182"/>
      <c r="D27" s="182"/>
      <c r="E27" s="182"/>
      <c r="F27" s="1185"/>
      <c r="G27" s="1185"/>
      <c r="H27" s="183"/>
      <c r="I27" s="183">
        <f t="shared" si="1"/>
        <v>0</v>
      </c>
    </row>
    <row r="28" spans="1:9" ht="18" customHeight="1">
      <c r="A28" s="1346" t="s">
        <v>470</v>
      </c>
      <c r="B28" s="1347"/>
      <c r="C28" s="1347"/>
      <c r="D28" s="1347"/>
      <c r="E28" s="1347"/>
      <c r="F28" s="1347"/>
      <c r="G28" s="1347"/>
      <c r="H28" s="1348"/>
      <c r="I28" s="184">
        <f>SUM(I20:I27)</f>
        <v>0</v>
      </c>
    </row>
    <row r="29" spans="1:9" ht="18" customHeight="1">
      <c r="A29" s="1248" t="s">
        <v>471</v>
      </c>
      <c r="B29" s="1248"/>
      <c r="C29" s="1248"/>
      <c r="D29" s="1248"/>
      <c r="E29" s="1248"/>
      <c r="F29" s="1248"/>
      <c r="G29" s="1248"/>
      <c r="H29" s="1248"/>
      <c r="I29" s="1248"/>
    </row>
    <row r="30" spans="1:9" ht="18" customHeight="1">
      <c r="A30" s="1182"/>
      <c r="B30" s="1182"/>
      <c r="C30" s="1182"/>
      <c r="D30" s="182"/>
      <c r="E30" s="182"/>
      <c r="F30" s="1183"/>
      <c r="G30" s="1183"/>
      <c r="H30" s="183"/>
      <c r="I30" s="183">
        <f>E30*H30</f>
        <v>0</v>
      </c>
    </row>
    <row r="31" spans="1:9" ht="18" customHeight="1">
      <c r="A31" s="1182"/>
      <c r="B31" s="1182"/>
      <c r="C31" s="1182"/>
      <c r="D31" s="182"/>
      <c r="E31" s="182"/>
      <c r="F31" s="1183"/>
      <c r="G31" s="1183"/>
      <c r="H31" s="183"/>
      <c r="I31" s="183">
        <f t="shared" ref="I31:I33" si="2">E31*H31</f>
        <v>0</v>
      </c>
    </row>
    <row r="32" spans="1:9" ht="18" customHeight="1">
      <c r="A32" s="1182"/>
      <c r="B32" s="1182"/>
      <c r="C32" s="1182"/>
      <c r="D32" s="182"/>
      <c r="E32" s="182"/>
      <c r="F32" s="1183"/>
      <c r="G32" s="1183"/>
      <c r="H32" s="183"/>
      <c r="I32" s="183">
        <f t="shared" si="2"/>
        <v>0</v>
      </c>
    </row>
    <row r="33" spans="1:9" ht="18" customHeight="1">
      <c r="A33" s="1182"/>
      <c r="B33" s="1182"/>
      <c r="C33" s="1182"/>
      <c r="D33" s="182"/>
      <c r="E33" s="182"/>
      <c r="F33" s="1183"/>
      <c r="G33" s="1183"/>
      <c r="H33" s="183"/>
      <c r="I33" s="183">
        <f t="shared" si="2"/>
        <v>0</v>
      </c>
    </row>
    <row r="34" spans="1:9" ht="18" customHeight="1">
      <c r="A34" s="1346" t="s">
        <v>472</v>
      </c>
      <c r="B34" s="1347"/>
      <c r="C34" s="1347"/>
      <c r="D34" s="1347"/>
      <c r="E34" s="1347"/>
      <c r="F34" s="1347"/>
      <c r="G34" s="1347"/>
      <c r="H34" s="1348"/>
      <c r="I34" s="184">
        <f>SUM(I30:I33)</f>
        <v>0</v>
      </c>
    </row>
    <row r="35" spans="1:9" ht="18" customHeight="1">
      <c r="A35" s="1248" t="s">
        <v>473</v>
      </c>
      <c r="B35" s="1248"/>
      <c r="C35" s="1248"/>
      <c r="D35" s="1248"/>
      <c r="E35" s="1248"/>
      <c r="F35" s="1248"/>
      <c r="G35" s="1248"/>
      <c r="H35" s="1248"/>
      <c r="I35" s="1248"/>
    </row>
    <row r="36" spans="1:9" ht="18" customHeight="1">
      <c r="A36" s="1182"/>
      <c r="B36" s="1182"/>
      <c r="C36" s="1182"/>
      <c r="D36" s="40"/>
      <c r="E36" s="40"/>
      <c r="F36" s="1183"/>
      <c r="G36" s="1183"/>
      <c r="H36" s="183"/>
      <c r="I36" s="183">
        <f>E36*H36</f>
        <v>0</v>
      </c>
    </row>
    <row r="37" spans="1:9" ht="18" customHeight="1">
      <c r="A37" s="1182"/>
      <c r="B37" s="1182"/>
      <c r="C37" s="1182"/>
      <c r="D37" s="40"/>
      <c r="E37" s="40"/>
      <c r="F37" s="1183"/>
      <c r="G37" s="1183"/>
      <c r="H37" s="183"/>
      <c r="I37" s="183">
        <f t="shared" ref="I37:I39" si="3">E37*H37</f>
        <v>0</v>
      </c>
    </row>
    <row r="38" spans="1:9" ht="18" customHeight="1">
      <c r="A38" s="1182"/>
      <c r="B38" s="1182"/>
      <c r="C38" s="1182"/>
      <c r="D38" s="40"/>
      <c r="E38" s="40"/>
      <c r="F38" s="1183"/>
      <c r="G38" s="1183"/>
      <c r="H38" s="183"/>
      <c r="I38" s="183">
        <f t="shared" si="3"/>
        <v>0</v>
      </c>
    </row>
    <row r="39" spans="1:9" ht="18" customHeight="1">
      <c r="A39" s="1182"/>
      <c r="B39" s="1182"/>
      <c r="C39" s="1182"/>
      <c r="D39" s="40"/>
      <c r="E39" s="40"/>
      <c r="F39" s="1183"/>
      <c r="G39" s="1183"/>
      <c r="H39" s="183"/>
      <c r="I39" s="183">
        <f t="shared" si="3"/>
        <v>0</v>
      </c>
    </row>
    <row r="40" spans="1:9" ht="18" customHeight="1">
      <c r="A40" s="1346" t="s">
        <v>474</v>
      </c>
      <c r="B40" s="1347"/>
      <c r="C40" s="1347"/>
      <c r="D40" s="1347"/>
      <c r="E40" s="1347"/>
      <c r="F40" s="1347"/>
      <c r="G40" s="1347"/>
      <c r="H40" s="1348"/>
      <c r="I40" s="184">
        <f>SUM(I36:I39)</f>
        <v>0</v>
      </c>
    </row>
    <row r="41" spans="1:9" ht="18" customHeight="1">
      <c r="A41" s="1353"/>
      <c r="B41" s="1354"/>
      <c r="C41" s="1354"/>
      <c r="D41" s="1354"/>
      <c r="E41" s="1354"/>
      <c r="F41" s="1354"/>
      <c r="G41" s="1354"/>
      <c r="H41" s="1354"/>
      <c r="I41" s="1354"/>
    </row>
    <row r="42" spans="1:9" ht="18" customHeight="1">
      <c r="A42" s="1352" t="s">
        <v>408</v>
      </c>
      <c r="B42" s="1352"/>
      <c r="C42" s="1352"/>
      <c r="D42" s="1352"/>
      <c r="E42" s="1352"/>
      <c r="F42" s="1352"/>
      <c r="G42" s="1352"/>
      <c r="H42" s="1352"/>
      <c r="I42" s="604">
        <f>I17+I28+I34+I40</f>
        <v>0</v>
      </c>
    </row>
    <row r="43" spans="1:9" ht="18" customHeight="1">
      <c r="A43" s="1352" t="s">
        <v>409</v>
      </c>
      <c r="B43" s="1352"/>
      <c r="C43" s="1352"/>
      <c r="D43" s="1352"/>
      <c r="E43" s="1352"/>
      <c r="F43" s="1352"/>
      <c r="G43" s="1352"/>
      <c r="H43" s="187"/>
      <c r="I43" s="605">
        <f>I42*H43</f>
        <v>0</v>
      </c>
    </row>
    <row r="44" spans="1:9" ht="18" customHeight="1">
      <c r="A44" s="1352" t="s">
        <v>411</v>
      </c>
      <c r="B44" s="1352"/>
      <c r="C44" s="1352"/>
      <c r="D44" s="1352"/>
      <c r="E44" s="1352"/>
      <c r="F44" s="1352"/>
      <c r="G44" s="1352"/>
      <c r="H44" s="187"/>
      <c r="I44" s="605">
        <f>I42*H44</f>
        <v>0</v>
      </c>
    </row>
    <row r="45" spans="1:9" ht="18" customHeight="1">
      <c r="A45" s="1352" t="s">
        <v>412</v>
      </c>
      <c r="B45" s="1352"/>
      <c r="C45" s="1352"/>
      <c r="D45" s="1352"/>
      <c r="E45" s="1352"/>
      <c r="F45" s="1352"/>
      <c r="G45" s="1352"/>
      <c r="H45" s="187"/>
      <c r="I45" s="605">
        <f>I44*H45</f>
        <v>0</v>
      </c>
    </row>
    <row r="46" spans="1:9" ht="18" customHeight="1">
      <c r="A46" s="1355" t="s">
        <v>414</v>
      </c>
      <c r="B46" s="1206"/>
      <c r="C46" s="1206"/>
      <c r="D46" s="1206"/>
      <c r="E46" s="1206"/>
      <c r="F46" s="1206"/>
      <c r="G46" s="1206"/>
      <c r="H46" s="1207"/>
      <c r="I46" s="606">
        <f>SUM(I42:I45)</f>
        <v>0</v>
      </c>
    </row>
    <row r="48" spans="1:9" ht="116.25" customHeight="1">
      <c r="A48" s="1339" t="s">
        <v>541</v>
      </c>
      <c r="B48" s="1339"/>
      <c r="C48" s="1339"/>
      <c r="D48" s="1339"/>
      <c r="E48" s="1339"/>
      <c r="F48" s="1339"/>
      <c r="G48" s="1339"/>
      <c r="H48" s="1339"/>
      <c r="I48" s="1339"/>
    </row>
    <row r="49" spans="1:9" ht="26.25" customHeight="1" thickBot="1">
      <c r="A49" s="607"/>
      <c r="B49" s="607"/>
      <c r="C49" s="607"/>
      <c r="D49" s="608"/>
      <c r="E49" s="607"/>
      <c r="F49" s="609"/>
    </row>
    <row r="50" spans="1:9" ht="18" customHeight="1" thickBot="1">
      <c r="A50" s="1349" t="s">
        <v>542</v>
      </c>
      <c r="B50" s="1350"/>
      <c r="C50" s="1350"/>
      <c r="D50" s="1350"/>
      <c r="E50" s="1350"/>
      <c r="F50" s="1350"/>
      <c r="G50" s="1350"/>
      <c r="H50" s="1350"/>
      <c r="I50" s="1351"/>
    </row>
  </sheetData>
  <sheetProtection algorithmName="SHA-512" hashValue="BrH6GPaXEaWUCtZJ0WjS6sPERdMCrxZ7/+JwLWYAOnLr6+iaiLbRJrOCrsqCjh66NEuMeatGIMvLANDBWpb6hA==" saltValue="wOzu7nsXCfB43Q21Y5muXA==" spinCount="100000" sheet="1" formatCells="0" formatColumns="0" formatRows="0" insertColumns="0" insertRows="0" insertHyperlinks="0" deleteColumns="0" deleteRows="0" sort="0" autoFilter="0" pivotTables="0"/>
  <mergeCells count="62">
    <mergeCell ref="A18:C18"/>
    <mergeCell ref="F18:G18"/>
    <mergeCell ref="A34:H34"/>
    <mergeCell ref="A40:H40"/>
    <mergeCell ref="A42:H42"/>
    <mergeCell ref="F20:G20"/>
    <mergeCell ref="F21:G21"/>
    <mergeCell ref="F27:G27"/>
    <mergeCell ref="F30:G30"/>
    <mergeCell ref="F31:G31"/>
    <mergeCell ref="F32:G32"/>
    <mergeCell ref="F33:G33"/>
    <mergeCell ref="A31:C31"/>
    <mergeCell ref="A5:D5"/>
    <mergeCell ref="A6:D6"/>
    <mergeCell ref="A7:D7"/>
    <mergeCell ref="E5:I5"/>
    <mergeCell ref="E6:I6"/>
    <mergeCell ref="E7:I7"/>
    <mergeCell ref="A1:C3"/>
    <mergeCell ref="D1:I1"/>
    <mergeCell ref="D2:I2"/>
    <mergeCell ref="D3:G3"/>
    <mergeCell ref="H3:I3"/>
    <mergeCell ref="A43:G43"/>
    <mergeCell ref="A41:I41"/>
    <mergeCell ref="A48:I48"/>
    <mergeCell ref="A44:G44"/>
    <mergeCell ref="A45:G45"/>
    <mergeCell ref="A46:H46"/>
    <mergeCell ref="A50:I50"/>
    <mergeCell ref="A22:C22"/>
    <mergeCell ref="A23:C23"/>
    <mergeCell ref="A24:C24"/>
    <mergeCell ref="A25:C25"/>
    <mergeCell ref="F22:G22"/>
    <mergeCell ref="F23:G23"/>
    <mergeCell ref="F24:G24"/>
    <mergeCell ref="F25:G25"/>
    <mergeCell ref="F36:G36"/>
    <mergeCell ref="F37:G37"/>
    <mergeCell ref="F38:G38"/>
    <mergeCell ref="F39:G39"/>
    <mergeCell ref="A35:I35"/>
    <mergeCell ref="A29:I29"/>
    <mergeCell ref="F26:G26"/>
    <mergeCell ref="A9:I9"/>
    <mergeCell ref="A11:I11"/>
    <mergeCell ref="A19:I19"/>
    <mergeCell ref="A38:C38"/>
    <mergeCell ref="A39:C39"/>
    <mergeCell ref="A32:C32"/>
    <mergeCell ref="A33:C33"/>
    <mergeCell ref="A21:C21"/>
    <mergeCell ref="A36:C36"/>
    <mergeCell ref="A37:C37"/>
    <mergeCell ref="A20:C20"/>
    <mergeCell ref="A26:C26"/>
    <mergeCell ref="A27:C27"/>
    <mergeCell ref="A30:C30"/>
    <mergeCell ref="A17:H17"/>
    <mergeCell ref="A28:H28"/>
  </mergeCells>
  <hyperlinks>
    <hyperlink ref="J1" location="ins" display="Instructivo" xr:uid="{00000000-0004-0000-0D00-000000000000}"/>
    <hyperlink ref="J2" location="NPE" display="Notas propuesta económica" xr:uid="{00000000-0004-0000-0D00-000001000000}"/>
  </hyperlinks>
  <printOptions horizontalCentered="1"/>
  <pageMargins left="0" right="0" top="0" bottom="0" header="0" footer="0"/>
  <pageSetup scale="82" fitToHeight="0" orientation="landscape" horizontalDpi="4294967295" verticalDpi="4294967295"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26">
    <tabColor theme="5" tint="0.39997558519241921"/>
    <pageSetUpPr fitToPage="1"/>
  </sheetPr>
  <dimension ref="A1:N78"/>
  <sheetViews>
    <sheetView showGridLines="0" zoomScaleNormal="100" workbookViewId="0">
      <selection activeCell="D19" sqref="D19"/>
    </sheetView>
  </sheetViews>
  <sheetFormatPr defaultColWidth="11.5" defaultRowHeight="18" customHeight="1"/>
  <cols>
    <col min="1" max="1" width="22.6640625" style="196" customWidth="1"/>
    <col min="2" max="2" width="11.83203125" style="196" customWidth="1"/>
    <col min="3" max="3" width="14.1640625" style="196" customWidth="1"/>
    <col min="4" max="4" width="18.83203125" style="196" customWidth="1"/>
    <col min="5" max="5" width="18.83203125" style="212" customWidth="1"/>
    <col min="6" max="9" width="18.83203125" style="74" customWidth="1"/>
    <col min="10" max="10" width="27.33203125" style="74" customWidth="1"/>
    <col min="11" max="11" width="16.1640625" style="74" bestFit="1" customWidth="1"/>
    <col min="12" max="12" width="14.83203125" style="74" bestFit="1" customWidth="1"/>
    <col min="13" max="13" width="11.5" style="74"/>
    <col min="14" max="14" width="11.5" style="766"/>
    <col min="15" max="16384" width="11.5" style="74"/>
  </cols>
  <sheetData>
    <row r="1" spans="1:14" ht="18" customHeight="1">
      <c r="A1" s="1188"/>
      <c r="B1" s="1189"/>
      <c r="C1" s="1189"/>
      <c r="D1" s="1078" t="s">
        <v>0</v>
      </c>
      <c r="E1" s="1078"/>
      <c r="F1" s="1078"/>
      <c r="G1" s="1078"/>
      <c r="H1" s="1078"/>
      <c r="I1" s="1079"/>
      <c r="J1" s="366" t="s">
        <v>104</v>
      </c>
      <c r="K1" s="65"/>
    </row>
    <row r="2" spans="1:14" ht="18" customHeight="1">
      <c r="A2" s="1190"/>
      <c r="B2" s="1191"/>
      <c r="C2" s="1191"/>
      <c r="D2" s="1080" t="s">
        <v>546</v>
      </c>
      <c r="E2" s="1080"/>
      <c r="F2" s="1080"/>
      <c r="G2" s="1080"/>
      <c r="H2" s="1080"/>
      <c r="I2" s="1081"/>
      <c r="J2" s="603" t="s">
        <v>31</v>
      </c>
      <c r="K2" s="65"/>
    </row>
    <row r="3" spans="1:14" ht="18" customHeight="1" thickBot="1">
      <c r="A3" s="1192"/>
      <c r="B3" s="1193"/>
      <c r="C3" s="1193"/>
      <c r="D3" s="1082" t="s">
        <v>2</v>
      </c>
      <c r="E3" s="1082"/>
      <c r="F3" s="1082"/>
      <c r="G3" s="1082" t="s">
        <v>3</v>
      </c>
      <c r="H3" s="1082"/>
      <c r="I3" s="1123"/>
    </row>
    <row r="4" spans="1:14" ht="18" customHeight="1" thickBot="1">
      <c r="A4" s="64"/>
      <c r="B4" s="64"/>
      <c r="C4" s="64"/>
      <c r="D4" s="64"/>
      <c r="E4" s="64"/>
    </row>
    <row r="5" spans="1:14" s="70" customFormat="1" ht="18" customHeight="1" thickBot="1">
      <c r="A5" s="989" t="s">
        <v>534</v>
      </c>
      <c r="B5" s="990"/>
      <c r="C5" s="990"/>
      <c r="D5" s="1194"/>
      <c r="E5" s="991"/>
      <c r="F5" s="992"/>
      <c r="G5" s="992"/>
      <c r="H5" s="992"/>
      <c r="I5" s="993"/>
      <c r="N5" s="767"/>
    </row>
    <row r="6" spans="1:14" s="70" customFormat="1" ht="18" customHeight="1" thickBot="1">
      <c r="A6" s="989" t="s">
        <v>107</v>
      </c>
      <c r="B6" s="990"/>
      <c r="C6" s="990"/>
      <c r="D6" s="1194"/>
      <c r="E6" s="1090" t="str">
        <f>'Plan Ejecución'!AE5</f>
        <v>CONTRATACIÓN DIRECTA</v>
      </c>
      <c r="F6" s="1091"/>
      <c r="G6" s="1091"/>
      <c r="H6" s="1091"/>
      <c r="I6" s="1092"/>
      <c r="N6" s="767"/>
    </row>
    <row r="7" spans="1:14" ht="39" customHeight="1" thickBot="1">
      <c r="A7" s="989" t="s">
        <v>109</v>
      </c>
      <c r="B7" s="990"/>
      <c r="C7" s="990"/>
      <c r="D7" s="1194"/>
      <c r="E7" s="1090" t="str">
        <f>'Plan Ejecución'!AE6</f>
        <v xml:space="preserve"> "“SOPORTE, MANTENIMIENTO Y ACTUALIZACIÓN DEL VISOR GEOGRÁFICO – AÑO 2025"</v>
      </c>
      <c r="F7" s="1091"/>
      <c r="G7" s="1091"/>
      <c r="H7" s="1091"/>
      <c r="I7" s="1092"/>
    </row>
    <row r="8" spans="1:14" ht="18" customHeight="1">
      <c r="A8" s="168"/>
      <c r="B8" s="169"/>
      <c r="C8" s="169"/>
      <c r="D8" s="169"/>
      <c r="E8" s="169"/>
      <c r="F8" s="169"/>
      <c r="G8" s="170"/>
      <c r="H8" s="170"/>
      <c r="I8" s="171"/>
    </row>
    <row r="9" spans="1:14" ht="18" customHeight="1">
      <c r="A9" s="1335" t="s">
        <v>535</v>
      </c>
      <c r="B9" s="1335"/>
      <c r="C9" s="1335"/>
      <c r="D9" s="1335"/>
      <c r="E9" s="1335"/>
      <c r="F9" s="1335"/>
      <c r="G9" s="1335"/>
      <c r="H9" s="1335"/>
      <c r="I9" s="1335"/>
    </row>
    <row r="10" spans="1:14" ht="18" customHeight="1">
      <c r="A10" s="1358" t="s">
        <v>480</v>
      </c>
      <c r="B10" s="1358"/>
      <c r="C10" s="1358"/>
      <c r="D10" s="1358"/>
      <c r="E10" s="1358"/>
      <c r="F10" s="1358"/>
      <c r="G10" s="1358"/>
      <c r="H10" s="1358"/>
      <c r="I10" s="1358"/>
    </row>
    <row r="11" spans="1:14" ht="53.25" customHeight="1">
      <c r="A11" s="109" t="s">
        <v>391</v>
      </c>
      <c r="B11" s="109" t="s">
        <v>392</v>
      </c>
      <c r="C11" s="109" t="s">
        <v>393</v>
      </c>
      <c r="D11" s="109" t="s">
        <v>122</v>
      </c>
      <c r="E11" s="109" t="s">
        <v>394</v>
      </c>
      <c r="F11" s="173" t="s">
        <v>536</v>
      </c>
      <c r="G11" s="109" t="s">
        <v>396</v>
      </c>
      <c r="H11" s="174" t="s">
        <v>537</v>
      </c>
      <c r="I11" s="174" t="s">
        <v>468</v>
      </c>
    </row>
    <row r="12" spans="1:14" ht="18" customHeight="1">
      <c r="A12" s="1248" t="s">
        <v>389</v>
      </c>
      <c r="B12" s="1248"/>
      <c r="C12" s="1248"/>
      <c r="D12" s="1248"/>
      <c r="E12" s="1248"/>
      <c r="F12" s="1248"/>
      <c r="G12" s="1248"/>
      <c r="H12" s="1248"/>
      <c r="I12" s="1248"/>
    </row>
    <row r="13" spans="1:14" ht="24" customHeight="1">
      <c r="A13" s="182"/>
      <c r="B13" s="182"/>
      <c r="C13" s="178"/>
      <c r="D13" s="182"/>
      <c r="E13" s="182"/>
      <c r="F13" s="179"/>
      <c r="G13" s="203"/>
      <c r="H13" s="376"/>
      <c r="I13" s="376">
        <f>B13*C13*E13*F13*G13*H13</f>
        <v>0</v>
      </c>
      <c r="K13" s="202"/>
      <c r="L13" s="202"/>
    </row>
    <row r="14" spans="1:14" ht="18" customHeight="1">
      <c r="A14" s="182"/>
      <c r="B14" s="182"/>
      <c r="C14" s="178"/>
      <c r="D14" s="182"/>
      <c r="E14" s="182"/>
      <c r="F14" s="179"/>
      <c r="G14" s="203"/>
      <c r="H14" s="376"/>
      <c r="I14" s="376">
        <f t="shared" ref="I14:I17" si="0">B14*C14*E14*F14*G14*H14</f>
        <v>0</v>
      </c>
    </row>
    <row r="15" spans="1:14" ht="18" customHeight="1">
      <c r="A15" s="177"/>
      <c r="B15" s="177"/>
      <c r="C15" s="178"/>
      <c r="D15" s="177"/>
      <c r="E15" s="177"/>
      <c r="F15" s="179"/>
      <c r="G15" s="180"/>
      <c r="H15" s="376"/>
      <c r="I15" s="376">
        <f t="shared" si="0"/>
        <v>0</v>
      </c>
    </row>
    <row r="16" spans="1:14" ht="18" customHeight="1">
      <c r="A16" s="177"/>
      <c r="B16" s="177"/>
      <c r="C16" s="178"/>
      <c r="D16" s="177"/>
      <c r="E16" s="177"/>
      <c r="F16" s="179"/>
      <c r="G16" s="180"/>
      <c r="H16" s="376"/>
      <c r="I16" s="376">
        <f t="shared" si="0"/>
        <v>0</v>
      </c>
    </row>
    <row r="17" spans="1:9" ht="18" customHeight="1">
      <c r="A17" s="177"/>
      <c r="B17" s="177"/>
      <c r="C17" s="178"/>
      <c r="D17" s="177"/>
      <c r="E17" s="177"/>
      <c r="F17" s="179"/>
      <c r="G17" s="177"/>
      <c r="H17" s="376"/>
      <c r="I17" s="376">
        <f t="shared" si="0"/>
        <v>0</v>
      </c>
    </row>
    <row r="18" spans="1:9" ht="18" customHeight="1">
      <c r="A18" s="1184" t="s">
        <v>467</v>
      </c>
      <c r="B18" s="1184"/>
      <c r="C18" s="1184"/>
      <c r="D18" s="1184"/>
      <c r="E18" s="1184"/>
      <c r="F18" s="1184"/>
      <c r="G18" s="1184"/>
      <c r="H18" s="1184"/>
      <c r="I18" s="181">
        <f>SUM(I13:I17)</f>
        <v>0</v>
      </c>
    </row>
    <row r="19" spans="1:9" ht="37.5" customHeight="1">
      <c r="A19" s="1068" t="s">
        <v>391</v>
      </c>
      <c r="B19" s="1068"/>
      <c r="C19" s="1068"/>
      <c r="D19" s="117" t="s">
        <v>122</v>
      </c>
      <c r="E19" s="117" t="s">
        <v>394</v>
      </c>
      <c r="F19" s="1068" t="s">
        <v>536</v>
      </c>
      <c r="G19" s="1068"/>
      <c r="H19" s="174" t="s">
        <v>537</v>
      </c>
      <c r="I19" s="174" t="s">
        <v>468</v>
      </c>
    </row>
    <row r="20" spans="1:9" ht="18" customHeight="1">
      <c r="A20" s="1248" t="s">
        <v>481</v>
      </c>
      <c r="B20" s="1248"/>
      <c r="C20" s="1248"/>
      <c r="D20" s="1248"/>
      <c r="E20" s="1248"/>
      <c r="F20" s="1248"/>
      <c r="G20" s="1248"/>
      <c r="H20" s="1248"/>
      <c r="I20" s="1248"/>
    </row>
    <row r="21" spans="1:9" ht="18" customHeight="1">
      <c r="A21" s="1182"/>
      <c r="B21" s="1182"/>
      <c r="C21" s="1182"/>
      <c r="D21" s="40"/>
      <c r="E21" s="40"/>
      <c r="F21" s="1183"/>
      <c r="G21" s="1183"/>
      <c r="H21" s="179"/>
      <c r="I21" s="179">
        <f>E21*H21</f>
        <v>0</v>
      </c>
    </row>
    <row r="22" spans="1:9" ht="18" customHeight="1">
      <c r="A22" s="1182"/>
      <c r="B22" s="1182"/>
      <c r="C22" s="1182"/>
      <c r="D22" s="40"/>
      <c r="E22" s="40"/>
      <c r="F22" s="1183"/>
      <c r="G22" s="1183"/>
      <c r="H22" s="179"/>
      <c r="I22" s="179">
        <f t="shared" ref="I22:I26" si="1">E22*H22</f>
        <v>0</v>
      </c>
    </row>
    <row r="23" spans="1:9" ht="18" customHeight="1">
      <c r="A23" s="1182"/>
      <c r="B23" s="1182"/>
      <c r="C23" s="1182"/>
      <c r="D23" s="40"/>
      <c r="E23" s="40"/>
      <c r="F23" s="1183"/>
      <c r="G23" s="1183"/>
      <c r="H23" s="179"/>
      <c r="I23" s="179">
        <f t="shared" si="1"/>
        <v>0</v>
      </c>
    </row>
    <row r="24" spans="1:9" ht="18" customHeight="1">
      <c r="A24" s="1182"/>
      <c r="B24" s="1182"/>
      <c r="C24" s="1182"/>
      <c r="D24" s="40"/>
      <c r="E24" s="40"/>
      <c r="F24" s="1183"/>
      <c r="G24" s="1183"/>
      <c r="H24" s="179"/>
      <c r="I24" s="179">
        <f t="shared" si="1"/>
        <v>0</v>
      </c>
    </row>
    <row r="25" spans="1:9" ht="18" customHeight="1">
      <c r="A25" s="1182"/>
      <c r="B25" s="1182"/>
      <c r="C25" s="1182"/>
      <c r="D25" s="40"/>
      <c r="E25" s="40"/>
      <c r="F25" s="1183"/>
      <c r="G25" s="1183"/>
      <c r="H25" s="179"/>
      <c r="I25" s="179">
        <f t="shared" si="1"/>
        <v>0</v>
      </c>
    </row>
    <row r="26" spans="1:9" ht="18" customHeight="1">
      <c r="A26" s="1182"/>
      <c r="B26" s="1182"/>
      <c r="C26" s="1182"/>
      <c r="D26" s="40"/>
      <c r="E26" s="40"/>
      <c r="F26" s="1183"/>
      <c r="G26" s="1183"/>
      <c r="H26" s="179"/>
      <c r="I26" s="179">
        <f t="shared" si="1"/>
        <v>0</v>
      </c>
    </row>
    <row r="27" spans="1:9" ht="18" customHeight="1">
      <c r="A27" s="1184" t="s">
        <v>474</v>
      </c>
      <c r="B27" s="1184"/>
      <c r="C27" s="1184"/>
      <c r="D27" s="1184"/>
      <c r="E27" s="1184"/>
      <c r="F27" s="1184"/>
      <c r="G27" s="1184"/>
      <c r="H27" s="1184"/>
      <c r="I27" s="181">
        <f>SUM(I21:I26)</f>
        <v>0</v>
      </c>
    </row>
    <row r="28" spans="1:9" ht="18" customHeight="1">
      <c r="A28" s="1230" t="s">
        <v>547</v>
      </c>
      <c r="B28" s="1230"/>
      <c r="C28" s="1230"/>
      <c r="D28" s="1230"/>
      <c r="E28" s="1230"/>
      <c r="F28" s="1230"/>
      <c r="G28" s="1230"/>
      <c r="H28" s="1230"/>
      <c r="I28" s="210">
        <f>I18+I27</f>
        <v>0</v>
      </c>
    </row>
    <row r="29" spans="1:9" ht="18" customHeight="1">
      <c r="A29" s="1214"/>
      <c r="B29" s="1215"/>
      <c r="C29" s="1215"/>
      <c r="D29" s="1215"/>
      <c r="E29" s="1215"/>
      <c r="F29" s="1215"/>
      <c r="G29" s="1215"/>
      <c r="H29" s="1215"/>
      <c r="I29" s="1215"/>
    </row>
    <row r="30" spans="1:9" ht="18" customHeight="1">
      <c r="A30" s="1358" t="s">
        <v>487</v>
      </c>
      <c r="B30" s="1358"/>
      <c r="C30" s="1358"/>
      <c r="D30" s="1358"/>
      <c r="E30" s="1358"/>
      <c r="F30" s="1358"/>
      <c r="G30" s="1358"/>
      <c r="H30" s="1358"/>
      <c r="I30" s="1358"/>
    </row>
    <row r="31" spans="1:9" ht="54.75" customHeight="1">
      <c r="A31" s="109" t="s">
        <v>391</v>
      </c>
      <c r="B31" s="109" t="s">
        <v>392</v>
      </c>
      <c r="C31" s="109" t="s">
        <v>393</v>
      </c>
      <c r="D31" s="109" t="s">
        <v>122</v>
      </c>
      <c r="E31" s="109" t="s">
        <v>394</v>
      </c>
      <c r="F31" s="173" t="s">
        <v>536</v>
      </c>
      <c r="G31" s="109" t="s">
        <v>396</v>
      </c>
      <c r="H31" s="174" t="s">
        <v>537</v>
      </c>
      <c r="I31" s="174" t="s">
        <v>468</v>
      </c>
    </row>
    <row r="32" spans="1:9" ht="18" customHeight="1">
      <c r="A32" s="1248" t="s">
        <v>389</v>
      </c>
      <c r="B32" s="1248"/>
      <c r="C32" s="1248"/>
      <c r="D32" s="1248"/>
      <c r="E32" s="1248"/>
      <c r="F32" s="1248"/>
      <c r="G32" s="1248"/>
      <c r="H32" s="1248"/>
      <c r="I32" s="1248"/>
    </row>
    <row r="33" spans="1:9" ht="24.75" customHeight="1">
      <c r="A33" s="182"/>
      <c r="B33" s="182"/>
      <c r="C33" s="178"/>
      <c r="D33" s="182"/>
      <c r="E33" s="182"/>
      <c r="F33" s="179"/>
      <c r="G33" s="203"/>
      <c r="H33" s="203"/>
      <c r="I33" s="179">
        <f>B33*C33*E33*G33*H33</f>
        <v>0</v>
      </c>
    </row>
    <row r="34" spans="1:9" ht="18" customHeight="1">
      <c r="A34" s="182"/>
      <c r="B34" s="182"/>
      <c r="C34" s="178"/>
      <c r="D34" s="182"/>
      <c r="E34" s="182"/>
      <c r="F34" s="179"/>
      <c r="G34" s="203"/>
      <c r="H34" s="203"/>
      <c r="I34" s="179">
        <f t="shared" ref="I34:I37" si="2">B34*C34*E34*G34*H34</f>
        <v>0</v>
      </c>
    </row>
    <row r="35" spans="1:9" ht="18" customHeight="1">
      <c r="A35" s="177"/>
      <c r="B35" s="177"/>
      <c r="C35" s="178"/>
      <c r="D35" s="177"/>
      <c r="E35" s="177"/>
      <c r="F35" s="179"/>
      <c r="G35" s="180"/>
      <c r="H35" s="180"/>
      <c r="I35" s="179">
        <f t="shared" si="2"/>
        <v>0</v>
      </c>
    </row>
    <row r="36" spans="1:9" ht="22.5" customHeight="1">
      <c r="A36" s="177"/>
      <c r="B36" s="177"/>
      <c r="C36" s="178"/>
      <c r="D36" s="177"/>
      <c r="E36" s="177"/>
      <c r="F36" s="179"/>
      <c r="G36" s="180"/>
      <c r="H36" s="180"/>
      <c r="I36" s="179">
        <f t="shared" si="2"/>
        <v>0</v>
      </c>
    </row>
    <row r="37" spans="1:9" ht="21" customHeight="1">
      <c r="A37" s="177"/>
      <c r="B37" s="177"/>
      <c r="C37" s="178"/>
      <c r="D37" s="177"/>
      <c r="E37" s="177"/>
      <c r="F37" s="179"/>
      <c r="G37" s="177"/>
      <c r="H37" s="177"/>
      <c r="I37" s="179">
        <f t="shared" si="2"/>
        <v>0</v>
      </c>
    </row>
    <row r="38" spans="1:9" ht="18" customHeight="1">
      <c r="A38" s="1184" t="s">
        <v>467</v>
      </c>
      <c r="B38" s="1184"/>
      <c r="C38" s="1184"/>
      <c r="D38" s="1184"/>
      <c r="E38" s="1184"/>
      <c r="F38" s="1184"/>
      <c r="G38" s="1184"/>
      <c r="H38" s="1184"/>
      <c r="I38" s="181">
        <f>SUM(I33:I37)</f>
        <v>0</v>
      </c>
    </row>
    <row r="39" spans="1:9" ht="39" customHeight="1">
      <c r="A39" s="1068" t="s">
        <v>391</v>
      </c>
      <c r="B39" s="1068"/>
      <c r="C39" s="1068"/>
      <c r="D39" s="117" t="s">
        <v>122</v>
      </c>
      <c r="E39" s="117" t="s">
        <v>394</v>
      </c>
      <c r="F39" s="1068" t="s">
        <v>536</v>
      </c>
      <c r="G39" s="1068"/>
      <c r="H39" s="174" t="s">
        <v>537</v>
      </c>
      <c r="I39" s="174" t="s">
        <v>468</v>
      </c>
    </row>
    <row r="40" spans="1:9" ht="18" customHeight="1">
      <c r="A40" s="1248" t="s">
        <v>481</v>
      </c>
      <c r="B40" s="1248"/>
      <c r="C40" s="1248"/>
      <c r="D40" s="1248"/>
      <c r="E40" s="1248"/>
      <c r="F40" s="1248"/>
      <c r="G40" s="1248"/>
      <c r="H40" s="1248"/>
      <c r="I40" s="1248"/>
    </row>
    <row r="41" spans="1:9" ht="18" customHeight="1">
      <c r="A41" s="1182"/>
      <c r="B41" s="1182"/>
      <c r="C41" s="1182"/>
      <c r="D41" s="40"/>
      <c r="E41" s="40"/>
      <c r="F41" s="1183"/>
      <c r="G41" s="1183"/>
      <c r="H41" s="179"/>
      <c r="I41" s="179">
        <f>E41*H41</f>
        <v>0</v>
      </c>
    </row>
    <row r="42" spans="1:9" ht="18" customHeight="1">
      <c r="A42" s="1182"/>
      <c r="B42" s="1182"/>
      <c r="C42" s="1182"/>
      <c r="D42" s="40"/>
      <c r="E42" s="40"/>
      <c r="F42" s="1183"/>
      <c r="G42" s="1183"/>
      <c r="H42" s="179"/>
      <c r="I42" s="179">
        <f t="shared" ref="I42:I46" si="3">E42*H42</f>
        <v>0</v>
      </c>
    </row>
    <row r="43" spans="1:9" ht="18" customHeight="1">
      <c r="A43" s="1182"/>
      <c r="B43" s="1182"/>
      <c r="C43" s="1182"/>
      <c r="D43" s="40"/>
      <c r="E43" s="40"/>
      <c r="F43" s="1183"/>
      <c r="G43" s="1183"/>
      <c r="H43" s="179"/>
      <c r="I43" s="179">
        <f t="shared" si="3"/>
        <v>0</v>
      </c>
    </row>
    <row r="44" spans="1:9" ht="18" customHeight="1">
      <c r="A44" s="1182"/>
      <c r="B44" s="1182"/>
      <c r="C44" s="1182"/>
      <c r="D44" s="40"/>
      <c r="E44" s="40"/>
      <c r="F44" s="1183"/>
      <c r="G44" s="1183"/>
      <c r="H44" s="179"/>
      <c r="I44" s="179">
        <f t="shared" si="3"/>
        <v>0</v>
      </c>
    </row>
    <row r="45" spans="1:9" ht="18" customHeight="1">
      <c r="A45" s="1182"/>
      <c r="B45" s="1182"/>
      <c r="C45" s="1182"/>
      <c r="D45" s="40"/>
      <c r="E45" s="40"/>
      <c r="F45" s="1183"/>
      <c r="G45" s="1183"/>
      <c r="H45" s="179"/>
      <c r="I45" s="179">
        <f t="shared" si="3"/>
        <v>0</v>
      </c>
    </row>
    <row r="46" spans="1:9" ht="18" customHeight="1">
      <c r="A46" s="1182"/>
      <c r="B46" s="1182"/>
      <c r="C46" s="1182"/>
      <c r="D46" s="40"/>
      <c r="E46" s="40"/>
      <c r="F46" s="1183"/>
      <c r="G46" s="1183"/>
      <c r="H46" s="179"/>
      <c r="I46" s="179">
        <f t="shared" si="3"/>
        <v>0</v>
      </c>
    </row>
    <row r="47" spans="1:9" ht="18" customHeight="1">
      <c r="A47" s="1184" t="s">
        <v>474</v>
      </c>
      <c r="B47" s="1184"/>
      <c r="C47" s="1184"/>
      <c r="D47" s="1184"/>
      <c r="E47" s="1184"/>
      <c r="F47" s="1184"/>
      <c r="G47" s="1184"/>
      <c r="H47" s="1184"/>
      <c r="I47" s="181">
        <f>SUM(I41:I46)</f>
        <v>0</v>
      </c>
    </row>
    <row r="48" spans="1:9" ht="18" customHeight="1">
      <c r="A48" s="1230" t="s">
        <v>548</v>
      </c>
      <c r="B48" s="1230"/>
      <c r="C48" s="1230"/>
      <c r="D48" s="1230"/>
      <c r="E48" s="1230"/>
      <c r="F48" s="1230"/>
      <c r="G48" s="1230"/>
      <c r="H48" s="1230"/>
      <c r="I48" s="210">
        <f>I38+I47</f>
        <v>0</v>
      </c>
    </row>
    <row r="49" spans="1:9" ht="18" customHeight="1">
      <c r="A49" s="1214"/>
      <c r="B49" s="1215"/>
      <c r="C49" s="1215"/>
      <c r="D49" s="1215"/>
      <c r="E49" s="1215"/>
      <c r="F49" s="1215"/>
      <c r="G49" s="1215"/>
      <c r="H49" s="1215"/>
      <c r="I49" s="1215"/>
    </row>
    <row r="50" spans="1:9" ht="18" customHeight="1">
      <c r="A50" s="1358" t="s">
        <v>488</v>
      </c>
      <c r="B50" s="1358"/>
      <c r="C50" s="1358"/>
      <c r="D50" s="1358"/>
      <c r="E50" s="1358"/>
      <c r="F50" s="1358"/>
      <c r="G50" s="1358"/>
      <c r="H50" s="1358"/>
      <c r="I50" s="1358"/>
    </row>
    <row r="51" spans="1:9" ht="52.5" customHeight="1">
      <c r="A51" s="109" t="s">
        <v>391</v>
      </c>
      <c r="B51" s="109" t="s">
        <v>392</v>
      </c>
      <c r="C51" s="109" t="s">
        <v>393</v>
      </c>
      <c r="D51" s="109" t="s">
        <v>122</v>
      </c>
      <c r="E51" s="109" t="s">
        <v>394</v>
      </c>
      <c r="F51" s="173" t="s">
        <v>536</v>
      </c>
      <c r="G51" s="109" t="s">
        <v>396</v>
      </c>
      <c r="H51" s="174" t="s">
        <v>537</v>
      </c>
      <c r="I51" s="174" t="s">
        <v>468</v>
      </c>
    </row>
    <row r="52" spans="1:9" ht="18" customHeight="1">
      <c r="A52" s="1248" t="s">
        <v>389</v>
      </c>
      <c r="B52" s="1248"/>
      <c r="C52" s="1248"/>
      <c r="D52" s="1248"/>
      <c r="E52" s="1248"/>
      <c r="F52" s="1248"/>
      <c r="G52" s="1248"/>
      <c r="H52" s="1248"/>
      <c r="I52" s="1248"/>
    </row>
    <row r="53" spans="1:9" ht="18" customHeight="1">
      <c r="A53" s="182"/>
      <c r="B53" s="182"/>
      <c r="C53" s="178"/>
      <c r="D53" s="182"/>
      <c r="E53" s="182"/>
      <c r="F53" s="179"/>
      <c r="G53" s="203"/>
      <c r="H53" s="203"/>
      <c r="I53" s="179">
        <f>B53*C53*E53*G53*H53</f>
        <v>0</v>
      </c>
    </row>
    <row r="54" spans="1:9" ht="18" customHeight="1">
      <c r="A54" s="182"/>
      <c r="B54" s="182"/>
      <c r="C54" s="178"/>
      <c r="D54" s="182"/>
      <c r="E54" s="182"/>
      <c r="F54" s="179"/>
      <c r="G54" s="203"/>
      <c r="H54" s="203"/>
      <c r="I54" s="179">
        <f t="shared" ref="I54:I57" si="4">B54*C54*E54*G54*H54</f>
        <v>0</v>
      </c>
    </row>
    <row r="55" spans="1:9" ht="18" customHeight="1">
      <c r="A55" s="177"/>
      <c r="B55" s="177"/>
      <c r="C55" s="178"/>
      <c r="D55" s="177"/>
      <c r="E55" s="177"/>
      <c r="F55" s="179"/>
      <c r="G55" s="180"/>
      <c r="H55" s="180"/>
      <c r="I55" s="179">
        <f t="shared" si="4"/>
        <v>0</v>
      </c>
    </row>
    <row r="56" spans="1:9" ht="18" customHeight="1">
      <c r="A56" s="177"/>
      <c r="B56" s="177"/>
      <c r="C56" s="178"/>
      <c r="D56" s="177"/>
      <c r="E56" s="177"/>
      <c r="F56" s="179"/>
      <c r="G56" s="180"/>
      <c r="H56" s="180"/>
      <c r="I56" s="179">
        <f t="shared" si="4"/>
        <v>0</v>
      </c>
    </row>
    <row r="57" spans="1:9" ht="18" customHeight="1">
      <c r="A57" s="177"/>
      <c r="B57" s="177"/>
      <c r="C57" s="178"/>
      <c r="D57" s="177"/>
      <c r="E57" s="177"/>
      <c r="F57" s="179"/>
      <c r="G57" s="177"/>
      <c r="H57" s="177"/>
      <c r="I57" s="179">
        <f t="shared" si="4"/>
        <v>0</v>
      </c>
    </row>
    <row r="58" spans="1:9" ht="17.25" customHeight="1">
      <c r="A58" s="1184" t="s">
        <v>467</v>
      </c>
      <c r="B58" s="1184"/>
      <c r="C58" s="1184"/>
      <c r="D58" s="1184"/>
      <c r="E58" s="1184"/>
      <c r="F58" s="1184"/>
      <c r="G58" s="1184"/>
      <c r="H58" s="1184"/>
      <c r="I58" s="181">
        <f>SUM(I53:I57)</f>
        <v>0</v>
      </c>
    </row>
    <row r="59" spans="1:9" ht="41.25" customHeight="1">
      <c r="A59" s="1068" t="s">
        <v>391</v>
      </c>
      <c r="B59" s="1068"/>
      <c r="C59" s="1068"/>
      <c r="D59" s="117" t="s">
        <v>122</v>
      </c>
      <c r="E59" s="117" t="s">
        <v>394</v>
      </c>
      <c r="F59" s="1068" t="s">
        <v>536</v>
      </c>
      <c r="G59" s="1068"/>
      <c r="H59" s="174" t="s">
        <v>537</v>
      </c>
      <c r="I59" s="174" t="s">
        <v>468</v>
      </c>
    </row>
    <row r="60" spans="1:9" ht="18" customHeight="1">
      <c r="A60" s="1248" t="s">
        <v>481</v>
      </c>
      <c r="B60" s="1248"/>
      <c r="C60" s="1248"/>
      <c r="D60" s="1248"/>
      <c r="E60" s="1248"/>
      <c r="F60" s="1248"/>
      <c r="G60" s="1248"/>
      <c r="H60" s="1248"/>
      <c r="I60" s="1248"/>
    </row>
    <row r="61" spans="1:9" ht="18" customHeight="1">
      <c r="A61" s="1182"/>
      <c r="B61" s="1182"/>
      <c r="C61" s="1182"/>
      <c r="D61" s="40"/>
      <c r="E61" s="40"/>
      <c r="F61" s="1183"/>
      <c r="G61" s="1183"/>
      <c r="H61" s="179"/>
      <c r="I61" s="179">
        <f>E61*H61</f>
        <v>0</v>
      </c>
    </row>
    <row r="62" spans="1:9" ht="18" customHeight="1">
      <c r="A62" s="1182"/>
      <c r="B62" s="1182"/>
      <c r="C62" s="1182"/>
      <c r="D62" s="40"/>
      <c r="E62" s="40"/>
      <c r="F62" s="1183"/>
      <c r="G62" s="1183"/>
      <c r="H62" s="179"/>
      <c r="I62" s="179">
        <f t="shared" ref="I62:I66" si="5">E62*H62</f>
        <v>0</v>
      </c>
    </row>
    <row r="63" spans="1:9" ht="18" customHeight="1">
      <c r="A63" s="1182"/>
      <c r="B63" s="1182"/>
      <c r="C63" s="1182"/>
      <c r="D63" s="40"/>
      <c r="E63" s="40"/>
      <c r="F63" s="1183"/>
      <c r="G63" s="1183"/>
      <c r="H63" s="179"/>
      <c r="I63" s="179">
        <f t="shared" si="5"/>
        <v>0</v>
      </c>
    </row>
    <row r="64" spans="1:9" ht="18" customHeight="1">
      <c r="A64" s="1182"/>
      <c r="B64" s="1182"/>
      <c r="C64" s="1182"/>
      <c r="D64" s="40"/>
      <c r="E64" s="40"/>
      <c r="F64" s="1183"/>
      <c r="G64" s="1183"/>
      <c r="H64" s="179"/>
      <c r="I64" s="179">
        <f t="shared" si="5"/>
        <v>0</v>
      </c>
    </row>
    <row r="65" spans="1:9" ht="18" customHeight="1">
      <c r="A65" s="1182"/>
      <c r="B65" s="1182"/>
      <c r="C65" s="1182"/>
      <c r="D65" s="40"/>
      <c r="E65" s="40"/>
      <c r="F65" s="1183"/>
      <c r="G65" s="1183"/>
      <c r="H65" s="179"/>
      <c r="I65" s="179">
        <f t="shared" si="5"/>
        <v>0</v>
      </c>
    </row>
    <row r="66" spans="1:9" ht="18" customHeight="1">
      <c r="A66" s="1182"/>
      <c r="B66" s="1182"/>
      <c r="C66" s="1182"/>
      <c r="D66" s="40"/>
      <c r="E66" s="40"/>
      <c r="F66" s="1183"/>
      <c r="G66" s="1183"/>
      <c r="H66" s="179"/>
      <c r="I66" s="179">
        <f t="shared" si="5"/>
        <v>0</v>
      </c>
    </row>
    <row r="67" spans="1:9" ht="18" customHeight="1">
      <c r="A67" s="1184" t="s">
        <v>474</v>
      </c>
      <c r="B67" s="1184"/>
      <c r="C67" s="1184"/>
      <c r="D67" s="1184"/>
      <c r="E67" s="1184"/>
      <c r="F67" s="1184"/>
      <c r="G67" s="1184"/>
      <c r="H67" s="1184"/>
      <c r="I67" s="181">
        <f>SUM(I61:I66)</f>
        <v>0</v>
      </c>
    </row>
    <row r="68" spans="1:9" ht="18" customHeight="1">
      <c r="A68" s="1230" t="s">
        <v>549</v>
      </c>
      <c r="B68" s="1230"/>
      <c r="C68" s="1230"/>
      <c r="D68" s="1230"/>
      <c r="E68" s="1230"/>
      <c r="F68" s="1230"/>
      <c r="G68" s="1230"/>
      <c r="H68" s="1230"/>
      <c r="I68" s="210">
        <f>I58+I67</f>
        <v>0</v>
      </c>
    </row>
    <row r="69" spans="1:9" ht="18" customHeight="1">
      <c r="A69" s="1258"/>
      <c r="B69" s="1258"/>
      <c r="C69" s="1258"/>
      <c r="D69" s="1258"/>
      <c r="E69" s="1258"/>
      <c r="F69" s="1258"/>
      <c r="G69" s="1258"/>
      <c r="H69" s="1258"/>
      <c r="I69" s="1258"/>
    </row>
    <row r="70" spans="1:9" ht="18" customHeight="1">
      <c r="A70" s="1352" t="s">
        <v>408</v>
      </c>
      <c r="B70" s="1352"/>
      <c r="C70" s="1352"/>
      <c r="D70" s="1352"/>
      <c r="E70" s="1352"/>
      <c r="F70" s="1352"/>
      <c r="G70" s="1352"/>
      <c r="H70" s="1352"/>
      <c r="I70" s="604">
        <f>I28+I48+I68</f>
        <v>0</v>
      </c>
    </row>
    <row r="71" spans="1:9" ht="18" customHeight="1">
      <c r="A71" s="1352" t="s">
        <v>409</v>
      </c>
      <c r="B71" s="1352"/>
      <c r="C71" s="1352"/>
      <c r="D71" s="1352"/>
      <c r="E71" s="1352"/>
      <c r="F71" s="1352"/>
      <c r="G71" s="1352"/>
      <c r="H71" s="187"/>
      <c r="I71" s="605">
        <v>0</v>
      </c>
    </row>
    <row r="72" spans="1:9" ht="18" customHeight="1">
      <c r="A72" s="1352" t="s">
        <v>411</v>
      </c>
      <c r="B72" s="1352"/>
      <c r="C72" s="1352"/>
      <c r="D72" s="1352"/>
      <c r="E72" s="1352"/>
      <c r="F72" s="1352"/>
      <c r="G72" s="1352"/>
      <c r="H72" s="187"/>
      <c r="I72" s="605">
        <v>0</v>
      </c>
    </row>
    <row r="73" spans="1:9" ht="18" customHeight="1">
      <c r="A73" s="1352" t="s">
        <v>412</v>
      </c>
      <c r="B73" s="1352"/>
      <c r="C73" s="1352"/>
      <c r="D73" s="1352"/>
      <c r="E73" s="1352"/>
      <c r="F73" s="1352"/>
      <c r="G73" s="1352"/>
      <c r="H73" s="187"/>
      <c r="I73" s="605">
        <v>0</v>
      </c>
    </row>
    <row r="74" spans="1:9" ht="18" customHeight="1">
      <c r="A74" s="1355" t="s">
        <v>414</v>
      </c>
      <c r="B74" s="1206"/>
      <c r="C74" s="1206"/>
      <c r="D74" s="1206"/>
      <c r="E74" s="1206"/>
      <c r="F74" s="1206"/>
      <c r="G74" s="1206"/>
      <c r="H74" s="1207"/>
      <c r="I74" s="606">
        <f>SUM(I70:I73)</f>
        <v>0</v>
      </c>
    </row>
    <row r="75" spans="1:9" ht="18" customHeight="1">
      <c r="E75" s="196"/>
      <c r="F75" s="197"/>
      <c r="G75" s="196"/>
      <c r="H75" s="196"/>
      <c r="I75" s="198"/>
    </row>
    <row r="76" spans="1:9" ht="110.25" customHeight="1">
      <c r="A76" s="1339" t="s">
        <v>541</v>
      </c>
      <c r="B76" s="1339"/>
      <c r="C76" s="1339"/>
      <c r="D76" s="1339"/>
      <c r="E76" s="1339"/>
      <c r="F76" s="1339"/>
      <c r="G76" s="1339"/>
      <c r="H76" s="1339"/>
      <c r="I76" s="1339"/>
    </row>
    <row r="77" spans="1:9" ht="18" customHeight="1" thickBot="1">
      <c r="A77" s="607"/>
      <c r="B77" s="607"/>
      <c r="C77" s="607"/>
      <c r="D77" s="608"/>
      <c r="E77" s="607"/>
      <c r="F77" s="609"/>
      <c r="G77" s="196"/>
      <c r="H77" s="196"/>
      <c r="I77" s="198"/>
    </row>
    <row r="78" spans="1:9" ht="18" customHeight="1" thickBot="1">
      <c r="A78" s="1349" t="s">
        <v>542</v>
      </c>
      <c r="B78" s="1350"/>
      <c r="C78" s="1350"/>
      <c r="D78" s="1350"/>
      <c r="E78" s="1350"/>
      <c r="F78" s="1350"/>
      <c r="G78" s="1350"/>
      <c r="H78" s="1350"/>
      <c r="I78" s="1351"/>
    </row>
  </sheetData>
  <sheetProtection algorithmName="SHA-512" hashValue="112O56ZVGzkBAJYJu/8R0s5Fhf94HOxWlSYLUYxRVe9IH4c/LMQ9nwater2OTK9GyyDsjVlRZ3QbuuDWBitagw==" saltValue="YgcnGmHc6EOLvXq53g/VKQ==" spinCount="100000" sheet="1" formatCells="0" formatColumns="0" formatRows="0" insertColumns="0" insertRows="0" insertHyperlinks="0" deleteColumns="0" deleteRows="0" sort="0" autoFilter="0" pivotTables="0"/>
  <mergeCells count="82">
    <mergeCell ref="A78:I78"/>
    <mergeCell ref="A5:D5"/>
    <mergeCell ref="E5:I5"/>
    <mergeCell ref="A6:D6"/>
    <mergeCell ref="E6:I6"/>
    <mergeCell ref="A7:D7"/>
    <mergeCell ref="E7:I7"/>
    <mergeCell ref="A18:H18"/>
    <mergeCell ref="A27:H27"/>
    <mergeCell ref="A28:H28"/>
    <mergeCell ref="A70:H70"/>
    <mergeCell ref="A71:G71"/>
    <mergeCell ref="A72:G72"/>
    <mergeCell ref="A73:G73"/>
    <mergeCell ref="A74:H74"/>
    <mergeCell ref="A76:I76"/>
    <mergeCell ref="A69:I69"/>
    <mergeCell ref="A66:C66"/>
    <mergeCell ref="F66:G66"/>
    <mergeCell ref="A67:H67"/>
    <mergeCell ref="A68:H68"/>
    <mergeCell ref="A63:C63"/>
    <mergeCell ref="F63:G63"/>
    <mergeCell ref="A64:C64"/>
    <mergeCell ref="F64:G64"/>
    <mergeCell ref="A65:C65"/>
    <mergeCell ref="F65:G65"/>
    <mergeCell ref="A62:C62"/>
    <mergeCell ref="F62:G62"/>
    <mergeCell ref="A49:I49"/>
    <mergeCell ref="A50:I50"/>
    <mergeCell ref="A52:I52"/>
    <mergeCell ref="A58:H58"/>
    <mergeCell ref="A59:C59"/>
    <mergeCell ref="F59:G59"/>
    <mergeCell ref="A60:I60"/>
    <mergeCell ref="A61:C61"/>
    <mergeCell ref="F61:G61"/>
    <mergeCell ref="A48:H48"/>
    <mergeCell ref="A42:C42"/>
    <mergeCell ref="F42:G42"/>
    <mergeCell ref="A43:C43"/>
    <mergeCell ref="F43:G43"/>
    <mergeCell ref="A44:C44"/>
    <mergeCell ref="F44:G44"/>
    <mergeCell ref="A45:C45"/>
    <mergeCell ref="F45:G45"/>
    <mergeCell ref="A46:C46"/>
    <mergeCell ref="F46:G46"/>
    <mergeCell ref="A47:H47"/>
    <mergeCell ref="A32:I32"/>
    <mergeCell ref="A39:C39"/>
    <mergeCell ref="F39:G39"/>
    <mergeCell ref="A40:I40"/>
    <mergeCell ref="A41:C41"/>
    <mergeCell ref="F41:G41"/>
    <mergeCell ref="A38:H38"/>
    <mergeCell ref="A29:I29"/>
    <mergeCell ref="A30:I30"/>
    <mergeCell ref="A24:C24"/>
    <mergeCell ref="F24:G24"/>
    <mergeCell ref="A25:C25"/>
    <mergeCell ref="F25:G25"/>
    <mergeCell ref="A26:C26"/>
    <mergeCell ref="F26:G26"/>
    <mergeCell ref="A21:C21"/>
    <mergeCell ref="F21:G21"/>
    <mergeCell ref="A22:C22"/>
    <mergeCell ref="F22:G22"/>
    <mergeCell ref="A23:C23"/>
    <mergeCell ref="F23:G23"/>
    <mergeCell ref="A10:I10"/>
    <mergeCell ref="A12:I12"/>
    <mergeCell ref="A19:C19"/>
    <mergeCell ref="F19:G19"/>
    <mergeCell ref="A20:I20"/>
    <mergeCell ref="A9:I9"/>
    <mergeCell ref="A1:C3"/>
    <mergeCell ref="D1:I1"/>
    <mergeCell ref="D2:I2"/>
    <mergeCell ref="D3:F3"/>
    <mergeCell ref="G3:I3"/>
  </mergeCells>
  <hyperlinks>
    <hyperlink ref="J1" location="ins" display="Instructivo" xr:uid="{00000000-0004-0000-0E00-000000000000}"/>
    <hyperlink ref="J2" location="NPE" display="Notas propuesta económica" xr:uid="{00000000-0004-0000-0E00-000001000000}"/>
  </hyperlinks>
  <printOptions horizontalCentered="1"/>
  <pageMargins left="0" right="0" top="0" bottom="0" header="0" footer="0"/>
  <pageSetup scale="80" fitToHeight="0" orientation="landscape" horizontalDpi="4294967295" verticalDpi="4294967295"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28">
    <tabColor theme="5" tint="0.39997558519241921"/>
    <pageSetUpPr fitToPage="1"/>
  </sheetPr>
  <dimension ref="A1:G65"/>
  <sheetViews>
    <sheetView showGridLines="0" zoomScaleNormal="100" workbookViewId="0">
      <selection activeCell="B1" sqref="B1:E1"/>
    </sheetView>
  </sheetViews>
  <sheetFormatPr defaultColWidth="11.5" defaultRowHeight="20.100000000000001" customHeight="1"/>
  <cols>
    <col min="1" max="1" width="27.6640625" style="196" customWidth="1"/>
    <col min="2" max="4" width="26.83203125" style="196" customWidth="1"/>
    <col min="5" max="5" width="26.83203125" style="212" customWidth="1"/>
    <col min="6" max="6" width="15.33203125" style="74" customWidth="1"/>
    <col min="7" max="7" width="18.83203125" style="74" customWidth="1"/>
    <col min="8" max="16384" width="11.5" style="74"/>
  </cols>
  <sheetData>
    <row r="1" spans="1:7" ht="20.100000000000001" customHeight="1">
      <c r="A1" s="725"/>
      <c r="B1" s="1102" t="s">
        <v>0</v>
      </c>
      <c r="C1" s="1103"/>
      <c r="D1" s="1103"/>
      <c r="E1" s="1104"/>
      <c r="F1" s="366" t="s">
        <v>104</v>
      </c>
      <c r="G1" s="65"/>
    </row>
    <row r="2" spans="1:7" ht="20.100000000000001" customHeight="1">
      <c r="A2" s="726"/>
      <c r="B2" s="1105" t="s">
        <v>550</v>
      </c>
      <c r="C2" s="1106"/>
      <c r="D2" s="1106"/>
      <c r="E2" s="1107"/>
    </row>
    <row r="3" spans="1:7" ht="20.100000000000001" customHeight="1" thickBot="1">
      <c r="A3" s="727"/>
      <c r="B3" s="1362" t="s">
        <v>2</v>
      </c>
      <c r="C3" s="1363"/>
      <c r="D3" s="1362" t="s">
        <v>3</v>
      </c>
      <c r="E3" s="1364"/>
    </row>
    <row r="4" spans="1:7" ht="20.100000000000001" customHeight="1" thickBot="1">
      <c r="A4" s="74"/>
      <c r="B4" s="70"/>
      <c r="C4" s="70"/>
      <c r="D4" s="70"/>
      <c r="E4" s="70"/>
    </row>
    <row r="5" spans="1:7" ht="96" customHeight="1" thickBot="1">
      <c r="A5" s="1366" t="s">
        <v>551</v>
      </c>
      <c r="B5" s="1367"/>
      <c r="C5" s="1367"/>
      <c r="D5" s="1367"/>
      <c r="E5" s="1368"/>
    </row>
    <row r="6" spans="1:7" ht="18" customHeight="1" thickBot="1">
      <c r="A6" s="1369"/>
      <c r="B6" s="1369"/>
      <c r="C6" s="1369"/>
      <c r="D6" s="1369"/>
      <c r="E6" s="1369"/>
    </row>
    <row r="7" spans="1:7" ht="44.25" customHeight="1" thickBot="1">
      <c r="A7" s="1366" t="s">
        <v>552</v>
      </c>
      <c r="B7" s="1367"/>
      <c r="C7" s="1367"/>
      <c r="D7" s="1367"/>
      <c r="E7" s="1368"/>
    </row>
    <row r="8" spans="1:7" ht="20.100000000000001" customHeight="1" thickBot="1">
      <c r="A8" s="1365"/>
      <c r="B8" s="1365"/>
      <c r="C8" s="1365"/>
      <c r="D8" s="1365"/>
      <c r="E8" s="1365"/>
    </row>
    <row r="9" spans="1:7" s="70" customFormat="1" ht="18" customHeight="1" thickBot="1">
      <c r="A9" s="989" t="s">
        <v>534</v>
      </c>
      <c r="B9" s="1194"/>
      <c r="C9" s="991"/>
      <c r="D9" s="992"/>
      <c r="E9" s="993"/>
      <c r="F9" s="74"/>
      <c r="G9" s="74"/>
    </row>
    <row r="10" spans="1:7" s="70" customFormat="1" ht="23.25" customHeight="1" thickBot="1">
      <c r="A10" s="989" t="s">
        <v>107</v>
      </c>
      <c r="B10" s="1194"/>
      <c r="C10" s="1090" t="str">
        <f>'Plan Ejecución'!AE5</f>
        <v>CONTRATACIÓN DIRECTA</v>
      </c>
      <c r="D10" s="1091"/>
      <c r="E10" s="1092"/>
      <c r="F10" s="241"/>
      <c r="G10" s="241"/>
    </row>
    <row r="11" spans="1:7" ht="53.25" customHeight="1" thickBot="1">
      <c r="A11" s="989" t="s">
        <v>109</v>
      </c>
      <c r="B11" s="1194"/>
      <c r="C11" s="1168" t="str">
        <f>'Plan Ejecución'!AE6</f>
        <v xml:space="preserve"> "“SOPORTE, MANTENIMIENTO Y ACTUALIZACIÓN DEL VISOR GEOGRÁFICO – AÑO 2025"</v>
      </c>
      <c r="D11" s="1169"/>
      <c r="E11" s="1170"/>
      <c r="F11" s="241"/>
      <c r="G11" s="241"/>
    </row>
    <row r="12" spans="1:7" ht="20.100000000000001" customHeight="1" thickBot="1">
      <c r="A12" s="237"/>
      <c r="B12" s="199"/>
      <c r="C12" s="199"/>
      <c r="D12" s="199"/>
      <c r="E12" s="199"/>
    </row>
    <row r="13" spans="1:7" ht="20.100000000000001" customHeight="1">
      <c r="A13" s="1359" t="s">
        <v>553</v>
      </c>
      <c r="B13" s="1360"/>
      <c r="C13" s="1360"/>
      <c r="D13" s="1361"/>
      <c r="E13" s="199"/>
    </row>
    <row r="14" spans="1:7" ht="34.5" customHeight="1" thickBot="1">
      <c r="A14" s="355" t="s">
        <v>554</v>
      </c>
      <c r="B14" s="356" t="s">
        <v>555</v>
      </c>
      <c r="C14" s="356" t="s">
        <v>556</v>
      </c>
      <c r="D14" s="357" t="s">
        <v>557</v>
      </c>
      <c r="E14" s="199"/>
    </row>
    <row r="15" spans="1:7" ht="20.100000000000001" customHeight="1" thickBot="1">
      <c r="A15" s="785"/>
      <c r="B15" s="786">
        <v>0.2</v>
      </c>
      <c r="C15" s="787">
        <f>A15*B15</f>
        <v>0</v>
      </c>
      <c r="D15" s="788">
        <f>A15-C15</f>
        <v>0</v>
      </c>
      <c r="E15" s="199"/>
    </row>
    <row r="16" spans="1:7" ht="20.100000000000001" customHeight="1" thickBot="1">
      <c r="A16" s="248"/>
      <c r="B16" s="249"/>
      <c r="C16" s="250"/>
      <c r="D16" s="240"/>
      <c r="E16" s="199"/>
    </row>
    <row r="17" spans="1:5" ht="20.100000000000001" customHeight="1">
      <c r="A17" s="1359" t="s">
        <v>558</v>
      </c>
      <c r="B17" s="1360"/>
      <c r="C17" s="1360"/>
      <c r="D17" s="1360"/>
      <c r="E17" s="1361"/>
    </row>
    <row r="18" spans="1:5" ht="40.5" customHeight="1" thickBot="1">
      <c r="A18" s="355" t="s">
        <v>559</v>
      </c>
      <c r="B18" s="356" t="s">
        <v>560</v>
      </c>
      <c r="C18" s="356" t="s">
        <v>555</v>
      </c>
      <c r="D18" s="356" t="s">
        <v>561</v>
      </c>
      <c r="E18" s="357" t="s">
        <v>562</v>
      </c>
    </row>
    <row r="19" spans="1:5" ht="20.100000000000001" customHeight="1">
      <c r="A19" s="729"/>
      <c r="B19" s="344"/>
      <c r="C19" s="789">
        <v>0.2</v>
      </c>
      <c r="D19" s="790">
        <f>B19*C19</f>
        <v>0</v>
      </c>
      <c r="E19" s="791">
        <f>B19-D19</f>
        <v>0</v>
      </c>
    </row>
    <row r="20" spans="1:5" ht="20.100000000000001" customHeight="1">
      <c r="A20" s="729"/>
      <c r="B20" s="251"/>
      <c r="C20" s="243">
        <v>0.2</v>
      </c>
      <c r="D20" s="769">
        <f>B20*C20</f>
        <v>0</v>
      </c>
      <c r="E20" s="770">
        <f t="shared" ref="E20:E21" si="0">B20-D20</f>
        <v>0</v>
      </c>
    </row>
    <row r="21" spans="1:5" ht="20.100000000000001" customHeight="1">
      <c r="A21" s="729"/>
      <c r="B21" s="251"/>
      <c r="C21" s="243">
        <v>0.2</v>
      </c>
      <c r="D21" s="769">
        <f>B21*C21</f>
        <v>0</v>
      </c>
      <c r="E21" s="770">
        <f t="shared" si="0"/>
        <v>0</v>
      </c>
    </row>
    <row r="22" spans="1:5" ht="20.100000000000001" customHeight="1">
      <c r="A22" s="334"/>
      <c r="B22" s="768"/>
      <c r="C22" s="243"/>
      <c r="D22" s="769">
        <f>B22*C22</f>
        <v>0</v>
      </c>
      <c r="E22" s="770">
        <f>B22-D22</f>
        <v>0</v>
      </c>
    </row>
    <row r="23" spans="1:5" ht="20.100000000000001" customHeight="1" thickBot="1">
      <c r="A23" s="771"/>
      <c r="B23" s="772"/>
      <c r="C23" s="773"/>
      <c r="D23" s="774">
        <f>B23*C23</f>
        <v>0</v>
      </c>
      <c r="E23" s="775">
        <f>B23-D23</f>
        <v>0</v>
      </c>
    </row>
    <row r="24" spans="1:5" ht="20.100000000000001" customHeight="1" thickBot="1">
      <c r="A24" s="199"/>
      <c r="B24" s="199"/>
      <c r="C24" s="199"/>
      <c r="D24" s="199"/>
      <c r="E24" s="199"/>
    </row>
    <row r="25" spans="1:5" ht="20.100000000000001" customHeight="1">
      <c r="A25" s="1359" t="s">
        <v>563</v>
      </c>
      <c r="B25" s="1360"/>
      <c r="C25" s="1360"/>
      <c r="D25" s="1360"/>
      <c r="E25" s="1361"/>
    </row>
    <row r="26" spans="1:5" ht="42.75" customHeight="1" thickBot="1">
      <c r="A26" s="355" t="s">
        <v>391</v>
      </c>
      <c r="B26" s="356" t="s">
        <v>564</v>
      </c>
      <c r="C26" s="356" t="s">
        <v>555</v>
      </c>
      <c r="D26" s="356" t="s">
        <v>565</v>
      </c>
      <c r="E26" s="357" t="s">
        <v>562</v>
      </c>
    </row>
    <row r="27" spans="1:5" ht="29.25" customHeight="1">
      <c r="A27" s="729"/>
      <c r="B27" s="344"/>
      <c r="C27" s="789">
        <v>0.2</v>
      </c>
      <c r="D27" s="790">
        <f>B27*C27</f>
        <v>0</v>
      </c>
      <c r="E27" s="791">
        <f>B27-D27</f>
        <v>0</v>
      </c>
    </row>
    <row r="28" spans="1:5" ht="20.100000000000001" customHeight="1">
      <c r="A28" s="334"/>
      <c r="B28" s="251"/>
      <c r="C28" s="243">
        <v>0.2</v>
      </c>
      <c r="D28" s="769">
        <f t="shared" ref="D28:D29" si="1">B28*C28</f>
        <v>0</v>
      </c>
      <c r="E28" s="770">
        <f t="shared" ref="E28:E29" si="2">B28-D28</f>
        <v>0</v>
      </c>
    </row>
    <row r="29" spans="1:5" ht="45.75" customHeight="1">
      <c r="A29" s="334"/>
      <c r="B29" s="251"/>
      <c r="C29" s="243">
        <v>0.2</v>
      </c>
      <c r="D29" s="769">
        <f t="shared" si="1"/>
        <v>0</v>
      </c>
      <c r="E29" s="770">
        <f t="shared" si="2"/>
        <v>0</v>
      </c>
    </row>
    <row r="30" spans="1:5" ht="20.100000000000001" customHeight="1">
      <c r="A30" s="334"/>
      <c r="B30" s="768"/>
      <c r="C30" s="243"/>
      <c r="D30" s="769">
        <f t="shared" ref="D30:D38" si="3">B30*C30</f>
        <v>0</v>
      </c>
      <c r="E30" s="770">
        <f t="shared" ref="E30:E38" si="4">B30-D30</f>
        <v>0</v>
      </c>
    </row>
    <row r="31" spans="1:5" ht="20.100000000000001" customHeight="1">
      <c r="A31" s="334"/>
      <c r="B31" s="768"/>
      <c r="C31" s="243"/>
      <c r="D31" s="769">
        <f t="shared" si="3"/>
        <v>0</v>
      </c>
      <c r="E31" s="770">
        <f t="shared" si="4"/>
        <v>0</v>
      </c>
    </row>
    <row r="32" spans="1:5" ht="20.100000000000001" customHeight="1">
      <c r="A32" s="334"/>
      <c r="B32" s="768"/>
      <c r="C32" s="243"/>
      <c r="D32" s="769">
        <f t="shared" si="3"/>
        <v>0</v>
      </c>
      <c r="E32" s="770">
        <f t="shared" si="4"/>
        <v>0</v>
      </c>
    </row>
    <row r="33" spans="1:5" ht="20.100000000000001" customHeight="1">
      <c r="A33" s="334"/>
      <c r="B33" s="768"/>
      <c r="C33" s="243"/>
      <c r="D33" s="769">
        <f t="shared" si="3"/>
        <v>0</v>
      </c>
      <c r="E33" s="770">
        <f t="shared" si="4"/>
        <v>0</v>
      </c>
    </row>
    <row r="34" spans="1:5" ht="20.100000000000001" customHeight="1">
      <c r="A34" s="334"/>
      <c r="B34" s="768"/>
      <c r="C34" s="243"/>
      <c r="D34" s="769">
        <f t="shared" si="3"/>
        <v>0</v>
      </c>
      <c r="E34" s="770">
        <f t="shared" si="4"/>
        <v>0</v>
      </c>
    </row>
    <row r="35" spans="1:5" ht="20.100000000000001" customHeight="1">
      <c r="A35" s="334"/>
      <c r="B35" s="768"/>
      <c r="C35" s="243"/>
      <c r="D35" s="769">
        <f t="shared" si="3"/>
        <v>0</v>
      </c>
      <c r="E35" s="770">
        <f t="shared" si="4"/>
        <v>0</v>
      </c>
    </row>
    <row r="36" spans="1:5" ht="20.100000000000001" customHeight="1">
      <c r="A36" s="334"/>
      <c r="B36" s="768"/>
      <c r="C36" s="243"/>
      <c r="D36" s="769">
        <f t="shared" si="3"/>
        <v>0</v>
      </c>
      <c r="E36" s="770">
        <f t="shared" si="4"/>
        <v>0</v>
      </c>
    </row>
    <row r="37" spans="1:5" ht="20.100000000000001" customHeight="1">
      <c r="A37" s="334"/>
      <c r="B37" s="768"/>
      <c r="C37" s="243"/>
      <c r="D37" s="769">
        <f t="shared" si="3"/>
        <v>0</v>
      </c>
      <c r="E37" s="770">
        <f t="shared" si="4"/>
        <v>0</v>
      </c>
    </row>
    <row r="38" spans="1:5" ht="20.100000000000001" customHeight="1" thickBot="1">
      <c r="A38" s="771"/>
      <c r="B38" s="772"/>
      <c r="C38" s="773"/>
      <c r="D38" s="774">
        <f t="shared" si="3"/>
        <v>0</v>
      </c>
      <c r="E38" s="775">
        <f t="shared" si="4"/>
        <v>0</v>
      </c>
    </row>
    <row r="39" spans="1:5" ht="27.75" customHeight="1" thickBot="1">
      <c r="A39" s="74"/>
      <c r="B39" s="74"/>
      <c r="C39" s="74"/>
      <c r="D39" s="74"/>
      <c r="E39" s="74"/>
    </row>
    <row r="40" spans="1:5" ht="21.95" customHeight="1">
      <c r="A40" s="1244" t="s">
        <v>566</v>
      </c>
      <c r="B40" s="1245"/>
      <c r="C40" s="1245"/>
      <c r="D40" s="1245"/>
      <c r="E40" s="1246"/>
    </row>
    <row r="41" spans="1:5" ht="21.95" customHeight="1">
      <c r="A41" s="776" t="s">
        <v>567</v>
      </c>
      <c r="B41" s="1186" t="s">
        <v>568</v>
      </c>
      <c r="C41" s="1186"/>
      <c r="D41" s="1186"/>
      <c r="E41" s="1375"/>
    </row>
    <row r="42" spans="1:5" ht="37.5" customHeight="1">
      <c r="A42" s="777" t="s">
        <v>391</v>
      </c>
      <c r="B42" s="778" t="s">
        <v>564</v>
      </c>
      <c r="C42" s="778" t="s">
        <v>555</v>
      </c>
      <c r="D42" s="778" t="s">
        <v>565</v>
      </c>
      <c r="E42" s="779" t="s">
        <v>562</v>
      </c>
    </row>
    <row r="43" spans="1:5" ht="27" customHeight="1">
      <c r="A43" s="729"/>
      <c r="B43" s="344"/>
      <c r="C43" s="789">
        <v>0.2</v>
      </c>
      <c r="D43" s="790">
        <f>B43*C43</f>
        <v>0</v>
      </c>
      <c r="E43" s="791">
        <f>B43-D43</f>
        <v>0</v>
      </c>
    </row>
    <row r="44" spans="1:5" ht="20.100000000000001" customHeight="1">
      <c r="A44" s="334"/>
      <c r="B44" s="251"/>
      <c r="C44" s="243">
        <v>0.2</v>
      </c>
      <c r="D44" s="769">
        <f t="shared" ref="D44" si="5">B44*C44</f>
        <v>0</v>
      </c>
      <c r="E44" s="770">
        <f t="shared" ref="E44:E45" si="6">B44-D44</f>
        <v>0</v>
      </c>
    </row>
    <row r="45" spans="1:5" ht="20.100000000000001" customHeight="1">
      <c r="A45" s="334"/>
      <c r="B45" s="251"/>
      <c r="C45" s="243"/>
      <c r="D45" s="769">
        <f>B45*C45</f>
        <v>0</v>
      </c>
      <c r="E45" s="770">
        <f t="shared" si="6"/>
        <v>0</v>
      </c>
    </row>
    <row r="46" spans="1:5" ht="20.100000000000001" customHeight="1">
      <c r="A46" s="334"/>
      <c r="B46" s="768"/>
      <c r="C46" s="243"/>
      <c r="D46" s="769">
        <f t="shared" ref="D46:D52" si="7">B46*C46</f>
        <v>0</v>
      </c>
      <c r="E46" s="770">
        <f t="shared" ref="E46:E52" si="8">B46-D46</f>
        <v>0</v>
      </c>
    </row>
    <row r="47" spans="1:5" ht="20.100000000000001" customHeight="1">
      <c r="A47" s="334"/>
      <c r="B47" s="768"/>
      <c r="C47" s="243"/>
      <c r="D47" s="769">
        <f t="shared" si="7"/>
        <v>0</v>
      </c>
      <c r="E47" s="770">
        <f t="shared" si="8"/>
        <v>0</v>
      </c>
    </row>
    <row r="48" spans="1:5" ht="20.100000000000001" customHeight="1">
      <c r="A48" s="334"/>
      <c r="B48" s="768"/>
      <c r="C48" s="243"/>
      <c r="D48" s="769">
        <f t="shared" si="7"/>
        <v>0</v>
      </c>
      <c r="E48" s="770">
        <f t="shared" si="8"/>
        <v>0</v>
      </c>
    </row>
    <row r="49" spans="1:5" ht="20.100000000000001" customHeight="1">
      <c r="A49" s="334"/>
      <c r="B49" s="768"/>
      <c r="C49" s="243"/>
      <c r="D49" s="769">
        <f t="shared" si="7"/>
        <v>0</v>
      </c>
      <c r="E49" s="770">
        <f t="shared" si="8"/>
        <v>0</v>
      </c>
    </row>
    <row r="50" spans="1:5" ht="20.100000000000001" customHeight="1">
      <c r="A50" s="334"/>
      <c r="B50" s="768"/>
      <c r="C50" s="243"/>
      <c r="D50" s="769">
        <f t="shared" si="7"/>
        <v>0</v>
      </c>
      <c r="E50" s="770">
        <f t="shared" si="8"/>
        <v>0</v>
      </c>
    </row>
    <row r="51" spans="1:5" ht="20.100000000000001" customHeight="1">
      <c r="A51" s="334"/>
      <c r="B51" s="768"/>
      <c r="C51" s="243"/>
      <c r="D51" s="769">
        <f t="shared" si="7"/>
        <v>0</v>
      </c>
      <c r="E51" s="770">
        <f t="shared" si="8"/>
        <v>0</v>
      </c>
    </row>
    <row r="52" spans="1:5" ht="20.100000000000001" customHeight="1" thickBot="1">
      <c r="A52" s="732"/>
      <c r="B52" s="780"/>
      <c r="C52" s="246"/>
      <c r="D52" s="781">
        <f t="shared" si="7"/>
        <v>0</v>
      </c>
      <c r="E52" s="782">
        <f t="shared" si="8"/>
        <v>0</v>
      </c>
    </row>
    <row r="53" spans="1:5" ht="20.100000000000001" customHeight="1" thickBot="1">
      <c r="A53" s="1372"/>
      <c r="B53" s="1373"/>
      <c r="C53" s="1373"/>
      <c r="D53" s="1373"/>
      <c r="E53" s="1374"/>
    </row>
    <row r="54" spans="1:5" ht="20.100000000000001" customHeight="1">
      <c r="A54" s="783" t="s">
        <v>569</v>
      </c>
      <c r="B54" s="1370" t="s">
        <v>570</v>
      </c>
      <c r="C54" s="1370"/>
      <c r="D54" s="1370"/>
      <c r="E54" s="1371"/>
    </row>
    <row r="55" spans="1:5" ht="39" customHeight="1">
      <c r="A55" s="777" t="s">
        <v>391</v>
      </c>
      <c r="B55" s="778" t="s">
        <v>564</v>
      </c>
      <c r="C55" s="778" t="s">
        <v>555</v>
      </c>
      <c r="D55" s="778" t="s">
        <v>565</v>
      </c>
      <c r="E55" s="779" t="s">
        <v>562</v>
      </c>
    </row>
    <row r="56" spans="1:5" ht="42" customHeight="1">
      <c r="A56" s="334"/>
      <c r="B56" s="251"/>
      <c r="C56" s="789">
        <v>0.2</v>
      </c>
      <c r="D56" s="790">
        <f>B56*C56</f>
        <v>0</v>
      </c>
      <c r="E56" s="791">
        <f>B56-D56</f>
        <v>0</v>
      </c>
    </row>
    <row r="57" spans="1:5" ht="20.100000000000001" customHeight="1">
      <c r="A57" s="334"/>
      <c r="B57" s="251"/>
      <c r="C57" s="243"/>
      <c r="D57" s="769">
        <f>B57*C57</f>
        <v>0</v>
      </c>
      <c r="E57" s="770">
        <f>B57-D57</f>
        <v>0</v>
      </c>
    </row>
    <row r="58" spans="1:5" ht="20.100000000000001" customHeight="1">
      <c r="A58" s="335"/>
      <c r="B58" s="784"/>
      <c r="C58" s="243"/>
      <c r="D58" s="769">
        <f t="shared" ref="D58:D65" si="9">B58*C58</f>
        <v>0</v>
      </c>
      <c r="E58" s="770">
        <f t="shared" ref="E58:E65" si="10">B58-D58</f>
        <v>0</v>
      </c>
    </row>
    <row r="59" spans="1:5" ht="20.100000000000001" customHeight="1">
      <c r="A59" s="334"/>
      <c r="B59" s="768"/>
      <c r="C59" s="243"/>
      <c r="D59" s="769">
        <f t="shared" si="9"/>
        <v>0</v>
      </c>
      <c r="E59" s="770">
        <f t="shared" si="10"/>
        <v>0</v>
      </c>
    </row>
    <row r="60" spans="1:5" ht="20.100000000000001" customHeight="1">
      <c r="A60" s="334"/>
      <c r="B60" s="768"/>
      <c r="C60" s="243"/>
      <c r="D60" s="769">
        <f t="shared" si="9"/>
        <v>0</v>
      </c>
      <c r="E60" s="770">
        <f t="shared" si="10"/>
        <v>0</v>
      </c>
    </row>
    <row r="61" spans="1:5" ht="20.100000000000001" customHeight="1">
      <c r="A61" s="334"/>
      <c r="B61" s="768"/>
      <c r="C61" s="243"/>
      <c r="D61" s="769">
        <f t="shared" si="9"/>
        <v>0</v>
      </c>
      <c r="E61" s="770">
        <f t="shared" si="10"/>
        <v>0</v>
      </c>
    </row>
    <row r="62" spans="1:5" ht="20.100000000000001" customHeight="1">
      <c r="A62" s="334"/>
      <c r="B62" s="768"/>
      <c r="C62" s="243"/>
      <c r="D62" s="769">
        <f t="shared" si="9"/>
        <v>0</v>
      </c>
      <c r="E62" s="770">
        <f t="shared" si="10"/>
        <v>0</v>
      </c>
    </row>
    <row r="63" spans="1:5" ht="20.100000000000001" customHeight="1">
      <c r="A63" s="334"/>
      <c r="B63" s="768"/>
      <c r="C63" s="243"/>
      <c r="D63" s="769">
        <f t="shared" si="9"/>
        <v>0</v>
      </c>
      <c r="E63" s="770">
        <f t="shared" si="10"/>
        <v>0</v>
      </c>
    </row>
    <row r="64" spans="1:5" ht="20.100000000000001" customHeight="1">
      <c r="A64" s="334"/>
      <c r="B64" s="768"/>
      <c r="C64" s="243"/>
      <c r="D64" s="769">
        <f t="shared" si="9"/>
        <v>0</v>
      </c>
      <c r="E64" s="770">
        <f t="shared" si="10"/>
        <v>0</v>
      </c>
    </row>
    <row r="65" spans="1:5" ht="20.100000000000001" customHeight="1" thickBot="1">
      <c r="A65" s="771"/>
      <c r="B65" s="772"/>
      <c r="C65" s="773"/>
      <c r="D65" s="774">
        <f t="shared" si="9"/>
        <v>0</v>
      </c>
      <c r="E65" s="775">
        <f t="shared" si="10"/>
        <v>0</v>
      </c>
    </row>
  </sheetData>
  <sheetProtection algorithmName="SHA-512" hashValue="vK7aUZ7nMqKQgaXwUGqbIHmPA7LgO9K+obT5dTZEjr9+NguT+FZWWgKbFJLznCwBvNUt7YylIu73qvVtCbixSw==" saltValue="9fxupWWZl4hyPbjrlACiPA==" spinCount="100000" sheet="1" formatCells="0" formatColumns="0" formatRows="0" insertColumns="0" insertRows="0" insertHyperlinks="0" deleteColumns="0" deleteRows="0" sort="0" autoFilter="0" pivotTables="0"/>
  <mergeCells count="21">
    <mergeCell ref="A40:E40"/>
    <mergeCell ref="B54:E54"/>
    <mergeCell ref="A53:E53"/>
    <mergeCell ref="B41:E41"/>
    <mergeCell ref="A25:E25"/>
    <mergeCell ref="B1:E1"/>
    <mergeCell ref="B2:E2"/>
    <mergeCell ref="B3:C3"/>
    <mergeCell ref="D3:E3"/>
    <mergeCell ref="A8:E8"/>
    <mergeCell ref="A5:E5"/>
    <mergeCell ref="A7:E7"/>
    <mergeCell ref="A6:E6"/>
    <mergeCell ref="C9:E9"/>
    <mergeCell ref="C10:E10"/>
    <mergeCell ref="C11:E11"/>
    <mergeCell ref="A17:E17"/>
    <mergeCell ref="A13:D13"/>
    <mergeCell ref="A9:B9"/>
    <mergeCell ref="A10:B10"/>
    <mergeCell ref="A11:B11"/>
  </mergeCells>
  <hyperlinks>
    <hyperlink ref="F1" location="ins" display="Instructivo" xr:uid="{00000000-0004-0000-0F00-000000000000}"/>
  </hyperlinks>
  <printOptions horizontalCentered="1"/>
  <pageMargins left="0" right="0" top="0" bottom="0" header="0" footer="0"/>
  <pageSetup fitToHeight="0" orientation="landscape" horizontalDpi="4294967295" verticalDpi="4294967295"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2">
    <tabColor theme="5" tint="0.39997558519241921"/>
    <pageSetUpPr fitToPage="1"/>
  </sheetPr>
  <dimension ref="A1:L30"/>
  <sheetViews>
    <sheetView showGridLines="0" zoomScale="90" zoomScaleNormal="90" workbookViewId="0">
      <selection activeCell="D19" sqref="D19"/>
    </sheetView>
  </sheetViews>
  <sheetFormatPr defaultColWidth="13.5" defaultRowHeight="20.100000000000001" customHeight="1"/>
  <cols>
    <col min="1" max="3" width="30.83203125" style="649" customWidth="1"/>
    <col min="4" max="4" width="14.83203125" style="649" customWidth="1"/>
    <col min="5" max="5" width="19" style="649" customWidth="1"/>
    <col min="6" max="7" width="17" style="649" customWidth="1"/>
    <col min="8" max="8" width="17.83203125" style="649" customWidth="1"/>
    <col min="9" max="9" width="11.33203125" style="649" customWidth="1"/>
    <col min="10" max="10" width="11.1640625" style="649" customWidth="1"/>
    <col min="11" max="11" width="21.33203125" style="649" customWidth="1"/>
    <col min="12" max="16384" width="13.5" style="649"/>
  </cols>
  <sheetData>
    <row r="1" spans="1:12" ht="20.100000000000001" customHeight="1">
      <c r="A1" s="1188"/>
      <c r="B1" s="1189"/>
      <c r="C1" s="1102" t="s">
        <v>0</v>
      </c>
      <c r="D1" s="1103"/>
      <c r="E1" s="1103"/>
      <c r="F1" s="1103"/>
      <c r="G1" s="1103"/>
      <c r="H1" s="1103"/>
      <c r="I1" s="1103"/>
      <c r="J1" s="1104"/>
      <c r="K1" s="366" t="s">
        <v>104</v>
      </c>
      <c r="L1" s="65"/>
    </row>
    <row r="2" spans="1:12" ht="20.100000000000001" customHeight="1">
      <c r="A2" s="1190"/>
      <c r="B2" s="1191"/>
      <c r="C2" s="1105" t="s">
        <v>571</v>
      </c>
      <c r="D2" s="1106"/>
      <c r="E2" s="1106"/>
      <c r="F2" s="1106"/>
      <c r="G2" s="1106"/>
      <c r="H2" s="1106"/>
      <c r="I2" s="1106"/>
      <c r="J2" s="1107"/>
      <c r="K2" s="650" t="s">
        <v>33</v>
      </c>
    </row>
    <row r="3" spans="1:12" ht="20.100000000000001" customHeight="1" thickBot="1">
      <c r="A3" s="1192"/>
      <c r="B3" s="1193"/>
      <c r="C3" s="1083" t="s">
        <v>2</v>
      </c>
      <c r="D3" s="1084"/>
      <c r="E3" s="1084"/>
      <c r="F3" s="1108"/>
      <c r="G3" s="1083" t="s">
        <v>3</v>
      </c>
      <c r="H3" s="1084"/>
      <c r="I3" s="1084"/>
      <c r="J3" s="1085"/>
    </row>
    <row r="4" spans="1:12" ht="20.100000000000001" customHeight="1" thickBot="1"/>
    <row r="5" spans="1:12" ht="20.100000000000001" customHeight="1" thickBot="1">
      <c r="A5" s="989" t="s">
        <v>534</v>
      </c>
      <c r="B5" s="1194"/>
      <c r="C5" s="991"/>
      <c r="D5" s="992"/>
      <c r="E5" s="992"/>
      <c r="F5" s="992"/>
      <c r="G5" s="992"/>
      <c r="H5" s="992"/>
      <c r="I5" s="992"/>
      <c r="J5" s="993"/>
    </row>
    <row r="6" spans="1:12" ht="27" customHeight="1" thickBot="1">
      <c r="A6" s="989" t="s">
        <v>107</v>
      </c>
      <c r="B6" s="990"/>
      <c r="C6" s="1090" t="str">
        <f>'Plan Ejecución'!AE5</f>
        <v>CONTRATACIÓN DIRECTA</v>
      </c>
      <c r="D6" s="1091"/>
      <c r="E6" s="1091"/>
      <c r="F6" s="1091"/>
      <c r="G6" s="1091"/>
      <c r="H6" s="1091"/>
      <c r="I6" s="1091"/>
      <c r="J6" s="1092"/>
    </row>
    <row r="7" spans="1:12" ht="45.75" customHeight="1" thickBot="1">
      <c r="A7" s="989" t="s">
        <v>109</v>
      </c>
      <c r="B7" s="990"/>
      <c r="C7" s="1090" t="str">
        <f>'Plan Ejecución'!AE6</f>
        <v xml:space="preserve"> "“SOPORTE, MANTENIMIENTO Y ACTUALIZACIÓN DEL VISOR GEOGRÁFICO – AÑO 2025"</v>
      </c>
      <c r="D7" s="1091"/>
      <c r="E7" s="1091"/>
      <c r="F7" s="1091"/>
      <c r="G7" s="1091"/>
      <c r="H7" s="1091"/>
      <c r="I7" s="1091"/>
      <c r="J7" s="1092"/>
    </row>
    <row r="8" spans="1:12" ht="20.100000000000001" customHeight="1" thickBot="1"/>
    <row r="9" spans="1:12" ht="24" customHeight="1" thickBot="1">
      <c r="A9" s="1379" t="s">
        <v>572</v>
      </c>
      <c r="B9" s="1380"/>
      <c r="C9" s="1380"/>
      <c r="D9" s="1380"/>
      <c r="E9" s="1380"/>
      <c r="F9" s="1380"/>
      <c r="G9" s="1380"/>
      <c r="H9" s="1381"/>
      <c r="I9" s="1382" t="s">
        <v>573</v>
      </c>
      <c r="J9" s="1383"/>
    </row>
    <row r="10" spans="1:12" ht="37.5" customHeight="1">
      <c r="A10" s="651" t="s">
        <v>574</v>
      </c>
      <c r="B10" s="652" t="s">
        <v>575</v>
      </c>
      <c r="C10" s="1401" t="s">
        <v>576</v>
      </c>
      <c r="D10" s="652" t="s">
        <v>577</v>
      </c>
      <c r="E10" s="653" t="s">
        <v>578</v>
      </c>
      <c r="F10" s="653" t="s">
        <v>579</v>
      </c>
      <c r="G10" s="653" t="s">
        <v>580</v>
      </c>
      <c r="H10" s="653" t="s">
        <v>581</v>
      </c>
      <c r="I10" s="1384" t="s">
        <v>582</v>
      </c>
      <c r="J10" s="1386" t="s">
        <v>583</v>
      </c>
    </row>
    <row r="11" spans="1:12" ht="58.5" customHeight="1" thickBot="1">
      <c r="A11" s="654" t="s">
        <v>584</v>
      </c>
      <c r="B11" s="655" t="s">
        <v>585</v>
      </c>
      <c r="C11" s="1402"/>
      <c r="D11" s="655" t="s">
        <v>586</v>
      </c>
      <c r="E11" s="655" t="s">
        <v>587</v>
      </c>
      <c r="F11" s="655" t="s">
        <v>588</v>
      </c>
      <c r="G11" s="655" t="s">
        <v>589</v>
      </c>
      <c r="H11" s="655" t="s">
        <v>589</v>
      </c>
      <c r="I11" s="1385"/>
      <c r="J11" s="1387"/>
    </row>
    <row r="12" spans="1:12" ht="44.1" customHeight="1">
      <c r="A12" s="792"/>
      <c r="B12" s="793"/>
      <c r="C12" s="794"/>
      <c r="D12" s="795"/>
      <c r="E12" s="796"/>
      <c r="F12" s="797"/>
      <c r="G12" s="796"/>
      <c r="H12" s="796"/>
      <c r="I12" s="798"/>
      <c r="J12" s="799"/>
    </row>
    <row r="13" spans="1:12" ht="44.1" customHeight="1">
      <c r="A13" s="656"/>
      <c r="B13" s="657"/>
      <c r="C13" s="658"/>
      <c r="D13" s="659"/>
      <c r="E13" s="660"/>
      <c r="F13" s="661"/>
      <c r="G13" s="660"/>
      <c r="H13" s="660"/>
      <c r="I13" s="662"/>
      <c r="J13" s="663"/>
    </row>
    <row r="14" spans="1:12" ht="44.1" customHeight="1">
      <c r="A14" s="656"/>
      <c r="B14" s="657"/>
      <c r="C14" s="658"/>
      <c r="D14" s="659"/>
      <c r="E14" s="660"/>
      <c r="F14" s="661"/>
      <c r="G14" s="660"/>
      <c r="H14" s="660"/>
      <c r="I14" s="662"/>
      <c r="J14" s="663"/>
    </row>
    <row r="15" spans="1:12" ht="44.1" customHeight="1" thickBot="1">
      <c r="A15" s="664"/>
      <c r="B15" s="665"/>
      <c r="C15" s="665"/>
      <c r="D15" s="666"/>
      <c r="E15" s="667"/>
      <c r="F15" s="668"/>
      <c r="G15" s="667"/>
      <c r="H15" s="667"/>
      <c r="I15" s="669"/>
      <c r="J15" s="670"/>
    </row>
    <row r="16" spans="1:12" ht="18" customHeight="1" thickBot="1">
      <c r="A16" s="671"/>
      <c r="B16" s="672"/>
      <c r="C16" s="672"/>
      <c r="D16" s="673"/>
      <c r="E16" s="674"/>
      <c r="F16" s="675"/>
      <c r="G16" s="674"/>
      <c r="H16" s="674"/>
      <c r="I16" s="676"/>
      <c r="J16" s="676"/>
    </row>
    <row r="17" spans="1:10" ht="24" customHeight="1" thickBot="1">
      <c r="A17" s="1379" t="s">
        <v>590</v>
      </c>
      <c r="B17" s="1380"/>
      <c r="C17" s="1380"/>
      <c r="D17" s="1380"/>
      <c r="E17" s="1380"/>
      <c r="F17" s="1380"/>
      <c r="G17" s="1380"/>
      <c r="H17" s="1381"/>
      <c r="I17" s="1382" t="s">
        <v>573</v>
      </c>
      <c r="J17" s="1383"/>
    </row>
    <row r="18" spans="1:10" ht="44.1" customHeight="1">
      <c r="A18" s="651" t="s">
        <v>574</v>
      </c>
      <c r="B18" s="652" t="s">
        <v>575</v>
      </c>
      <c r="C18" s="1401" t="s">
        <v>576</v>
      </c>
      <c r="D18" s="652" t="s">
        <v>577</v>
      </c>
      <c r="E18" s="653" t="s">
        <v>578</v>
      </c>
      <c r="F18" s="653" t="s">
        <v>579</v>
      </c>
      <c r="G18" s="653" t="s">
        <v>580</v>
      </c>
      <c r="H18" s="653" t="s">
        <v>581</v>
      </c>
      <c r="I18" s="1384" t="s">
        <v>582</v>
      </c>
      <c r="J18" s="1386" t="s">
        <v>583</v>
      </c>
    </row>
    <row r="19" spans="1:10" ht="74.25" customHeight="1" thickBot="1">
      <c r="A19" s="654" t="s">
        <v>584</v>
      </c>
      <c r="B19" s="655" t="s">
        <v>585</v>
      </c>
      <c r="C19" s="1402"/>
      <c r="D19" s="655" t="s">
        <v>586</v>
      </c>
      <c r="E19" s="655" t="s">
        <v>591</v>
      </c>
      <c r="F19" s="655" t="s">
        <v>592</v>
      </c>
      <c r="G19" s="655" t="s">
        <v>593</v>
      </c>
      <c r="H19" s="655" t="s">
        <v>593</v>
      </c>
      <c r="I19" s="1385"/>
      <c r="J19" s="1387"/>
    </row>
    <row r="20" spans="1:10" ht="44.1" customHeight="1">
      <c r="A20" s="792"/>
      <c r="B20" s="793"/>
      <c r="C20" s="794"/>
      <c r="D20" s="795"/>
      <c r="E20" s="796"/>
      <c r="F20" s="797"/>
      <c r="G20" s="800"/>
      <c r="H20" s="800"/>
      <c r="I20" s="798"/>
      <c r="J20" s="799"/>
    </row>
    <row r="21" spans="1:10" ht="44.1" customHeight="1">
      <c r="A21" s="656"/>
      <c r="B21" s="657"/>
      <c r="C21" s="658"/>
      <c r="D21" s="659"/>
      <c r="E21" s="660"/>
      <c r="F21" s="661"/>
      <c r="G21" s="660"/>
      <c r="H21" s="660"/>
      <c r="I21" s="662"/>
      <c r="J21" s="663"/>
    </row>
    <row r="22" spans="1:10" ht="44.1" customHeight="1">
      <c r="A22" s="656"/>
      <c r="B22" s="657"/>
      <c r="C22" s="658"/>
      <c r="D22" s="659"/>
      <c r="E22" s="660"/>
      <c r="F22" s="661"/>
      <c r="G22" s="660"/>
      <c r="H22" s="660"/>
      <c r="I22" s="662"/>
      <c r="J22" s="663"/>
    </row>
    <row r="23" spans="1:10" ht="44.1" customHeight="1" thickBot="1">
      <c r="A23" s="664"/>
      <c r="B23" s="665"/>
      <c r="C23" s="665"/>
      <c r="D23" s="666"/>
      <c r="E23" s="667"/>
      <c r="F23" s="668"/>
      <c r="G23" s="667"/>
      <c r="H23" s="667"/>
      <c r="I23" s="669"/>
      <c r="J23" s="670"/>
    </row>
    <row r="24" spans="1:10" ht="21.95" customHeight="1" thickBot="1">
      <c r="A24" s="1394"/>
      <c r="B24" s="1394"/>
      <c r="C24" s="1394"/>
      <c r="D24" s="1394"/>
      <c r="E24" s="1394"/>
      <c r="F24" s="1394"/>
      <c r="G24" s="1394"/>
      <c r="H24" s="1394"/>
      <c r="I24" s="1394"/>
      <c r="J24" s="1394"/>
    </row>
    <row r="25" spans="1:10" ht="20.100000000000001" customHeight="1">
      <c r="A25" s="1388" t="s">
        <v>594</v>
      </c>
      <c r="B25" s="1389"/>
      <c r="C25" s="1389"/>
      <c r="D25" s="1389"/>
      <c r="E25" s="1389"/>
      <c r="F25" s="1389"/>
      <c r="G25" s="1389"/>
      <c r="H25" s="1389"/>
      <c r="I25" s="1389"/>
      <c r="J25" s="1390"/>
    </row>
    <row r="26" spans="1:10" ht="20.100000000000001" customHeight="1">
      <c r="A26" s="1391" t="s">
        <v>595</v>
      </c>
      <c r="B26" s="1392"/>
      <c r="C26" s="1392"/>
      <c r="D26" s="1392"/>
      <c r="E26" s="1392"/>
      <c r="F26" s="1392"/>
      <c r="G26" s="1392"/>
      <c r="H26" s="1392"/>
      <c r="I26" s="1392"/>
      <c r="J26" s="1393"/>
    </row>
    <row r="27" spans="1:10" ht="20.100000000000001" customHeight="1">
      <c r="A27" s="1395" t="s">
        <v>596</v>
      </c>
      <c r="B27" s="1396"/>
      <c r="C27" s="1396"/>
      <c r="D27" s="1396"/>
      <c r="E27" s="1396"/>
      <c r="F27" s="1396"/>
      <c r="G27" s="1396"/>
      <c r="H27" s="1396"/>
      <c r="I27" s="1396"/>
      <c r="J27" s="1397"/>
    </row>
    <row r="28" spans="1:10" ht="73.5" customHeight="1">
      <c r="A28" s="1398" t="s">
        <v>597</v>
      </c>
      <c r="B28" s="1399"/>
      <c r="C28" s="1399"/>
      <c r="D28" s="1399"/>
      <c r="E28" s="1399"/>
      <c r="F28" s="1399"/>
      <c r="G28" s="1399"/>
      <c r="H28" s="1399"/>
      <c r="I28" s="1399"/>
      <c r="J28" s="1400"/>
    </row>
    <row r="29" spans="1:10" ht="20.100000000000001" customHeight="1">
      <c r="A29" s="1398" t="s">
        <v>598</v>
      </c>
      <c r="B29" s="1399"/>
      <c r="C29" s="1399"/>
      <c r="D29" s="1399"/>
      <c r="E29" s="1399"/>
      <c r="F29" s="1399"/>
      <c r="G29" s="1399"/>
      <c r="H29" s="1399"/>
      <c r="I29" s="1399"/>
      <c r="J29" s="1400"/>
    </row>
    <row r="30" spans="1:10" ht="20.100000000000001" customHeight="1" thickBot="1">
      <c r="A30" s="1376" t="s">
        <v>599</v>
      </c>
      <c r="B30" s="1377"/>
      <c r="C30" s="1377"/>
      <c r="D30" s="1377"/>
      <c r="E30" s="1377"/>
      <c r="F30" s="1377"/>
      <c r="G30" s="1377"/>
      <c r="H30" s="1377"/>
      <c r="I30" s="1377"/>
      <c r="J30" s="1378"/>
    </row>
  </sheetData>
  <sheetProtection algorithmName="SHA-512" hashValue="nly8LVJb+pESvUmpT6Xv1ztfQ/F7wcVddlHJKfAOa95adFnPktfVMexjit9ulvdjNFDi6cJihVyGtMbLl0OGWA==" saltValue="udOkvJ8e/Y5we8COXpKN2g==" spinCount="100000" sheet="1" formatCells="0" formatColumns="0" formatRows="0" insertColumns="0" insertRows="0" insertHyperlinks="0" deleteColumns="0" deleteRows="0" sort="0" autoFilter="0" pivotTables="0"/>
  <mergeCells count="28">
    <mergeCell ref="A1:B3"/>
    <mergeCell ref="A5:B5"/>
    <mergeCell ref="A6:B6"/>
    <mergeCell ref="C10:C11"/>
    <mergeCell ref="C5:J5"/>
    <mergeCell ref="C6:J6"/>
    <mergeCell ref="C7:J7"/>
    <mergeCell ref="C1:J1"/>
    <mergeCell ref="C2:J2"/>
    <mergeCell ref="C3:F3"/>
    <mergeCell ref="G3:J3"/>
    <mergeCell ref="A7:B7"/>
    <mergeCell ref="A30:J30"/>
    <mergeCell ref="A9:H9"/>
    <mergeCell ref="I9:J9"/>
    <mergeCell ref="I10:I11"/>
    <mergeCell ref="J10:J11"/>
    <mergeCell ref="A25:J25"/>
    <mergeCell ref="A26:J26"/>
    <mergeCell ref="A24:J24"/>
    <mergeCell ref="A27:J27"/>
    <mergeCell ref="A28:J28"/>
    <mergeCell ref="A29:J29"/>
    <mergeCell ref="A17:H17"/>
    <mergeCell ref="I17:J17"/>
    <mergeCell ref="C18:C19"/>
    <mergeCell ref="I18:I19"/>
    <mergeCell ref="J18:J19"/>
  </mergeCells>
  <hyperlinks>
    <hyperlink ref="K1" location="ins" display="Instructivo" xr:uid="{00000000-0004-0000-1000-000000000000}"/>
    <hyperlink ref="K2" location="RFO" display="Requisitos habilitantes capacidad financiera y organizacional" xr:uid="{00000000-0004-0000-1000-000001000000}"/>
  </hyperlinks>
  <printOptions horizontalCentered="1"/>
  <pageMargins left="0" right="0" top="0" bottom="0" header="0" footer="0"/>
  <pageSetup scale="75" fitToHeight="0" orientation="landscape"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9">
    <tabColor theme="5" tint="0.39997558519241921"/>
    <pageSetUpPr fitToPage="1"/>
  </sheetPr>
  <dimension ref="A1:P80"/>
  <sheetViews>
    <sheetView showGridLines="0" zoomScaleNormal="100" workbookViewId="0">
      <selection activeCell="I18" sqref="A13:I18"/>
    </sheetView>
  </sheetViews>
  <sheetFormatPr defaultColWidth="11.5" defaultRowHeight="20.100000000000001" customHeight="1"/>
  <cols>
    <col min="1" max="1" width="18.83203125" style="196" customWidth="1"/>
    <col min="2" max="2" width="19.5" style="196" customWidth="1"/>
    <col min="3" max="4" width="18.83203125" style="196" customWidth="1"/>
    <col min="5" max="5" width="15.6640625" style="212" customWidth="1"/>
    <col min="6" max="14" width="18.83203125" style="74" customWidth="1"/>
    <col min="15" max="15" width="16.83203125" style="74" customWidth="1"/>
    <col min="16" max="16384" width="11.5" style="74"/>
  </cols>
  <sheetData>
    <row r="1" spans="1:16" ht="20.100000000000001" customHeight="1">
      <c r="A1" s="1188"/>
      <c r="B1" s="1189"/>
      <c r="C1" s="1189"/>
      <c r="D1" s="1189"/>
      <c r="E1" s="1078" t="s">
        <v>0</v>
      </c>
      <c r="F1" s="1078"/>
      <c r="G1" s="1078"/>
      <c r="H1" s="1078"/>
      <c r="I1" s="1078"/>
      <c r="J1" s="1078"/>
      <c r="K1" s="1078"/>
      <c r="L1" s="1078"/>
      <c r="M1" s="1078"/>
      <c r="N1" s="1079"/>
      <c r="O1" s="366" t="s">
        <v>104</v>
      </c>
      <c r="P1" s="65"/>
    </row>
    <row r="2" spans="1:16" ht="20.100000000000001" customHeight="1">
      <c r="A2" s="1190"/>
      <c r="B2" s="1191"/>
      <c r="C2" s="1191"/>
      <c r="D2" s="1191"/>
      <c r="E2" s="1080" t="s">
        <v>600</v>
      </c>
      <c r="F2" s="1080"/>
      <c r="G2" s="1080"/>
      <c r="H2" s="1080"/>
      <c r="I2" s="1080"/>
      <c r="J2" s="1080"/>
      <c r="K2" s="1080"/>
      <c r="L2" s="1080"/>
      <c r="M2" s="1080"/>
      <c r="N2" s="1081"/>
    </row>
    <row r="3" spans="1:16" ht="20.100000000000001" customHeight="1" thickBot="1">
      <c r="A3" s="1192"/>
      <c r="B3" s="1193"/>
      <c r="C3" s="1193"/>
      <c r="D3" s="1193"/>
      <c r="E3" s="1082" t="s">
        <v>2</v>
      </c>
      <c r="F3" s="1082"/>
      <c r="G3" s="1082"/>
      <c r="H3" s="1082"/>
      <c r="I3" s="1082"/>
      <c r="J3" s="1082" t="s">
        <v>3</v>
      </c>
      <c r="K3" s="1082"/>
      <c r="L3" s="1082"/>
      <c r="M3" s="1082"/>
      <c r="N3" s="1123"/>
    </row>
    <row r="4" spans="1:16" ht="20.100000000000001" customHeight="1" thickBot="1">
      <c r="A4" s="74"/>
      <c r="B4" s="70"/>
      <c r="C4" s="70"/>
      <c r="D4" s="70"/>
      <c r="E4" s="70"/>
    </row>
    <row r="5" spans="1:16" ht="30.75" customHeight="1" thickBot="1">
      <c r="A5" s="1366" t="s">
        <v>601</v>
      </c>
      <c r="B5" s="1421"/>
      <c r="C5" s="1421"/>
      <c r="D5" s="1421"/>
      <c r="E5" s="1421"/>
      <c r="F5" s="1421"/>
      <c r="G5" s="1421"/>
      <c r="H5" s="1421"/>
      <c r="I5" s="1421"/>
      <c r="J5" s="1421"/>
      <c r="K5" s="1421"/>
      <c r="L5" s="1421"/>
      <c r="M5" s="1421"/>
      <c r="N5" s="1422"/>
    </row>
    <row r="6" spans="1:16" ht="18" customHeight="1" thickBot="1">
      <c r="A6" s="1369"/>
      <c r="B6" s="1369"/>
      <c r="C6" s="1369"/>
      <c r="D6" s="1369"/>
      <c r="E6" s="1369"/>
    </row>
    <row r="7" spans="1:16" s="70" customFormat="1" ht="20.100000000000001" customHeight="1" thickBot="1">
      <c r="A7" s="989" t="s">
        <v>534</v>
      </c>
      <c r="B7" s="990"/>
      <c r="C7" s="1194"/>
      <c r="D7" s="991"/>
      <c r="E7" s="992"/>
      <c r="F7" s="992"/>
      <c r="G7" s="992"/>
      <c r="H7" s="992"/>
      <c r="I7" s="992"/>
      <c r="J7" s="992"/>
      <c r="K7" s="992"/>
      <c r="L7" s="992"/>
      <c r="M7" s="992"/>
      <c r="N7" s="993"/>
    </row>
    <row r="8" spans="1:16" s="70" customFormat="1" ht="20.100000000000001" customHeight="1" thickBot="1">
      <c r="A8" s="989" t="s">
        <v>107</v>
      </c>
      <c r="B8" s="990"/>
      <c r="C8" s="1194"/>
      <c r="D8" s="1090" t="str">
        <f>'Plan Ejecución'!AE5</f>
        <v>CONTRATACIÓN DIRECTA</v>
      </c>
      <c r="E8" s="1091"/>
      <c r="F8" s="1091"/>
      <c r="G8" s="1091"/>
      <c r="H8" s="1091"/>
      <c r="I8" s="1091"/>
      <c r="J8" s="1091"/>
      <c r="K8" s="1091"/>
      <c r="L8" s="1091"/>
      <c r="M8" s="1091"/>
      <c r="N8" s="1092"/>
    </row>
    <row r="9" spans="1:16" ht="39" customHeight="1" thickBot="1">
      <c r="A9" s="989" t="s">
        <v>109</v>
      </c>
      <c r="B9" s="990"/>
      <c r="C9" s="1194"/>
      <c r="D9" s="1090" t="str">
        <f>'Plan Ejecución'!AE6</f>
        <v xml:space="preserve"> "“SOPORTE, MANTENIMIENTO Y ACTUALIZACIÓN DEL VISOR GEOGRÁFICO – AÑO 2025"</v>
      </c>
      <c r="E9" s="1091"/>
      <c r="F9" s="1091"/>
      <c r="G9" s="1091"/>
      <c r="H9" s="1091"/>
      <c r="I9" s="1091"/>
      <c r="J9" s="1091"/>
      <c r="K9" s="1091"/>
      <c r="L9" s="1091"/>
      <c r="M9" s="1091"/>
      <c r="N9" s="1092"/>
    </row>
    <row r="10" spans="1:16" ht="20.100000000000001" customHeight="1" thickBot="1">
      <c r="A10" s="237"/>
      <c r="B10" s="199"/>
      <c r="C10" s="199"/>
      <c r="D10" s="199"/>
      <c r="E10" s="199"/>
    </row>
    <row r="11" spans="1:16" ht="28.5" customHeight="1" thickBot="1">
      <c r="A11" s="1405" t="s">
        <v>602</v>
      </c>
      <c r="B11" s="1406"/>
      <c r="C11" s="1407"/>
      <c r="D11" s="238"/>
      <c r="E11" s="199"/>
    </row>
    <row r="12" spans="1:16" ht="34.5" customHeight="1" thickBot="1">
      <c r="A12" s="349" t="s">
        <v>603</v>
      </c>
      <c r="B12" s="350" t="s">
        <v>604</v>
      </c>
      <c r="C12" s="358" t="s">
        <v>605</v>
      </c>
      <c r="D12" s="239"/>
      <c r="E12" s="74"/>
    </row>
    <row r="13" spans="1:16" ht="20.100000000000001" customHeight="1">
      <c r="A13" s="801"/>
      <c r="B13" s="802"/>
      <c r="C13" s="803"/>
      <c r="D13" s="240"/>
      <c r="E13" s="239"/>
    </row>
    <row r="14" spans="1:16" ht="20.100000000000001" customHeight="1">
      <c r="A14" s="242"/>
      <c r="B14" s="804"/>
      <c r="C14" s="244"/>
      <c r="D14" s="240"/>
      <c r="E14" s="241"/>
    </row>
    <row r="15" spans="1:16" ht="20.100000000000001" customHeight="1">
      <c r="A15" s="242"/>
      <c r="B15" s="804"/>
      <c r="C15" s="244"/>
      <c r="D15" s="240"/>
      <c r="E15" s="241"/>
    </row>
    <row r="16" spans="1:16" ht="20.100000000000001" customHeight="1">
      <c r="A16" s="242"/>
      <c r="B16" s="804"/>
      <c r="C16" s="244"/>
      <c r="D16" s="240"/>
      <c r="E16" s="241"/>
    </row>
    <row r="17" spans="1:7" ht="20.100000000000001" customHeight="1">
      <c r="A17" s="242"/>
      <c r="B17" s="804"/>
      <c r="C17" s="244"/>
      <c r="D17" s="240"/>
      <c r="E17" s="241"/>
    </row>
    <row r="18" spans="1:7" ht="20.100000000000001" customHeight="1">
      <c r="A18" s="242"/>
      <c r="B18" s="804"/>
      <c r="C18" s="244"/>
      <c r="D18" s="240"/>
      <c r="E18" s="241"/>
    </row>
    <row r="19" spans="1:7" ht="20.100000000000001" customHeight="1">
      <c r="A19" s="242"/>
      <c r="B19" s="804"/>
      <c r="C19" s="244"/>
      <c r="D19" s="240"/>
      <c r="E19" s="199"/>
    </row>
    <row r="20" spans="1:7" ht="20.100000000000001" customHeight="1">
      <c r="A20" s="242"/>
      <c r="B20" s="243"/>
      <c r="C20" s="244"/>
      <c r="D20" s="240"/>
      <c r="E20" s="74"/>
    </row>
    <row r="21" spans="1:7" ht="20.100000000000001" customHeight="1" thickBot="1">
      <c r="A21" s="245"/>
      <c r="B21" s="246"/>
      <c r="C21" s="247"/>
      <c r="D21" s="240"/>
      <c r="E21" s="74"/>
    </row>
    <row r="22" spans="1:7" ht="20.100000000000001" customHeight="1">
      <c r="A22" s="1408" t="s">
        <v>606</v>
      </c>
      <c r="B22" s="1409"/>
      <c r="C22" s="252" t="str">
        <f>IFERROR(MEDIAN(C13:C21),"")</f>
        <v/>
      </c>
      <c r="D22" s="240"/>
      <c r="E22" s="74"/>
    </row>
    <row r="23" spans="1:7" ht="20.100000000000001" customHeight="1">
      <c r="A23" s="1410" t="s">
        <v>607</v>
      </c>
      <c r="B23" s="1411"/>
      <c r="C23" s="253" t="str">
        <f>IFERROR(_xlfn.STDEV.P(C13:C21),"")</f>
        <v/>
      </c>
      <c r="D23" s="240"/>
      <c r="E23" s="74"/>
    </row>
    <row r="24" spans="1:7" ht="20.100000000000001" customHeight="1" thickBot="1">
      <c r="A24" s="1419" t="s">
        <v>608</v>
      </c>
      <c r="B24" s="1420"/>
      <c r="C24" s="254" t="str">
        <f>IFERROR(C22-C23,"")</f>
        <v/>
      </c>
      <c r="D24" s="240"/>
      <c r="E24" s="74"/>
    </row>
    <row r="25" spans="1:7" ht="20.100000000000001" customHeight="1" thickBot="1">
      <c r="A25" s="248"/>
      <c r="B25" s="249"/>
      <c r="C25" s="250"/>
      <c r="D25" s="240"/>
      <c r="E25" s="74"/>
    </row>
    <row r="26" spans="1:7" ht="20.100000000000001" customHeight="1" thickBot="1">
      <c r="A26" s="1412" t="s">
        <v>609</v>
      </c>
      <c r="B26" s="1413"/>
      <c r="C26" s="1413"/>
      <c r="D26" s="1413"/>
      <c r="E26" s="1413"/>
      <c r="F26" s="1414"/>
      <c r="G26" s="239"/>
    </row>
    <row r="27" spans="1:7" ht="20.100000000000001" customHeight="1">
      <c r="A27" s="1359" t="s">
        <v>610</v>
      </c>
      <c r="B27" s="1360"/>
      <c r="C27" s="1361"/>
      <c r="D27" s="1359" t="s">
        <v>611</v>
      </c>
      <c r="E27" s="1360"/>
      <c r="F27" s="1361"/>
      <c r="G27" s="239"/>
    </row>
    <row r="28" spans="1:7" ht="30.75" customHeight="1" thickBot="1">
      <c r="A28" s="355" t="s">
        <v>603</v>
      </c>
      <c r="B28" s="356" t="s">
        <v>604</v>
      </c>
      <c r="C28" s="357" t="s">
        <v>612</v>
      </c>
      <c r="D28" s="355" t="s">
        <v>603</v>
      </c>
      <c r="E28" s="356" t="s">
        <v>604</v>
      </c>
      <c r="F28" s="357" t="s">
        <v>612</v>
      </c>
      <c r="G28" s="239"/>
    </row>
    <row r="29" spans="1:7" ht="20.100000000000001" customHeight="1">
      <c r="A29" s="801"/>
      <c r="B29" s="802"/>
      <c r="C29" s="803"/>
      <c r="D29" s="801"/>
      <c r="E29" s="802"/>
      <c r="F29" s="803"/>
      <c r="G29" s="248"/>
    </row>
    <row r="30" spans="1:7" ht="20.100000000000001" customHeight="1">
      <c r="A30" s="242"/>
      <c r="B30" s="804"/>
      <c r="C30" s="244"/>
      <c r="D30" s="242"/>
      <c r="E30" s="804"/>
      <c r="F30" s="244"/>
      <c r="G30" s="248"/>
    </row>
    <row r="31" spans="1:7" ht="20.100000000000001" customHeight="1">
      <c r="A31" s="242"/>
      <c r="B31" s="804"/>
      <c r="C31" s="244"/>
      <c r="D31" s="242"/>
      <c r="E31" s="804"/>
      <c r="F31" s="244"/>
      <c r="G31" s="248"/>
    </row>
    <row r="32" spans="1:7" ht="20.100000000000001" customHeight="1">
      <c r="A32" s="242"/>
      <c r="B32" s="804"/>
      <c r="C32" s="244"/>
      <c r="D32" s="242"/>
      <c r="E32" s="804"/>
      <c r="F32" s="244"/>
      <c r="G32" s="248"/>
    </row>
    <row r="33" spans="1:14" ht="20.100000000000001" customHeight="1">
      <c r="A33" s="242"/>
      <c r="B33" s="804"/>
      <c r="C33" s="244"/>
      <c r="D33" s="242"/>
      <c r="E33" s="804"/>
      <c r="F33" s="244"/>
      <c r="G33" s="248"/>
    </row>
    <row r="34" spans="1:14" ht="20.100000000000001" customHeight="1">
      <c r="A34" s="242"/>
      <c r="B34" s="804"/>
      <c r="C34" s="244"/>
      <c r="D34" s="242"/>
      <c r="E34" s="804"/>
      <c r="F34" s="244"/>
      <c r="G34" s="248"/>
    </row>
    <row r="35" spans="1:14" ht="20.100000000000001" customHeight="1">
      <c r="A35" s="242"/>
      <c r="B35" s="804"/>
      <c r="C35" s="244"/>
      <c r="D35" s="242"/>
      <c r="E35" s="804"/>
      <c r="F35" s="244"/>
      <c r="G35" s="248"/>
    </row>
    <row r="36" spans="1:14" ht="20.100000000000001" customHeight="1">
      <c r="A36" s="242"/>
      <c r="B36" s="243"/>
      <c r="C36" s="244"/>
      <c r="D36" s="242"/>
      <c r="E36" s="243"/>
      <c r="F36" s="244"/>
      <c r="G36" s="248"/>
    </row>
    <row r="37" spans="1:14" ht="20.100000000000001" customHeight="1" thickBot="1">
      <c r="A37" s="245"/>
      <c r="B37" s="246"/>
      <c r="C37" s="247"/>
      <c r="D37" s="245"/>
      <c r="E37" s="246"/>
      <c r="F37" s="247"/>
      <c r="G37" s="248"/>
    </row>
    <row r="38" spans="1:14" ht="20.100000000000001" customHeight="1">
      <c r="A38" s="1415" t="s">
        <v>606</v>
      </c>
      <c r="B38" s="1416"/>
      <c r="C38" s="252" t="str">
        <f>IFERROR(MEDIAN(C29:C37),"")</f>
        <v/>
      </c>
      <c r="D38" s="1415" t="s">
        <v>606</v>
      </c>
      <c r="E38" s="1416"/>
      <c r="F38" s="252" t="str">
        <f>IFERROR(MEDIAN(F29:F37),"")</f>
        <v/>
      </c>
      <c r="G38" s="248"/>
    </row>
    <row r="39" spans="1:14" ht="20.100000000000001" customHeight="1">
      <c r="A39" s="1417" t="s">
        <v>607</v>
      </c>
      <c r="B39" s="1418"/>
      <c r="C39" s="253" t="str">
        <f>IFERROR(_xlfn.STDEV.P(C29:C37),"")</f>
        <v/>
      </c>
      <c r="D39" s="1417" t="s">
        <v>607</v>
      </c>
      <c r="E39" s="1418"/>
      <c r="F39" s="253" t="str">
        <f>IFERROR(_xlfn.STDEV.P(F29:F37),"")</f>
        <v/>
      </c>
      <c r="G39" s="248"/>
    </row>
    <row r="40" spans="1:14" ht="20.100000000000001" customHeight="1" thickBot="1">
      <c r="A40" s="1403" t="s">
        <v>608</v>
      </c>
      <c r="B40" s="1404"/>
      <c r="C40" s="254" t="str">
        <f>IFERROR(C38-C39,"")</f>
        <v/>
      </c>
      <c r="D40" s="1403" t="s">
        <v>608</v>
      </c>
      <c r="E40" s="1404"/>
      <c r="F40" s="254" t="str">
        <f>IFERROR(F38-F39,"")</f>
        <v/>
      </c>
      <c r="G40" s="248"/>
    </row>
    <row r="41" spans="1:14" ht="20.100000000000001" customHeight="1" thickBot="1">
      <c r="A41" s="241"/>
      <c r="B41" s="248"/>
      <c r="C41" s="249"/>
      <c r="D41" s="250"/>
      <c r="E41" s="240"/>
    </row>
    <row r="42" spans="1:14" ht="20.100000000000001" customHeight="1" thickBot="1">
      <c r="A42" s="1412" t="s">
        <v>613</v>
      </c>
      <c r="B42" s="1413"/>
      <c r="C42" s="1413"/>
      <c r="D42" s="1413"/>
      <c r="E42" s="1413"/>
      <c r="F42" s="1413"/>
      <c r="G42" s="1413"/>
      <c r="H42" s="1413"/>
      <c r="I42" s="1413"/>
      <c r="J42" s="1413"/>
      <c r="K42" s="1413"/>
      <c r="L42" s="1413"/>
      <c r="M42" s="1413"/>
      <c r="N42" s="1414"/>
    </row>
    <row r="43" spans="1:14" ht="50.25" customHeight="1" thickBot="1">
      <c r="A43" s="349" t="s">
        <v>614</v>
      </c>
      <c r="B43" s="350"/>
      <c r="C43" s="350"/>
      <c r="D43" s="350"/>
      <c r="E43" s="350"/>
      <c r="F43" s="350"/>
      <c r="G43" s="350"/>
      <c r="H43" s="350"/>
      <c r="I43" s="350"/>
      <c r="J43" s="350"/>
      <c r="K43" s="351"/>
      <c r="L43" s="352" t="s">
        <v>606</v>
      </c>
      <c r="M43" s="353" t="s">
        <v>607</v>
      </c>
      <c r="N43" s="354" t="s">
        <v>608</v>
      </c>
    </row>
    <row r="44" spans="1:14" ht="20.100000000000001" customHeight="1">
      <c r="A44" s="729"/>
      <c r="B44" s="344"/>
      <c r="C44" s="344"/>
      <c r="D44" s="344"/>
      <c r="E44" s="344"/>
      <c r="F44" s="344"/>
      <c r="G44" s="344"/>
      <c r="H44" s="344"/>
      <c r="I44" s="344"/>
      <c r="J44" s="344"/>
      <c r="K44" s="345"/>
      <c r="L44" s="346" t="str">
        <f>IFERROR(MEDIAN(B44:K44),"")</f>
        <v/>
      </c>
      <c r="M44" s="347" t="str">
        <f>IFERROR(_xlfn.STDEV.P(B44:K44),"")</f>
        <v/>
      </c>
      <c r="N44" s="348" t="str">
        <f>IFERROR(L44-M44,"")</f>
        <v/>
      </c>
    </row>
    <row r="45" spans="1:14" ht="20.100000000000001" customHeight="1">
      <c r="A45" s="334"/>
      <c r="B45" s="251"/>
      <c r="C45" s="251"/>
      <c r="D45" s="251"/>
      <c r="E45" s="251"/>
      <c r="F45" s="251"/>
      <c r="G45" s="251"/>
      <c r="H45" s="251"/>
      <c r="I45" s="251"/>
      <c r="J45" s="251"/>
      <c r="K45" s="340"/>
      <c r="L45" s="342" t="str">
        <f t="shared" ref="L45:L53" si="0">IFERROR(MEDIAN(B45:K45),"")</f>
        <v/>
      </c>
      <c r="M45" s="255" t="str">
        <f>IFERROR(_xlfn.STDEV.P(B45:K45),"")</f>
        <v/>
      </c>
      <c r="N45" s="333" t="str">
        <f t="shared" ref="N45:N53" si="1">IFERROR(L45-M45,"")</f>
        <v/>
      </c>
    </row>
    <row r="46" spans="1:14" ht="20.100000000000001" customHeight="1">
      <c r="A46" s="334"/>
      <c r="B46" s="251"/>
      <c r="C46" s="251"/>
      <c r="D46" s="251"/>
      <c r="E46" s="251"/>
      <c r="F46" s="251"/>
      <c r="G46" s="251"/>
      <c r="H46" s="251"/>
      <c r="I46" s="251"/>
      <c r="J46" s="251"/>
      <c r="K46" s="340"/>
      <c r="L46" s="342" t="str">
        <f t="shared" si="0"/>
        <v/>
      </c>
      <c r="M46" s="255" t="str">
        <f>IFERROR(_xlfn.STDEV.P(B46:K46),"")</f>
        <v/>
      </c>
      <c r="N46" s="333" t="str">
        <f t="shared" si="1"/>
        <v/>
      </c>
    </row>
    <row r="47" spans="1:14" ht="20.100000000000001" customHeight="1">
      <c r="A47" s="334"/>
      <c r="B47" s="251"/>
      <c r="C47" s="251"/>
      <c r="D47" s="251"/>
      <c r="E47" s="251"/>
      <c r="F47" s="251"/>
      <c r="G47" s="251"/>
      <c r="H47" s="251"/>
      <c r="I47" s="251"/>
      <c r="J47" s="251"/>
      <c r="K47" s="340"/>
      <c r="L47" s="342" t="str">
        <f t="shared" si="0"/>
        <v/>
      </c>
      <c r="M47" s="255" t="str">
        <f t="shared" ref="M47:M53" si="2">IFERROR(_xlfn.STDEV.P(B47:K47),"")</f>
        <v/>
      </c>
      <c r="N47" s="333" t="str">
        <f t="shared" si="1"/>
        <v/>
      </c>
    </row>
    <row r="48" spans="1:14" ht="20.100000000000001" customHeight="1">
      <c r="A48" s="334"/>
      <c r="B48" s="251"/>
      <c r="C48" s="251"/>
      <c r="D48" s="251"/>
      <c r="E48" s="251"/>
      <c r="F48" s="251"/>
      <c r="G48" s="251"/>
      <c r="H48" s="251"/>
      <c r="I48" s="251"/>
      <c r="J48" s="251"/>
      <c r="K48" s="340"/>
      <c r="L48" s="342" t="str">
        <f t="shared" si="0"/>
        <v/>
      </c>
      <c r="M48" s="255" t="str">
        <f t="shared" si="2"/>
        <v/>
      </c>
      <c r="N48" s="333" t="str">
        <f t="shared" si="1"/>
        <v/>
      </c>
    </row>
    <row r="49" spans="1:14" ht="20.100000000000001" customHeight="1">
      <c r="A49" s="334"/>
      <c r="B49" s="251"/>
      <c r="C49" s="251"/>
      <c r="D49" s="251"/>
      <c r="E49" s="251"/>
      <c r="F49" s="251"/>
      <c r="G49" s="251"/>
      <c r="H49" s="251"/>
      <c r="I49" s="251"/>
      <c r="J49" s="251"/>
      <c r="K49" s="340"/>
      <c r="L49" s="342" t="str">
        <f t="shared" si="0"/>
        <v/>
      </c>
      <c r="M49" s="255" t="str">
        <f t="shared" si="2"/>
        <v/>
      </c>
      <c r="N49" s="333" t="str">
        <f t="shared" si="1"/>
        <v/>
      </c>
    </row>
    <row r="50" spans="1:14" ht="20.100000000000001" customHeight="1">
      <c r="A50" s="335"/>
      <c r="B50" s="251"/>
      <c r="C50" s="251"/>
      <c r="D50" s="251"/>
      <c r="E50" s="251"/>
      <c r="F50" s="251"/>
      <c r="G50" s="251"/>
      <c r="H50" s="251"/>
      <c r="I50" s="251"/>
      <c r="J50" s="251"/>
      <c r="K50" s="340"/>
      <c r="L50" s="342" t="str">
        <f t="shared" si="0"/>
        <v/>
      </c>
      <c r="M50" s="255" t="str">
        <f t="shared" si="2"/>
        <v/>
      </c>
      <c r="N50" s="333" t="str">
        <f t="shared" si="1"/>
        <v/>
      </c>
    </row>
    <row r="51" spans="1:14" ht="20.100000000000001" customHeight="1">
      <c r="A51" s="335"/>
      <c r="B51" s="251"/>
      <c r="C51" s="251"/>
      <c r="D51" s="251"/>
      <c r="E51" s="251"/>
      <c r="F51" s="251"/>
      <c r="G51" s="251"/>
      <c r="H51" s="251"/>
      <c r="I51" s="251"/>
      <c r="J51" s="251"/>
      <c r="K51" s="340"/>
      <c r="L51" s="342" t="str">
        <f t="shared" si="0"/>
        <v/>
      </c>
      <c r="M51" s="255" t="str">
        <f t="shared" si="2"/>
        <v/>
      </c>
      <c r="N51" s="333" t="str">
        <f t="shared" si="1"/>
        <v/>
      </c>
    </row>
    <row r="52" spans="1:14" ht="20.100000000000001" customHeight="1">
      <c r="A52" s="335"/>
      <c r="B52" s="251"/>
      <c r="C52" s="251"/>
      <c r="D52" s="251"/>
      <c r="E52" s="251"/>
      <c r="F52" s="251"/>
      <c r="G52" s="251"/>
      <c r="H52" s="251"/>
      <c r="I52" s="251"/>
      <c r="J52" s="251"/>
      <c r="K52" s="340"/>
      <c r="L52" s="342" t="str">
        <f t="shared" si="0"/>
        <v/>
      </c>
      <c r="M52" s="255" t="str">
        <f t="shared" si="2"/>
        <v/>
      </c>
      <c r="N52" s="333" t="str">
        <f t="shared" si="1"/>
        <v/>
      </c>
    </row>
    <row r="53" spans="1:14" ht="20.100000000000001" customHeight="1" thickBot="1">
      <c r="A53" s="336"/>
      <c r="B53" s="337"/>
      <c r="C53" s="337"/>
      <c r="D53" s="337"/>
      <c r="E53" s="337"/>
      <c r="F53" s="337"/>
      <c r="G53" s="337"/>
      <c r="H53" s="337"/>
      <c r="I53" s="337"/>
      <c r="J53" s="337"/>
      <c r="K53" s="341"/>
      <c r="L53" s="343" t="str">
        <f t="shared" si="0"/>
        <v/>
      </c>
      <c r="M53" s="338" t="str">
        <f t="shared" si="2"/>
        <v/>
      </c>
      <c r="N53" s="339" t="str">
        <f t="shared" si="1"/>
        <v/>
      </c>
    </row>
    <row r="54" spans="1:14" ht="20.100000000000001" customHeight="1" thickBot="1">
      <c r="A54" s="1176"/>
      <c r="B54" s="1176"/>
      <c r="C54" s="1176"/>
      <c r="D54" s="1176"/>
      <c r="E54" s="1176"/>
    </row>
    <row r="55" spans="1:14" ht="20.100000000000001" customHeight="1" thickBot="1">
      <c r="A55" s="1428" t="s">
        <v>615</v>
      </c>
      <c r="B55" s="1429"/>
      <c r="C55" s="1429"/>
      <c r="D55" s="1429"/>
      <c r="E55" s="1429"/>
      <c r="F55" s="1429"/>
      <c r="G55" s="1429"/>
      <c r="H55" s="1429"/>
      <c r="I55" s="1429"/>
      <c r="J55" s="1429"/>
      <c r="K55" s="1429"/>
      <c r="L55" s="1429"/>
      <c r="M55" s="1429"/>
      <c r="N55" s="1430"/>
    </row>
    <row r="56" spans="1:14" ht="20.100000000000001" customHeight="1" thickBot="1">
      <c r="A56" s="1423" t="s">
        <v>567</v>
      </c>
      <c r="B56" s="1424"/>
      <c r="C56" s="1370"/>
      <c r="D56" s="1370"/>
      <c r="E56" s="1370"/>
      <c r="F56" s="1370"/>
      <c r="G56" s="1370"/>
      <c r="H56" s="1370"/>
      <c r="I56" s="1370"/>
      <c r="J56" s="1370"/>
      <c r="K56" s="1370"/>
      <c r="L56" s="1370"/>
      <c r="M56" s="1370"/>
      <c r="N56" s="1371"/>
    </row>
    <row r="57" spans="1:14" ht="38.25" customHeight="1" thickBot="1">
      <c r="A57" s="349" t="s">
        <v>614</v>
      </c>
      <c r="B57" s="350"/>
      <c r="C57" s="350"/>
      <c r="D57" s="350"/>
      <c r="E57" s="350"/>
      <c r="F57" s="350"/>
      <c r="G57" s="350"/>
      <c r="H57" s="350"/>
      <c r="I57" s="350"/>
      <c r="J57" s="350"/>
      <c r="K57" s="351"/>
      <c r="L57" s="352" t="s">
        <v>606</v>
      </c>
      <c r="M57" s="353" t="s">
        <v>607</v>
      </c>
      <c r="N57" s="354" t="s">
        <v>608</v>
      </c>
    </row>
    <row r="58" spans="1:14" ht="20.100000000000001" customHeight="1">
      <c r="A58" s="729"/>
      <c r="B58" s="344"/>
      <c r="C58" s="344"/>
      <c r="D58" s="344"/>
      <c r="E58" s="344"/>
      <c r="F58" s="344"/>
      <c r="G58" s="344"/>
      <c r="H58" s="344"/>
      <c r="I58" s="344"/>
      <c r="J58" s="344"/>
      <c r="K58" s="345"/>
      <c r="L58" s="346" t="str">
        <f t="shared" ref="L58:L67" si="3">IFERROR(MEDIAN(B58:K58),"")</f>
        <v/>
      </c>
      <c r="M58" s="347" t="str">
        <f>IFERROR(_xlfn.STDEV.P(B58:K58),"")</f>
        <v/>
      </c>
      <c r="N58" s="348" t="str">
        <f>IFERROR(L58-M58,"")</f>
        <v/>
      </c>
    </row>
    <row r="59" spans="1:14" ht="20.100000000000001" customHeight="1">
      <c r="A59" s="334"/>
      <c r="B59" s="251"/>
      <c r="C59" s="251"/>
      <c r="D59" s="251"/>
      <c r="E59" s="251"/>
      <c r="F59" s="251"/>
      <c r="G59" s="251"/>
      <c r="H59" s="251"/>
      <c r="I59" s="251"/>
      <c r="J59" s="251"/>
      <c r="K59" s="340"/>
      <c r="L59" s="342" t="str">
        <f t="shared" si="3"/>
        <v/>
      </c>
      <c r="M59" s="255" t="str">
        <f>IFERROR(_xlfn.STDEV.P(B59:K59),"")</f>
        <v/>
      </c>
      <c r="N59" s="333" t="str">
        <f t="shared" ref="N59:N63" si="4">IFERROR(L59-M59,"")</f>
        <v/>
      </c>
    </row>
    <row r="60" spans="1:14" ht="20.100000000000001" customHeight="1">
      <c r="A60" s="334"/>
      <c r="B60" s="251"/>
      <c r="C60" s="251"/>
      <c r="D60" s="251"/>
      <c r="E60" s="251"/>
      <c r="F60" s="251"/>
      <c r="G60" s="251"/>
      <c r="H60" s="251"/>
      <c r="I60" s="251"/>
      <c r="J60" s="251"/>
      <c r="K60" s="340"/>
      <c r="L60" s="342" t="str">
        <f t="shared" si="3"/>
        <v/>
      </c>
      <c r="M60" s="255" t="str">
        <f>IFERROR(_xlfn.STDEV.P(B60:K60),"")</f>
        <v/>
      </c>
      <c r="N60" s="333" t="str">
        <f t="shared" si="4"/>
        <v/>
      </c>
    </row>
    <row r="61" spans="1:14" ht="20.100000000000001" customHeight="1">
      <c r="A61" s="334"/>
      <c r="B61" s="251"/>
      <c r="C61" s="251"/>
      <c r="D61" s="251"/>
      <c r="E61" s="251"/>
      <c r="F61" s="251"/>
      <c r="G61" s="251"/>
      <c r="H61" s="251"/>
      <c r="I61" s="251"/>
      <c r="J61" s="251"/>
      <c r="K61" s="340"/>
      <c r="L61" s="342" t="str">
        <f t="shared" si="3"/>
        <v/>
      </c>
      <c r="M61" s="255" t="str">
        <f t="shared" ref="M61:M67" si="5">IFERROR(_xlfn.STDEV.P(B61:K61),"")</f>
        <v/>
      </c>
      <c r="N61" s="333" t="str">
        <f t="shared" si="4"/>
        <v/>
      </c>
    </row>
    <row r="62" spans="1:14" ht="20.100000000000001" customHeight="1">
      <c r="A62" s="334"/>
      <c r="B62" s="251"/>
      <c r="C62" s="251"/>
      <c r="D62" s="251"/>
      <c r="E62" s="251"/>
      <c r="F62" s="251"/>
      <c r="G62" s="251"/>
      <c r="H62" s="251"/>
      <c r="I62" s="251"/>
      <c r="J62" s="251"/>
      <c r="K62" s="340"/>
      <c r="L62" s="342" t="str">
        <f t="shared" si="3"/>
        <v/>
      </c>
      <c r="M62" s="255" t="str">
        <f t="shared" si="5"/>
        <v/>
      </c>
      <c r="N62" s="333" t="str">
        <f t="shared" si="4"/>
        <v/>
      </c>
    </row>
    <row r="63" spans="1:14" ht="20.100000000000001" customHeight="1">
      <c r="A63" s="334"/>
      <c r="B63" s="251"/>
      <c r="C63" s="251"/>
      <c r="D63" s="251"/>
      <c r="E63" s="251"/>
      <c r="F63" s="251"/>
      <c r="G63" s="251"/>
      <c r="H63" s="251"/>
      <c r="I63" s="251"/>
      <c r="J63" s="251"/>
      <c r="K63" s="340"/>
      <c r="L63" s="342" t="str">
        <f t="shared" si="3"/>
        <v/>
      </c>
      <c r="M63" s="255" t="str">
        <f t="shared" si="5"/>
        <v/>
      </c>
      <c r="N63" s="333" t="str">
        <f t="shared" si="4"/>
        <v/>
      </c>
    </row>
    <row r="64" spans="1:14" ht="20.100000000000001" customHeight="1">
      <c r="A64" s="335"/>
      <c r="B64" s="251"/>
      <c r="C64" s="251"/>
      <c r="D64" s="251"/>
      <c r="E64" s="251"/>
      <c r="F64" s="251"/>
      <c r="G64" s="251"/>
      <c r="H64" s="251"/>
      <c r="I64" s="251"/>
      <c r="J64" s="251"/>
      <c r="K64" s="340"/>
      <c r="L64" s="342" t="str">
        <f t="shared" si="3"/>
        <v/>
      </c>
      <c r="M64" s="255" t="str">
        <f t="shared" si="5"/>
        <v/>
      </c>
      <c r="N64" s="333" t="str">
        <f>IFERROR(L64-M64,"")</f>
        <v/>
      </c>
    </row>
    <row r="65" spans="1:14" ht="20.100000000000001" customHeight="1">
      <c r="A65" s="335"/>
      <c r="B65" s="251"/>
      <c r="C65" s="251"/>
      <c r="D65" s="251"/>
      <c r="E65" s="251"/>
      <c r="F65" s="251"/>
      <c r="G65" s="251"/>
      <c r="H65" s="251"/>
      <c r="I65" s="251"/>
      <c r="J65" s="251"/>
      <c r="K65" s="340"/>
      <c r="L65" s="342" t="str">
        <f t="shared" si="3"/>
        <v/>
      </c>
      <c r="M65" s="255" t="str">
        <f t="shared" si="5"/>
        <v/>
      </c>
      <c r="N65" s="333" t="str">
        <f>IFERROR(L65-M65,"")</f>
        <v/>
      </c>
    </row>
    <row r="66" spans="1:14" ht="20.100000000000001" customHeight="1">
      <c r="A66" s="335"/>
      <c r="B66" s="251"/>
      <c r="C66" s="251"/>
      <c r="D66" s="251"/>
      <c r="E66" s="251"/>
      <c r="F66" s="251"/>
      <c r="G66" s="251"/>
      <c r="H66" s="251"/>
      <c r="I66" s="251"/>
      <c r="J66" s="251"/>
      <c r="K66" s="340"/>
      <c r="L66" s="342" t="str">
        <f t="shared" si="3"/>
        <v/>
      </c>
      <c r="M66" s="255" t="str">
        <f t="shared" si="5"/>
        <v/>
      </c>
      <c r="N66" s="333" t="str">
        <f>IFERROR(L66-M66,"")</f>
        <v/>
      </c>
    </row>
    <row r="67" spans="1:14" ht="22.5" customHeight="1" thickBot="1">
      <c r="A67" s="336"/>
      <c r="B67" s="337"/>
      <c r="C67" s="337"/>
      <c r="D67" s="337"/>
      <c r="E67" s="337"/>
      <c r="F67" s="337"/>
      <c r="G67" s="337"/>
      <c r="H67" s="337"/>
      <c r="I67" s="337"/>
      <c r="J67" s="337"/>
      <c r="K67" s="341"/>
      <c r="L67" s="343" t="str">
        <f t="shared" si="3"/>
        <v/>
      </c>
      <c r="M67" s="338" t="str">
        <f t="shared" si="5"/>
        <v/>
      </c>
      <c r="N67" s="339" t="str">
        <f>IFERROR(L67-M67,"")</f>
        <v/>
      </c>
    </row>
    <row r="68" spans="1:14" ht="20.100000000000001" customHeight="1" thickBot="1">
      <c r="A68" s="1425"/>
      <c r="B68" s="1426"/>
      <c r="C68" s="1426"/>
      <c r="D68" s="1426"/>
      <c r="E68" s="1426"/>
      <c r="F68" s="1426"/>
      <c r="G68" s="1426"/>
      <c r="H68" s="1426"/>
      <c r="I68" s="1426"/>
      <c r="J68" s="1426"/>
      <c r="K68" s="1426"/>
      <c r="L68" s="1426"/>
      <c r="M68" s="1426"/>
      <c r="N68" s="1427"/>
    </row>
    <row r="69" spans="1:14" ht="20.100000000000001" customHeight="1" thickBot="1">
      <c r="A69" s="1423" t="s">
        <v>616</v>
      </c>
      <c r="B69" s="1424"/>
      <c r="C69" s="1370"/>
      <c r="D69" s="1370"/>
      <c r="E69" s="1370"/>
      <c r="F69" s="1370"/>
      <c r="G69" s="1370"/>
      <c r="H69" s="1370"/>
      <c r="I69" s="1370"/>
      <c r="J69" s="1370"/>
      <c r="K69" s="1370"/>
      <c r="L69" s="1370"/>
      <c r="M69" s="1370"/>
      <c r="N69" s="1371"/>
    </row>
    <row r="70" spans="1:14" ht="39.75" customHeight="1" thickBot="1">
      <c r="A70" s="349" t="s">
        <v>614</v>
      </c>
      <c r="B70" s="350"/>
      <c r="C70" s="350"/>
      <c r="D70" s="350"/>
      <c r="E70" s="350"/>
      <c r="F70" s="350"/>
      <c r="G70" s="350"/>
      <c r="H70" s="350"/>
      <c r="I70" s="350"/>
      <c r="J70" s="350"/>
      <c r="K70" s="351"/>
      <c r="L70" s="352" t="s">
        <v>606</v>
      </c>
      <c r="M70" s="353" t="s">
        <v>607</v>
      </c>
      <c r="N70" s="354" t="s">
        <v>608</v>
      </c>
    </row>
    <row r="71" spans="1:14" ht="20.100000000000001" customHeight="1">
      <c r="A71" s="729"/>
      <c r="B71" s="344"/>
      <c r="C71" s="344"/>
      <c r="D71" s="344"/>
      <c r="E71" s="344"/>
      <c r="F71" s="344"/>
      <c r="G71" s="344"/>
      <c r="H71" s="344"/>
      <c r="I71" s="344"/>
      <c r="J71" s="344"/>
      <c r="K71" s="345"/>
      <c r="L71" s="346" t="str">
        <f>IFERROR(MEDIAN(B71:K71),"")</f>
        <v/>
      </c>
      <c r="M71" s="347" t="str">
        <f>IFERROR(_xlfn.STDEV.P(B71:K71),"")</f>
        <v/>
      </c>
      <c r="N71" s="348" t="str">
        <f>IFERROR(L71-M71,"")</f>
        <v/>
      </c>
    </row>
    <row r="72" spans="1:14" ht="20.100000000000001" customHeight="1">
      <c r="A72" s="334"/>
      <c r="B72" s="251"/>
      <c r="C72" s="251"/>
      <c r="D72" s="251"/>
      <c r="E72" s="251"/>
      <c r="F72" s="251"/>
      <c r="G72" s="251"/>
      <c r="H72" s="251"/>
      <c r="I72" s="251"/>
      <c r="J72" s="251"/>
      <c r="K72" s="340"/>
      <c r="L72" s="342" t="str">
        <f t="shared" ref="L72:L80" si="6">IFERROR(MEDIAN(B72:K72),"")</f>
        <v/>
      </c>
      <c r="M72" s="255" t="str">
        <f>IFERROR(_xlfn.STDEV.P(B72:K72),"")</f>
        <v/>
      </c>
      <c r="N72" s="333" t="str">
        <f t="shared" ref="N72:N80" si="7">IFERROR(L72-M72,"")</f>
        <v/>
      </c>
    </row>
    <row r="73" spans="1:14" ht="20.100000000000001" customHeight="1">
      <c r="A73" s="334"/>
      <c r="B73" s="251"/>
      <c r="C73" s="251"/>
      <c r="D73" s="251"/>
      <c r="E73" s="251"/>
      <c r="F73" s="251"/>
      <c r="G73" s="251"/>
      <c r="H73" s="251"/>
      <c r="I73" s="251"/>
      <c r="J73" s="251"/>
      <c r="K73" s="340"/>
      <c r="L73" s="342" t="str">
        <f t="shared" si="6"/>
        <v/>
      </c>
      <c r="M73" s="255" t="str">
        <f>IFERROR(_xlfn.STDEV.P(B73:K73),"")</f>
        <v/>
      </c>
      <c r="N73" s="333" t="str">
        <f t="shared" si="7"/>
        <v/>
      </c>
    </row>
    <row r="74" spans="1:14" ht="20.100000000000001" customHeight="1">
      <c r="A74" s="334"/>
      <c r="B74" s="251"/>
      <c r="C74" s="251"/>
      <c r="D74" s="251"/>
      <c r="E74" s="251"/>
      <c r="F74" s="251"/>
      <c r="G74" s="251"/>
      <c r="H74" s="251"/>
      <c r="I74" s="251"/>
      <c r="J74" s="251"/>
      <c r="K74" s="340"/>
      <c r="L74" s="342" t="str">
        <f t="shared" si="6"/>
        <v/>
      </c>
      <c r="M74" s="255" t="str">
        <f t="shared" ref="M74:M80" si="8">IFERROR(_xlfn.STDEV.P(B74:K74),"")</f>
        <v/>
      </c>
      <c r="N74" s="333" t="str">
        <f>IFERROR(L74-M74,"")</f>
        <v/>
      </c>
    </row>
    <row r="75" spans="1:14" ht="20.100000000000001" customHeight="1">
      <c r="A75" s="334"/>
      <c r="B75" s="251"/>
      <c r="C75" s="251"/>
      <c r="D75" s="251"/>
      <c r="E75" s="251"/>
      <c r="F75" s="251"/>
      <c r="G75" s="251"/>
      <c r="H75" s="251"/>
      <c r="I75" s="251"/>
      <c r="J75" s="251"/>
      <c r="K75" s="340"/>
      <c r="L75" s="342" t="str">
        <f t="shared" si="6"/>
        <v/>
      </c>
      <c r="M75" s="255" t="str">
        <f t="shared" si="8"/>
        <v/>
      </c>
      <c r="N75" s="333" t="str">
        <f t="shared" si="7"/>
        <v/>
      </c>
    </row>
    <row r="76" spans="1:14" ht="20.100000000000001" customHeight="1">
      <c r="A76" s="334"/>
      <c r="B76" s="251"/>
      <c r="C76" s="251"/>
      <c r="D76" s="251"/>
      <c r="E76" s="251"/>
      <c r="F76" s="251"/>
      <c r="G76" s="251"/>
      <c r="H76" s="251"/>
      <c r="I76" s="251"/>
      <c r="J76" s="251"/>
      <c r="K76" s="340"/>
      <c r="L76" s="342" t="str">
        <f t="shared" si="6"/>
        <v/>
      </c>
      <c r="M76" s="255" t="str">
        <f t="shared" si="8"/>
        <v/>
      </c>
      <c r="N76" s="333" t="str">
        <f t="shared" si="7"/>
        <v/>
      </c>
    </row>
    <row r="77" spans="1:14" ht="20.100000000000001" customHeight="1">
      <c r="A77" s="335"/>
      <c r="B77" s="251"/>
      <c r="C77" s="251"/>
      <c r="D77" s="251"/>
      <c r="E77" s="251"/>
      <c r="F77" s="251"/>
      <c r="G77" s="251"/>
      <c r="H77" s="251"/>
      <c r="I77" s="251"/>
      <c r="J77" s="251"/>
      <c r="K77" s="340"/>
      <c r="L77" s="342" t="str">
        <f t="shared" si="6"/>
        <v/>
      </c>
      <c r="M77" s="255" t="str">
        <f t="shared" si="8"/>
        <v/>
      </c>
      <c r="N77" s="333" t="str">
        <f t="shared" si="7"/>
        <v/>
      </c>
    </row>
    <row r="78" spans="1:14" ht="20.100000000000001" customHeight="1">
      <c r="A78" s="335"/>
      <c r="B78" s="251"/>
      <c r="C78" s="251"/>
      <c r="D78" s="251"/>
      <c r="E78" s="251"/>
      <c r="F78" s="251"/>
      <c r="G78" s="251"/>
      <c r="H78" s="251"/>
      <c r="I78" s="251"/>
      <c r="J78" s="251"/>
      <c r="K78" s="340"/>
      <c r="L78" s="342" t="str">
        <f t="shared" si="6"/>
        <v/>
      </c>
      <c r="M78" s="255" t="str">
        <f t="shared" si="8"/>
        <v/>
      </c>
      <c r="N78" s="333" t="str">
        <f t="shared" si="7"/>
        <v/>
      </c>
    </row>
    <row r="79" spans="1:14" ht="20.100000000000001" customHeight="1">
      <c r="A79" s="335"/>
      <c r="B79" s="251"/>
      <c r="C79" s="251"/>
      <c r="D79" s="251"/>
      <c r="E79" s="251"/>
      <c r="F79" s="251"/>
      <c r="G79" s="251"/>
      <c r="H79" s="251"/>
      <c r="I79" s="251"/>
      <c r="J79" s="251"/>
      <c r="K79" s="340"/>
      <c r="L79" s="342" t="str">
        <f t="shared" si="6"/>
        <v/>
      </c>
      <c r="M79" s="255" t="str">
        <f t="shared" si="8"/>
        <v/>
      </c>
      <c r="N79" s="333" t="str">
        <f t="shared" si="7"/>
        <v/>
      </c>
    </row>
    <row r="80" spans="1:14" ht="20.100000000000001" customHeight="1" thickBot="1">
      <c r="A80" s="336"/>
      <c r="B80" s="337"/>
      <c r="C80" s="337"/>
      <c r="D80" s="337"/>
      <c r="E80" s="337"/>
      <c r="F80" s="337"/>
      <c r="G80" s="337"/>
      <c r="H80" s="337"/>
      <c r="I80" s="337"/>
      <c r="J80" s="337"/>
      <c r="K80" s="341"/>
      <c r="L80" s="343" t="str">
        <f t="shared" si="6"/>
        <v/>
      </c>
      <c r="M80" s="338" t="str">
        <f t="shared" si="8"/>
        <v/>
      </c>
      <c r="N80" s="339" t="str">
        <f t="shared" si="7"/>
        <v/>
      </c>
    </row>
  </sheetData>
  <sheetProtection algorithmName="SHA-512" hashValue="MiwiqGY7r27om08cNvgggTlDPMQCuFcFtaOWZRaISv29dtHsPXKpONuTxhtGyd1ToM5ZyPc2crCL7RjV8GKprA==" saltValue="7Ovg5KJ8vcj/vhPeCH1b7A==" spinCount="100000" sheet="1" formatCells="0" formatColumns="0" formatRows="0" insertColumns="0" insertRows="0" insertHyperlinks="0" deleteColumns="0" deleteRows="0" sort="0" autoFilter="0" pivotTables="0"/>
  <mergeCells count="34">
    <mergeCell ref="A69:B69"/>
    <mergeCell ref="C69:N69"/>
    <mergeCell ref="A68:N68"/>
    <mergeCell ref="A55:N55"/>
    <mergeCell ref="A56:B56"/>
    <mergeCell ref="C56:N56"/>
    <mergeCell ref="D8:N8"/>
    <mergeCell ref="D9:N9"/>
    <mergeCell ref="A6:E6"/>
    <mergeCell ref="A5:N5"/>
    <mergeCell ref="A1:D3"/>
    <mergeCell ref="E1:N1"/>
    <mergeCell ref="E2:N2"/>
    <mergeCell ref="J3:N3"/>
    <mergeCell ref="E3:I3"/>
    <mergeCell ref="A7:C7"/>
    <mergeCell ref="A8:C8"/>
    <mergeCell ref="A9:C9"/>
    <mergeCell ref="D7:N7"/>
    <mergeCell ref="A40:B40"/>
    <mergeCell ref="A27:C27"/>
    <mergeCell ref="A54:E54"/>
    <mergeCell ref="A11:C11"/>
    <mergeCell ref="A22:B22"/>
    <mergeCell ref="A23:B23"/>
    <mergeCell ref="A42:N42"/>
    <mergeCell ref="D27:F27"/>
    <mergeCell ref="D38:E38"/>
    <mergeCell ref="D39:E39"/>
    <mergeCell ref="D40:E40"/>
    <mergeCell ref="A26:F26"/>
    <mergeCell ref="A24:B24"/>
    <mergeCell ref="A38:B38"/>
    <mergeCell ref="A39:B39"/>
  </mergeCells>
  <conditionalFormatting sqref="B44:K44">
    <cfRule type="cellIs" dxfId="44" priority="61" operator="lessThan">
      <formula>$N$44</formula>
    </cfRule>
  </conditionalFormatting>
  <conditionalFormatting sqref="B45:K45">
    <cfRule type="cellIs" dxfId="43" priority="60" operator="lessThan">
      <formula>$N$45</formula>
    </cfRule>
  </conditionalFormatting>
  <conditionalFormatting sqref="B46:K46">
    <cfRule type="cellIs" dxfId="42" priority="55" operator="lessThan">
      <formula>$N$46</formula>
    </cfRule>
  </conditionalFormatting>
  <conditionalFormatting sqref="B47:K47">
    <cfRule type="cellIs" dxfId="41" priority="54" operator="lessThan">
      <formula>$N$47</formula>
    </cfRule>
  </conditionalFormatting>
  <conditionalFormatting sqref="B48:K48">
    <cfRule type="cellIs" dxfId="40" priority="53" operator="lessThan">
      <formula>$N$48</formula>
    </cfRule>
  </conditionalFormatting>
  <conditionalFormatting sqref="B49:K49">
    <cfRule type="cellIs" dxfId="39" priority="52" operator="lessThan">
      <formula>$N$49</formula>
    </cfRule>
  </conditionalFormatting>
  <conditionalFormatting sqref="B50:K50">
    <cfRule type="cellIs" dxfId="38" priority="51" operator="lessThan">
      <formula>$N$50</formula>
    </cfRule>
  </conditionalFormatting>
  <conditionalFormatting sqref="B51:K51">
    <cfRule type="cellIs" dxfId="37" priority="50" operator="lessThan">
      <formula>$N$51</formula>
    </cfRule>
  </conditionalFormatting>
  <conditionalFormatting sqref="B52:K52">
    <cfRule type="cellIs" dxfId="36" priority="49" operator="lessThan">
      <formula>$N$52</formula>
    </cfRule>
  </conditionalFormatting>
  <conditionalFormatting sqref="B53:K53">
    <cfRule type="cellIs" dxfId="35" priority="48" operator="lessThan">
      <formula>$N$53</formula>
    </cfRule>
  </conditionalFormatting>
  <conditionalFormatting sqref="B58:K58">
    <cfRule type="cellIs" dxfId="34" priority="37" operator="lessThan">
      <formula>$N$44</formula>
    </cfRule>
  </conditionalFormatting>
  <conditionalFormatting sqref="B59:K59">
    <cfRule type="cellIs" dxfId="33" priority="36" operator="lessThan">
      <formula>$N$45</formula>
    </cfRule>
  </conditionalFormatting>
  <conditionalFormatting sqref="B60:K60">
    <cfRule type="cellIs" dxfId="32" priority="35" operator="lessThan">
      <formula>$N$46</formula>
    </cfRule>
  </conditionalFormatting>
  <conditionalFormatting sqref="B61:K61">
    <cfRule type="cellIs" dxfId="31" priority="16" operator="lessThan">
      <formula>$N$61</formula>
    </cfRule>
  </conditionalFormatting>
  <conditionalFormatting sqref="B62:K62">
    <cfRule type="cellIs" dxfId="30" priority="15" operator="lessThan">
      <formula>$N$62</formula>
    </cfRule>
    <cfRule type="cellIs" dxfId="29" priority="33" operator="lessThan">
      <formula>$N$48</formula>
    </cfRule>
  </conditionalFormatting>
  <conditionalFormatting sqref="B63:K63">
    <cfRule type="cellIs" dxfId="28" priority="14" operator="lessThan">
      <formula>$N$63</formula>
    </cfRule>
    <cfRule type="cellIs" dxfId="27" priority="32" operator="lessThan">
      <formula>$N$49</formula>
    </cfRule>
  </conditionalFormatting>
  <conditionalFormatting sqref="B64:K64">
    <cfRule type="cellIs" dxfId="26" priority="31" operator="lessThan">
      <formula>$N$50</formula>
    </cfRule>
    <cfRule type="cellIs" dxfId="25" priority="12" operator="lessThan">
      <formula>$N$64</formula>
    </cfRule>
  </conditionalFormatting>
  <conditionalFormatting sqref="B65:K65">
    <cfRule type="cellIs" dxfId="24" priority="11" operator="lessThan">
      <formula>$N$65</formula>
    </cfRule>
    <cfRule type="cellIs" dxfId="23" priority="30" operator="lessThan">
      <formula>$N$51</formula>
    </cfRule>
  </conditionalFormatting>
  <conditionalFormatting sqref="B66:K66">
    <cfRule type="cellIs" dxfId="22" priority="10" operator="lessThan">
      <formula>$N$66</formula>
    </cfRule>
    <cfRule type="cellIs" dxfId="21" priority="29" operator="lessThan">
      <formula>$N$52</formula>
    </cfRule>
  </conditionalFormatting>
  <conditionalFormatting sqref="B67:K67">
    <cfRule type="cellIs" dxfId="20" priority="9" operator="lessThan">
      <formula>$N$67</formula>
    </cfRule>
    <cfRule type="cellIs" dxfId="19" priority="28" operator="lessThan">
      <formula>$N$53</formula>
    </cfRule>
  </conditionalFormatting>
  <conditionalFormatting sqref="B71:K71">
    <cfRule type="cellIs" dxfId="18" priority="27" operator="lessThan">
      <formula>$N$44</formula>
    </cfRule>
  </conditionalFormatting>
  <conditionalFormatting sqref="B72:K72">
    <cfRule type="cellIs" dxfId="17" priority="26" operator="lessThan">
      <formula>$N$45</formula>
    </cfRule>
  </conditionalFormatting>
  <conditionalFormatting sqref="B73:K73">
    <cfRule type="cellIs" dxfId="16" priority="25" operator="lessThan">
      <formula>$N$46</formula>
    </cfRule>
  </conditionalFormatting>
  <conditionalFormatting sqref="B74:K74">
    <cfRule type="cellIs" dxfId="15" priority="7" operator="lessThan">
      <formula>$N$74</formula>
    </cfRule>
  </conditionalFormatting>
  <conditionalFormatting sqref="B75:K75">
    <cfRule type="cellIs" dxfId="14" priority="6" operator="lessThan">
      <formula>$N$75</formula>
    </cfRule>
  </conditionalFormatting>
  <conditionalFormatting sqref="B76:K76">
    <cfRule type="cellIs" dxfId="13" priority="5" operator="lessThan">
      <formula>$N$76</formula>
    </cfRule>
  </conditionalFormatting>
  <conditionalFormatting sqref="B77:K77">
    <cfRule type="cellIs" dxfId="12" priority="4" operator="lessThan">
      <formula>$N$77</formula>
    </cfRule>
  </conditionalFormatting>
  <conditionalFormatting sqref="B78:K78">
    <cfRule type="cellIs" dxfId="11" priority="3" operator="lessThan">
      <formula>$N$78</formula>
    </cfRule>
  </conditionalFormatting>
  <conditionalFormatting sqref="B79:K79">
    <cfRule type="cellIs" dxfId="10" priority="2" operator="lessThan">
      <formula>$N$79</formula>
    </cfRule>
  </conditionalFormatting>
  <conditionalFormatting sqref="B80:K80">
    <cfRule type="cellIs" dxfId="9" priority="1" operator="lessThan">
      <formula>$N$80</formula>
    </cfRule>
  </conditionalFormatting>
  <conditionalFormatting sqref="C13:C21">
    <cfRule type="cellIs" dxfId="8" priority="56" operator="lessThan">
      <formula>$C$24</formula>
    </cfRule>
  </conditionalFormatting>
  <conditionalFormatting sqref="C29:C37">
    <cfRule type="cellIs" dxfId="7" priority="63" operator="lessThan">
      <formula>$C$40</formula>
    </cfRule>
  </conditionalFormatting>
  <conditionalFormatting sqref="F29:F37">
    <cfRule type="cellIs" dxfId="6" priority="62" operator="lessThan">
      <formula>$F$40</formula>
    </cfRule>
  </conditionalFormatting>
  <hyperlinks>
    <hyperlink ref="O1" location="ins" display="Instructivo" xr:uid="{00000000-0004-0000-1100-000000000000}"/>
  </hyperlinks>
  <printOptions horizontalCentered="1"/>
  <pageMargins left="0" right="0" top="0" bottom="0" header="0" footer="0"/>
  <pageSetup scale="58" fitToHeight="0" orientation="landscape" horizontalDpi="4294967295" verticalDpi="4294967295"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4">
    <tabColor theme="5" tint="0.39997558519241921"/>
    <pageSetUpPr fitToPage="1"/>
  </sheetPr>
  <dimension ref="A1:H44"/>
  <sheetViews>
    <sheetView showGridLines="0" zoomScaleNormal="100" workbookViewId="0">
      <selection activeCell="D19" sqref="D19"/>
    </sheetView>
  </sheetViews>
  <sheetFormatPr defaultColWidth="12" defaultRowHeight="18" customHeight="1"/>
  <cols>
    <col min="1" max="1" width="33.6640625" style="256" customWidth="1"/>
    <col min="2" max="7" width="22.83203125" style="256" customWidth="1"/>
    <col min="8" max="8" width="15.5" style="256" customWidth="1"/>
    <col min="9" max="16384" width="12" style="256"/>
  </cols>
  <sheetData>
    <row r="1" spans="1:8" ht="18" customHeight="1">
      <c r="A1" s="1188"/>
      <c r="B1" s="1189"/>
      <c r="C1" s="1102" t="s">
        <v>0</v>
      </c>
      <c r="D1" s="1103"/>
      <c r="E1" s="1103"/>
      <c r="F1" s="1103"/>
      <c r="G1" s="1104"/>
      <c r="H1" s="65"/>
    </row>
    <row r="2" spans="1:8" ht="18" customHeight="1">
      <c r="A2" s="1190"/>
      <c r="B2" s="1191"/>
      <c r="C2" s="1105" t="s">
        <v>617</v>
      </c>
      <c r="D2" s="1106"/>
      <c r="E2" s="1106"/>
      <c r="F2" s="1106"/>
      <c r="G2" s="1107"/>
    </row>
    <row r="3" spans="1:8" ht="18" customHeight="1" thickBot="1">
      <c r="A3" s="1192"/>
      <c r="B3" s="1193"/>
      <c r="C3" s="1083" t="s">
        <v>618</v>
      </c>
      <c r="D3" s="1084"/>
      <c r="E3" s="1108"/>
      <c r="F3" s="1083" t="s">
        <v>3</v>
      </c>
      <c r="G3" s="1085"/>
    </row>
    <row r="4" spans="1:8" ht="18" customHeight="1" thickBot="1">
      <c r="A4" s="257"/>
      <c r="B4" s="257"/>
      <c r="C4" s="70"/>
      <c r="D4" s="70"/>
      <c r="E4" s="70"/>
      <c r="F4" s="70"/>
      <c r="G4" s="70"/>
    </row>
    <row r="5" spans="1:8" ht="18" customHeight="1" thickBot="1">
      <c r="A5" s="989" t="s">
        <v>534</v>
      </c>
      <c r="B5" s="990"/>
      <c r="C5" s="1194"/>
      <c r="D5" s="1179"/>
      <c r="E5" s="1180"/>
      <c r="F5" s="1180"/>
      <c r="G5" s="1181"/>
      <c r="H5" s="366" t="s">
        <v>104</v>
      </c>
    </row>
    <row r="6" spans="1:8" ht="18" customHeight="1" thickBot="1">
      <c r="A6" s="989" t="s">
        <v>107</v>
      </c>
      <c r="B6" s="990"/>
      <c r="C6" s="1194"/>
      <c r="D6" s="1179"/>
      <c r="E6" s="1180"/>
      <c r="F6" s="1180"/>
      <c r="G6" s="1181"/>
    </row>
    <row r="7" spans="1:8" ht="28.5" customHeight="1" thickBot="1">
      <c r="A7" s="989" t="s">
        <v>109</v>
      </c>
      <c r="B7" s="990"/>
      <c r="C7" s="1194"/>
      <c r="D7" s="1179"/>
      <c r="E7" s="1180"/>
      <c r="F7" s="1180"/>
      <c r="G7" s="1181"/>
    </row>
    <row r="8" spans="1:8" ht="18" customHeight="1">
      <c r="A8" s="258"/>
      <c r="B8" s="259"/>
      <c r="C8" s="259"/>
      <c r="D8" s="259"/>
      <c r="E8" s="70"/>
      <c r="F8" s="70"/>
      <c r="G8" s="70"/>
    </row>
    <row r="9" spans="1:8" ht="18" customHeight="1">
      <c r="A9" s="260" t="s">
        <v>619</v>
      </c>
      <c r="B9" s="259"/>
      <c r="C9" s="259"/>
      <c r="D9" s="259"/>
      <c r="E9" s="70"/>
      <c r="F9" s="70"/>
      <c r="G9" s="70"/>
    </row>
    <row r="10" spans="1:8" ht="18" customHeight="1">
      <c r="A10" s="261" t="s">
        <v>620</v>
      </c>
      <c r="B10" s="259"/>
      <c r="C10" s="259"/>
      <c r="D10" s="259"/>
      <c r="E10" s="70"/>
      <c r="F10" s="70"/>
      <c r="G10" s="70"/>
    </row>
    <row r="11" spans="1:8" ht="18" customHeight="1">
      <c r="A11" s="261" t="s">
        <v>621</v>
      </c>
      <c r="B11" s="259"/>
      <c r="C11" s="259"/>
      <c r="D11" s="259"/>
      <c r="E11" s="70"/>
      <c r="F11" s="70"/>
      <c r="G11" s="70"/>
    </row>
    <row r="12" spans="1:8" ht="18" customHeight="1">
      <c r="A12" s="260"/>
    </row>
    <row r="13" spans="1:8" ht="18" customHeight="1">
      <c r="A13" s="1431" t="s">
        <v>622</v>
      </c>
      <c r="B13" s="1431"/>
      <c r="C13" s="1431"/>
      <c r="D13" s="1431"/>
      <c r="E13" s="1431"/>
      <c r="F13" s="1431"/>
      <c r="G13" s="1431"/>
    </row>
    <row r="14" spans="1:8" ht="18" customHeight="1">
      <c r="A14" s="1432" t="s">
        <v>623</v>
      </c>
      <c r="B14" s="1432" t="s">
        <v>624</v>
      </c>
      <c r="C14" s="1432"/>
      <c r="D14" s="1432" t="s">
        <v>625</v>
      </c>
      <c r="E14" s="1432"/>
      <c r="F14" s="1432" t="s">
        <v>626</v>
      </c>
      <c r="G14" s="1432"/>
    </row>
    <row r="15" spans="1:8" ht="27" customHeight="1">
      <c r="A15" s="1432"/>
      <c r="B15" s="262" t="s">
        <v>627</v>
      </c>
      <c r="C15" s="263" t="s">
        <v>628</v>
      </c>
      <c r="D15" s="262" t="s">
        <v>627</v>
      </c>
      <c r="E15" s="263" t="s">
        <v>628</v>
      </c>
      <c r="F15" s="262" t="s">
        <v>627</v>
      </c>
      <c r="G15" s="263" t="s">
        <v>628</v>
      </c>
    </row>
    <row r="16" spans="1:8" ht="21" customHeight="1">
      <c r="A16" s="264"/>
      <c r="B16" s="265"/>
      <c r="C16" s="269" t="str">
        <f>IF(B16="Habilitado","Cumple",(IF(B16="No habilitado","No cumple",(IF(B16="Pendiente","La habilitación queda supeditada a la verificación de la entrega de la póliza dentro del sobre económico","")))))</f>
        <v/>
      </c>
      <c r="D16" s="265"/>
      <c r="E16" s="269" t="str">
        <f>IF(D16="Habilitado","Cumple",(IF(D16="No habilitado","No cumple",(IF(D16="Pendiente","La habilitación queda supeditada a la verificación de la entrega de la póliza dentro del sobre económico","")))))</f>
        <v/>
      </c>
      <c r="F16" s="265"/>
      <c r="G16" s="269" t="str">
        <f>IF(F16="Habilitado","Cumple",(IF(F16="No habilitado","No cumple",(IF(F16="Pendiente","La habilitación queda supeditada a la verificación de la entrega de la póliza dentro del sobre económico","")))))</f>
        <v/>
      </c>
    </row>
    <row r="17" spans="1:7" ht="18" customHeight="1">
      <c r="A17" s="266"/>
      <c r="B17" s="265"/>
      <c r="C17" s="269" t="str">
        <f t="shared" ref="C17:E22" si="0">IF(B17="Habilitado","Cumple",(IF(B17="No habilitado","No cumple",(IF(B17="Pendiente","La habilitación queda supeditada a la verificación de la entrega de la póliza dentro del sobre económico","")))))</f>
        <v/>
      </c>
      <c r="D17" s="265"/>
      <c r="E17" s="269" t="str">
        <f t="shared" si="0"/>
        <v/>
      </c>
      <c r="F17" s="265"/>
      <c r="G17" s="269" t="str">
        <f t="shared" ref="G17" si="1">IF(F17="Habilitado","Cumple",(IF(F17="No habilitado","No cumple",(IF(F17="Pendiente","La habilitación queda supeditada a la verificación de la entrega de la póliza dentro del sobre económico","")))))</f>
        <v/>
      </c>
    </row>
    <row r="18" spans="1:7" ht="18" customHeight="1">
      <c r="A18" s="267"/>
      <c r="B18" s="265"/>
      <c r="C18" s="269" t="str">
        <f t="shared" si="0"/>
        <v/>
      </c>
      <c r="D18" s="265"/>
      <c r="E18" s="269" t="str">
        <f t="shared" si="0"/>
        <v/>
      </c>
      <c r="F18" s="265"/>
      <c r="G18" s="269" t="str">
        <f t="shared" ref="G18" si="2">IF(F18="Habilitado","Cumple",(IF(F18="No habilitado","No cumple",(IF(F18="Pendiente","La habilitación queda supeditada a la verificación de la entrega de la póliza dentro del sobre económico","")))))</f>
        <v/>
      </c>
    </row>
    <row r="19" spans="1:7" ht="18" customHeight="1">
      <c r="A19" s="264"/>
      <c r="B19" s="265"/>
      <c r="C19" s="269" t="str">
        <f t="shared" si="0"/>
        <v/>
      </c>
      <c r="D19" s="265"/>
      <c r="E19" s="269" t="str">
        <f t="shared" si="0"/>
        <v/>
      </c>
      <c r="F19" s="265"/>
      <c r="G19" s="269" t="str">
        <f t="shared" ref="G19" si="3">IF(F19="Habilitado","Cumple",(IF(F19="No habilitado","No cumple",(IF(F19="Pendiente","La habilitación queda supeditada a la verificación de la entrega de la póliza dentro del sobre económico","")))))</f>
        <v/>
      </c>
    </row>
    <row r="20" spans="1:7" ht="18" customHeight="1">
      <c r="A20" s="267"/>
      <c r="B20" s="265"/>
      <c r="C20" s="269" t="str">
        <f t="shared" si="0"/>
        <v/>
      </c>
      <c r="D20" s="265"/>
      <c r="E20" s="269" t="str">
        <f t="shared" si="0"/>
        <v/>
      </c>
      <c r="F20" s="265"/>
      <c r="G20" s="269" t="str">
        <f t="shared" ref="G20" si="4">IF(F20="Habilitado","Cumple",(IF(F20="No habilitado","No cumple",(IF(F20="Pendiente","La habilitación queda supeditada a la verificación de la entrega de la póliza dentro del sobre económico","")))))</f>
        <v/>
      </c>
    </row>
    <row r="21" spans="1:7" ht="18" customHeight="1">
      <c r="A21" s="264"/>
      <c r="B21" s="265"/>
      <c r="C21" s="269" t="str">
        <f t="shared" si="0"/>
        <v/>
      </c>
      <c r="D21" s="265"/>
      <c r="E21" s="269" t="str">
        <f t="shared" si="0"/>
        <v/>
      </c>
      <c r="F21" s="265"/>
      <c r="G21" s="269" t="str">
        <f t="shared" ref="G21" si="5">IF(F21="Habilitado","Cumple",(IF(F21="No habilitado","No cumple",(IF(F21="Pendiente","La habilitación queda supeditada a la verificación de la entrega de la póliza dentro del sobre económico","")))))</f>
        <v/>
      </c>
    </row>
    <row r="22" spans="1:7" ht="18" customHeight="1">
      <c r="A22" s="266"/>
      <c r="B22" s="265"/>
      <c r="C22" s="269" t="str">
        <f t="shared" si="0"/>
        <v/>
      </c>
      <c r="D22" s="265"/>
      <c r="E22" s="269" t="str">
        <f t="shared" si="0"/>
        <v/>
      </c>
      <c r="F22" s="265"/>
      <c r="G22" s="269" t="str">
        <f t="shared" ref="G22" si="6">IF(F22="Habilitado","Cumple",(IF(F22="No habilitado","No cumple",(IF(F22="Pendiente","La habilitación queda supeditada a la verificación de la entrega de la póliza dentro del sobre económico","")))))</f>
        <v/>
      </c>
    </row>
    <row r="23" spans="1:7" ht="18" customHeight="1">
      <c r="A23" s="268"/>
    </row>
    <row r="24" spans="1:7" ht="18" customHeight="1">
      <c r="A24" s="1431" t="s">
        <v>629</v>
      </c>
      <c r="B24" s="1431"/>
      <c r="C24" s="1431"/>
      <c r="D24" s="1431"/>
      <c r="E24" s="1431"/>
      <c r="F24" s="1431"/>
      <c r="G24" s="1431"/>
    </row>
    <row r="25" spans="1:7" ht="18" customHeight="1">
      <c r="A25" s="1432" t="s">
        <v>623</v>
      </c>
      <c r="B25" s="1432" t="s">
        <v>624</v>
      </c>
      <c r="C25" s="1432"/>
      <c r="D25" s="1432" t="s">
        <v>625</v>
      </c>
      <c r="E25" s="1432"/>
      <c r="F25" s="1432" t="s">
        <v>626</v>
      </c>
      <c r="G25" s="1432"/>
    </row>
    <row r="26" spans="1:7" ht="27.75" customHeight="1">
      <c r="A26" s="1432"/>
      <c r="B26" s="262" t="s">
        <v>627</v>
      </c>
      <c r="C26" s="263" t="s">
        <v>628</v>
      </c>
      <c r="D26" s="262" t="s">
        <v>627</v>
      </c>
      <c r="E26" s="263" t="s">
        <v>628</v>
      </c>
      <c r="F26" s="262" t="s">
        <v>627</v>
      </c>
      <c r="G26" s="263" t="s">
        <v>628</v>
      </c>
    </row>
    <row r="27" spans="1:7" ht="18" customHeight="1">
      <c r="A27" s="264"/>
      <c r="B27" s="265"/>
      <c r="C27" s="269" t="str">
        <f>IF(B27="Habilitado","Cumple",(IF(B27="No habilitado","No cumple",(IF(B27="Pendiente","La habilitación queda supeditada a la verificación de la entrega de la póliza dentro del sobre económico","")))))</f>
        <v/>
      </c>
      <c r="D27" s="265"/>
      <c r="E27" s="269" t="str">
        <f>IF(D27="Habilitado","Cumple",(IF(D27="No habilitado","No cumple",(IF(D27="Pendiente","La habilitación queda supeditada a la verificación de la entrega de la póliza dentro del sobre económico","")))))</f>
        <v/>
      </c>
      <c r="F27" s="265"/>
      <c r="G27" s="269" t="str">
        <f>IF(F27="Habilitado","Cumple",(IF(F27="No habilitado","No cumple",(IF(F27="Pendiente","La habilitación queda supeditada a la verificación de la entrega de la póliza dentro del sobre económico","")))))</f>
        <v/>
      </c>
    </row>
    <row r="28" spans="1:7" ht="18" customHeight="1">
      <c r="A28" s="266"/>
      <c r="B28" s="265"/>
      <c r="C28" s="269" t="str">
        <f t="shared" ref="C28" si="7">IF(B28="Habilitado","Cumple",(IF(B28="No habilitado","No cumple",(IF(B28="Pendiente","La habilitación queda supeditada a la verificación de la entrega de la póliza dentro del sobre económico","")))))</f>
        <v/>
      </c>
      <c r="D28" s="265"/>
      <c r="E28" s="269" t="str">
        <f t="shared" ref="E28" si="8">IF(D28="Habilitado","Cumple",(IF(D28="No habilitado","No cumple",(IF(D28="Pendiente","La habilitación queda supeditada a la verificación de la entrega de la póliza dentro del sobre económico","")))))</f>
        <v/>
      </c>
      <c r="F28" s="265"/>
      <c r="G28" s="269" t="str">
        <f t="shared" ref="G28:G33" si="9">IF(F28="Habilitado","Cumple",(IF(F28="No habilitado","No cumple",(IF(F28="Pendiente","La habilitación queda supeditada a la verificación de la entrega de la póliza dentro del sobre económico","")))))</f>
        <v/>
      </c>
    </row>
    <row r="29" spans="1:7" ht="18" customHeight="1">
      <c r="A29" s="267"/>
      <c r="B29" s="265"/>
      <c r="C29" s="269" t="str">
        <f t="shared" ref="C29" si="10">IF(B29="Habilitado","Cumple",(IF(B29="No habilitado","No cumple",(IF(B29="Pendiente","La habilitación queda supeditada a la verificación de la entrega de la póliza dentro del sobre económico","")))))</f>
        <v/>
      </c>
      <c r="D29" s="265"/>
      <c r="E29" s="269" t="str">
        <f t="shared" ref="E29" si="11">IF(D29="Habilitado","Cumple",(IF(D29="No habilitado","No cumple",(IF(D29="Pendiente","La habilitación queda supeditada a la verificación de la entrega de la póliza dentro del sobre económico","")))))</f>
        <v/>
      </c>
      <c r="F29" s="265"/>
      <c r="G29" s="269" t="str">
        <f t="shared" si="9"/>
        <v/>
      </c>
    </row>
    <row r="30" spans="1:7" ht="18" customHeight="1">
      <c r="A30" s="264"/>
      <c r="B30" s="265"/>
      <c r="C30" s="269" t="str">
        <f t="shared" ref="C30" si="12">IF(B30="Habilitado","Cumple",(IF(B30="No habilitado","No cumple",(IF(B30="Pendiente","La habilitación queda supeditada a la verificación de la entrega de la póliza dentro del sobre económico","")))))</f>
        <v/>
      </c>
      <c r="D30" s="265"/>
      <c r="E30" s="269" t="str">
        <f t="shared" ref="E30" si="13">IF(D30="Habilitado","Cumple",(IF(D30="No habilitado","No cumple",(IF(D30="Pendiente","La habilitación queda supeditada a la verificación de la entrega de la póliza dentro del sobre económico","")))))</f>
        <v/>
      </c>
      <c r="F30" s="265"/>
      <c r="G30" s="269" t="str">
        <f t="shared" si="9"/>
        <v/>
      </c>
    </row>
    <row r="31" spans="1:7" ht="18" customHeight="1">
      <c r="A31" s="267"/>
      <c r="B31" s="265"/>
      <c r="C31" s="269" t="str">
        <f t="shared" ref="C31" si="14">IF(B31="Habilitado","Cumple",(IF(B31="No habilitado","No cumple",(IF(B31="Pendiente","La habilitación queda supeditada a la verificación de la entrega de la póliza dentro del sobre económico","")))))</f>
        <v/>
      </c>
      <c r="D31" s="265"/>
      <c r="E31" s="269" t="str">
        <f t="shared" ref="E31" si="15">IF(D31="Habilitado","Cumple",(IF(D31="No habilitado","No cumple",(IF(D31="Pendiente","La habilitación queda supeditada a la verificación de la entrega de la póliza dentro del sobre económico","")))))</f>
        <v/>
      </c>
      <c r="F31" s="265"/>
      <c r="G31" s="269" t="str">
        <f t="shared" si="9"/>
        <v/>
      </c>
    </row>
    <row r="32" spans="1:7" ht="18" customHeight="1">
      <c r="A32" s="264"/>
      <c r="B32" s="265"/>
      <c r="C32" s="269" t="str">
        <f t="shared" ref="C32" si="16">IF(B32="Habilitado","Cumple",(IF(B32="No habilitado","No cumple",(IF(B32="Pendiente","La habilitación queda supeditada a la verificación de la entrega de la póliza dentro del sobre económico","")))))</f>
        <v/>
      </c>
      <c r="D32" s="265"/>
      <c r="E32" s="269" t="str">
        <f t="shared" ref="E32" si="17">IF(D32="Habilitado","Cumple",(IF(D32="No habilitado","No cumple",(IF(D32="Pendiente","La habilitación queda supeditada a la verificación de la entrega de la póliza dentro del sobre económico","")))))</f>
        <v/>
      </c>
      <c r="F32" s="265"/>
      <c r="G32" s="269" t="str">
        <f t="shared" si="9"/>
        <v/>
      </c>
    </row>
    <row r="33" spans="1:7" ht="18" customHeight="1">
      <c r="A33" s="266"/>
      <c r="B33" s="265"/>
      <c r="C33" s="269" t="str">
        <f t="shared" ref="C33" si="18">IF(B33="Habilitado","Cumple",(IF(B33="No habilitado","No cumple",(IF(B33="Pendiente","La habilitación queda supeditada a la verificación de la entrega de la póliza dentro del sobre económico","")))))</f>
        <v/>
      </c>
      <c r="D33" s="265"/>
      <c r="E33" s="269" t="str">
        <f t="shared" ref="E33" si="19">IF(D33="Habilitado","Cumple",(IF(D33="No habilitado","No cumple",(IF(D33="Pendiente","La habilitación queda supeditada a la verificación de la entrega de la póliza dentro del sobre económico","")))))</f>
        <v/>
      </c>
      <c r="F33" s="265"/>
      <c r="G33" s="269" t="str">
        <f t="shared" si="9"/>
        <v/>
      </c>
    </row>
    <row r="35" spans="1:7" ht="18" customHeight="1">
      <c r="A35" s="1431" t="s">
        <v>630</v>
      </c>
      <c r="B35" s="1431"/>
      <c r="C35" s="1431"/>
      <c r="D35" s="1431"/>
      <c r="E35" s="1431"/>
      <c r="F35" s="1431"/>
      <c r="G35" s="1431"/>
    </row>
    <row r="36" spans="1:7" ht="18" customHeight="1">
      <c r="A36" s="1432" t="s">
        <v>623</v>
      </c>
      <c r="B36" s="1432" t="s">
        <v>624</v>
      </c>
      <c r="C36" s="1432"/>
      <c r="D36" s="1432" t="s">
        <v>625</v>
      </c>
      <c r="E36" s="1432"/>
      <c r="F36" s="1432" t="s">
        <v>626</v>
      </c>
      <c r="G36" s="1432"/>
    </row>
    <row r="37" spans="1:7" ht="29.25" customHeight="1">
      <c r="A37" s="1432"/>
      <c r="B37" s="262" t="s">
        <v>627</v>
      </c>
      <c r="C37" s="263" t="s">
        <v>628</v>
      </c>
      <c r="D37" s="262" t="s">
        <v>627</v>
      </c>
      <c r="E37" s="263" t="s">
        <v>628</v>
      </c>
      <c r="F37" s="262" t="s">
        <v>627</v>
      </c>
      <c r="G37" s="263" t="s">
        <v>628</v>
      </c>
    </row>
    <row r="38" spans="1:7" ht="18" customHeight="1">
      <c r="A38" s="264"/>
      <c r="B38" s="265"/>
      <c r="C38" s="269" t="str">
        <f>IF(B38="Habilitado","Cumple",(IF(B38="No habilitado","No cumple",(IF(B38="Pendiente","La habilitación queda supeditada a la verificación de la entrega de la póliza dentro del sobre económico","")))))</f>
        <v/>
      </c>
      <c r="D38" s="265"/>
      <c r="E38" s="269" t="str">
        <f>IF(D38="Habilitado","Cumple",(IF(D38="No habilitado","No cumple",(IF(D38="Pendiente","La habilitación queda supeditada a la verificación de la entrega de la póliza dentro del sobre económico","")))))</f>
        <v/>
      </c>
      <c r="F38" s="265"/>
      <c r="G38" s="269" t="str">
        <f>IF(F38="Habilitado","Cumple",(IF(F38="No habilitado","No cumple",(IF(F38="Pendiente","La habilitación queda supeditada a la verificación de la entrega de la póliza dentro del sobre económico","")))))</f>
        <v/>
      </c>
    </row>
    <row r="39" spans="1:7" ht="18" customHeight="1">
      <c r="A39" s="266"/>
      <c r="B39" s="265"/>
      <c r="C39" s="269" t="str">
        <f t="shared" ref="C39" si="20">IF(B39="Habilitado","Cumple",(IF(B39="No habilitado","No cumple",(IF(B39="Pendiente","La habilitación queda supeditada a la verificación de la entrega de la póliza dentro del sobre económico","")))))</f>
        <v/>
      </c>
      <c r="D39" s="265"/>
      <c r="E39" s="269" t="str">
        <f t="shared" ref="E39" si="21">IF(D39="Habilitado","Cumple",(IF(D39="No habilitado","No cumple",(IF(D39="Pendiente","La habilitación queda supeditada a la verificación de la entrega de la póliza dentro del sobre económico","")))))</f>
        <v/>
      </c>
      <c r="F39" s="265"/>
      <c r="G39" s="269" t="str">
        <f t="shared" ref="G39:G44" si="22">IF(F39="Habilitado","Cumple",(IF(F39="No habilitado","No cumple",(IF(F39="Pendiente","La habilitación queda supeditada a la verificación de la entrega de la póliza dentro del sobre económico","")))))</f>
        <v/>
      </c>
    </row>
    <row r="40" spans="1:7" ht="18" customHeight="1">
      <c r="A40" s="267"/>
      <c r="B40" s="265"/>
      <c r="C40" s="269" t="str">
        <f t="shared" ref="C40" si="23">IF(B40="Habilitado","Cumple",(IF(B40="No habilitado","No cumple",(IF(B40="Pendiente","La habilitación queda supeditada a la verificación de la entrega de la póliza dentro del sobre económico","")))))</f>
        <v/>
      </c>
      <c r="D40" s="265"/>
      <c r="E40" s="269" t="str">
        <f t="shared" ref="E40" si="24">IF(D40="Habilitado","Cumple",(IF(D40="No habilitado","No cumple",(IF(D40="Pendiente","La habilitación queda supeditada a la verificación de la entrega de la póliza dentro del sobre económico","")))))</f>
        <v/>
      </c>
      <c r="F40" s="265"/>
      <c r="G40" s="269" t="str">
        <f t="shared" si="22"/>
        <v/>
      </c>
    </row>
    <row r="41" spans="1:7" ht="18" customHeight="1">
      <c r="A41" s="264"/>
      <c r="B41" s="265"/>
      <c r="C41" s="269" t="str">
        <f t="shared" ref="C41" si="25">IF(B41="Habilitado","Cumple",(IF(B41="No habilitado","No cumple",(IF(B41="Pendiente","La habilitación queda supeditada a la verificación de la entrega de la póliza dentro del sobre económico","")))))</f>
        <v/>
      </c>
      <c r="D41" s="265"/>
      <c r="E41" s="269" t="str">
        <f t="shared" ref="E41" si="26">IF(D41="Habilitado","Cumple",(IF(D41="No habilitado","No cumple",(IF(D41="Pendiente","La habilitación queda supeditada a la verificación de la entrega de la póliza dentro del sobre económico","")))))</f>
        <v/>
      </c>
      <c r="F41" s="265"/>
      <c r="G41" s="269" t="str">
        <f t="shared" si="22"/>
        <v/>
      </c>
    </row>
    <row r="42" spans="1:7" ht="18" customHeight="1">
      <c r="A42" s="267"/>
      <c r="B42" s="265"/>
      <c r="C42" s="269" t="str">
        <f t="shared" ref="C42" si="27">IF(B42="Habilitado","Cumple",(IF(B42="No habilitado","No cumple",(IF(B42="Pendiente","La habilitación queda supeditada a la verificación de la entrega de la póliza dentro del sobre económico","")))))</f>
        <v/>
      </c>
      <c r="D42" s="265"/>
      <c r="E42" s="269" t="str">
        <f t="shared" ref="E42" si="28">IF(D42="Habilitado","Cumple",(IF(D42="No habilitado","No cumple",(IF(D42="Pendiente","La habilitación queda supeditada a la verificación de la entrega de la póliza dentro del sobre económico","")))))</f>
        <v/>
      </c>
      <c r="F42" s="265"/>
      <c r="G42" s="269" t="str">
        <f t="shared" si="22"/>
        <v/>
      </c>
    </row>
    <row r="43" spans="1:7" ht="18" customHeight="1">
      <c r="A43" s="264"/>
      <c r="B43" s="265"/>
      <c r="C43" s="269" t="str">
        <f t="shared" ref="C43" si="29">IF(B43="Habilitado","Cumple",(IF(B43="No habilitado","No cumple",(IF(B43="Pendiente","La habilitación queda supeditada a la verificación de la entrega de la póliza dentro del sobre económico","")))))</f>
        <v/>
      </c>
      <c r="D43" s="265"/>
      <c r="E43" s="269" t="str">
        <f t="shared" ref="E43" si="30">IF(D43="Habilitado","Cumple",(IF(D43="No habilitado","No cumple",(IF(D43="Pendiente","La habilitación queda supeditada a la verificación de la entrega de la póliza dentro del sobre económico","")))))</f>
        <v/>
      </c>
      <c r="F43" s="265"/>
      <c r="G43" s="269" t="str">
        <f t="shared" si="22"/>
        <v/>
      </c>
    </row>
    <row r="44" spans="1:7" ht="18" customHeight="1">
      <c r="A44" s="266"/>
      <c r="B44" s="265"/>
      <c r="C44" s="269" t="str">
        <f t="shared" ref="C44" si="31">IF(B44="Habilitado","Cumple",(IF(B44="No habilitado","No cumple",(IF(B44="Pendiente","La habilitación queda supeditada a la verificación de la entrega de la póliza dentro del sobre económico","")))))</f>
        <v/>
      </c>
      <c r="D44" s="265"/>
      <c r="E44" s="269" t="str">
        <f t="shared" ref="E44" si="32">IF(D44="Habilitado","Cumple",(IF(D44="No habilitado","No cumple",(IF(D44="Pendiente","La habilitación queda supeditada a la verificación de la entrega de la póliza dentro del sobre económico","")))))</f>
        <v/>
      </c>
      <c r="F44" s="265"/>
      <c r="G44" s="269" t="str">
        <f t="shared" si="22"/>
        <v/>
      </c>
    </row>
  </sheetData>
  <sheetProtection algorithmName="SHA-512" hashValue="bw0N9DsWN8uZDC5WgKoNLiQFCfQIGZDwhkqgR4kKJAoK5d2cG+X9KeaJdn4WYNHAfzm4fq+cUFdw8+zQAeQE8Q==" saltValue="iQfTuHaN2nVjinE0S77LPg==" spinCount="100000" sheet="1" formatCells="0" formatColumns="0" formatRows="0" insertColumns="0" insertRows="0" insertHyperlinks="0" deleteColumns="0" deleteRows="0" sort="0" autoFilter="0" pivotTables="0"/>
  <mergeCells count="26">
    <mergeCell ref="A36:A37"/>
    <mergeCell ref="B36:C36"/>
    <mergeCell ref="D36:E36"/>
    <mergeCell ref="F36:G36"/>
    <mergeCell ref="A1:B3"/>
    <mergeCell ref="A25:A26"/>
    <mergeCell ref="B25:C25"/>
    <mergeCell ref="D25:E25"/>
    <mergeCell ref="F25:G25"/>
    <mergeCell ref="A35:G35"/>
    <mergeCell ref="C1:G1"/>
    <mergeCell ref="A5:C5"/>
    <mergeCell ref="F14:G14"/>
    <mergeCell ref="B14:C14"/>
    <mergeCell ref="A14:A15"/>
    <mergeCell ref="D5:G5"/>
    <mergeCell ref="A24:G24"/>
    <mergeCell ref="F3:G3"/>
    <mergeCell ref="C3:E3"/>
    <mergeCell ref="C2:G2"/>
    <mergeCell ref="D6:G6"/>
    <mergeCell ref="D7:G7"/>
    <mergeCell ref="A6:C6"/>
    <mergeCell ref="A7:C7"/>
    <mergeCell ref="D14:E14"/>
    <mergeCell ref="A13:G13"/>
  </mergeCells>
  <conditionalFormatting sqref="B16:G22">
    <cfRule type="containsText" dxfId="5" priority="23" operator="containsText" text="Pendiente">
      <formula>NOT(ISERROR(SEARCH("Pendiente",B16)))</formula>
    </cfRule>
    <cfRule type="containsText" dxfId="4" priority="25" operator="containsText" text="No habilitado">
      <formula>NOT(ISERROR(SEARCH("No habilitado",B16)))</formula>
    </cfRule>
  </conditionalFormatting>
  <conditionalFormatting sqref="B27:G33">
    <cfRule type="containsText" dxfId="3" priority="7" operator="containsText" text="Pendiente">
      <formula>NOT(ISERROR(SEARCH("Pendiente",B27)))</formula>
    </cfRule>
    <cfRule type="containsText" dxfId="2" priority="8" operator="containsText" text="No habilitado">
      <formula>NOT(ISERROR(SEARCH("No habilitado",B27)))</formula>
    </cfRule>
  </conditionalFormatting>
  <conditionalFormatting sqref="B38:G44">
    <cfRule type="containsText" dxfId="1" priority="1" operator="containsText" text="Pendiente">
      <formula>NOT(ISERROR(SEARCH("Pendiente",B38)))</formula>
    </cfRule>
    <cfRule type="containsText" dxfId="0" priority="2" operator="containsText" text="No habilitado">
      <formula>NOT(ISERROR(SEARCH("No habilitado",B38)))</formula>
    </cfRule>
  </conditionalFormatting>
  <dataValidations count="1">
    <dataValidation type="list" allowBlank="1" showInputMessage="1" showErrorMessage="1" sqref="B16:B22 D38:D44 D16:D22 D27:D33 F16:F22 B27:B33 B38:B44 F27:F33 F38:F44" xr:uid="{00000000-0002-0000-1200-000000000000}">
      <formula1>"Habilitado, No habilitado, Pendiente"</formula1>
    </dataValidation>
  </dataValidations>
  <hyperlinks>
    <hyperlink ref="H5" location="ins" display="Instructivo" xr:uid="{00000000-0004-0000-1200-000000000000}"/>
  </hyperlinks>
  <printOptions horizontalCentered="1"/>
  <pageMargins left="0" right="0" top="0" bottom="0" header="0" footer="0"/>
  <pageSetup scale="89" fitToHeight="0" orientation="landscape"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13">
    <tabColor theme="5" tint="0.39997558519241921"/>
    <pageSetUpPr fitToPage="1"/>
  </sheetPr>
  <dimension ref="A1:F95"/>
  <sheetViews>
    <sheetView showGridLines="0" zoomScaleNormal="100" workbookViewId="0">
      <selection activeCell="D19" sqref="D19"/>
    </sheetView>
  </sheetViews>
  <sheetFormatPr defaultColWidth="18.83203125" defaultRowHeight="18" customHeight="1"/>
  <cols>
    <col min="1" max="1" width="43.6640625" style="18" customWidth="1"/>
    <col min="2" max="2" width="24.33203125" style="18" customWidth="1"/>
    <col min="3" max="3" width="23.83203125" style="18" customWidth="1"/>
    <col min="4" max="4" width="28.83203125" style="18" customWidth="1"/>
    <col min="5" max="16384" width="18.83203125" style="18"/>
  </cols>
  <sheetData>
    <row r="1" spans="1:6" ht="18" customHeight="1">
      <c r="A1" s="1437"/>
      <c r="B1" s="1440" t="s">
        <v>0</v>
      </c>
      <c r="C1" s="1441"/>
      <c r="D1" s="1442"/>
      <c r="E1" s="366" t="s">
        <v>104</v>
      </c>
      <c r="F1" s="3"/>
    </row>
    <row r="2" spans="1:6" ht="18" customHeight="1">
      <c r="A2" s="1438"/>
      <c r="B2" s="1445" t="s">
        <v>631</v>
      </c>
      <c r="C2" s="1446"/>
      <c r="D2" s="1447"/>
    </row>
    <row r="3" spans="1:6" ht="18" customHeight="1" thickBot="1">
      <c r="A3" s="1439"/>
      <c r="B3" s="1443" t="s">
        <v>2</v>
      </c>
      <c r="C3" s="1444"/>
      <c r="D3" s="817" t="s">
        <v>3</v>
      </c>
    </row>
    <row r="4" spans="1:6" ht="18" customHeight="1" thickBot="1">
      <c r="A4" s="45"/>
      <c r="B4" s="41"/>
      <c r="C4" s="41"/>
      <c r="D4" s="41"/>
    </row>
    <row r="5" spans="1:6" ht="18" customHeight="1" thickBot="1">
      <c r="A5" s="44" t="s">
        <v>632</v>
      </c>
      <c r="B5" s="1433" t="s">
        <v>633</v>
      </c>
      <c r="C5" s="1434"/>
      <c r="D5" s="1435"/>
    </row>
    <row r="6" spans="1:6" ht="18" customHeight="1" thickBot="1">
      <c r="A6" s="44" t="s">
        <v>534</v>
      </c>
      <c r="B6" s="1433"/>
      <c r="C6" s="1434"/>
      <c r="D6" s="1435"/>
    </row>
    <row r="7" spans="1:6" ht="18" customHeight="1" thickBot="1">
      <c r="A7" s="44" t="s">
        <v>107</v>
      </c>
      <c r="B7" s="1433"/>
      <c r="C7" s="1434"/>
      <c r="D7" s="1435"/>
    </row>
    <row r="8" spans="1:6" ht="39.75" customHeight="1" thickBot="1">
      <c r="A8" s="44" t="s">
        <v>109</v>
      </c>
      <c r="B8" s="1433"/>
      <c r="C8" s="1434"/>
      <c r="D8" s="1435"/>
    </row>
    <row r="9" spans="1:6" ht="18" customHeight="1" thickBot="1">
      <c r="A9" s="44" t="s">
        <v>634</v>
      </c>
      <c r="B9" s="1433"/>
      <c r="C9" s="1434"/>
      <c r="D9" s="1435"/>
    </row>
    <row r="10" spans="1:6" ht="27.75" customHeight="1" thickBot="1">
      <c r="A10" s="44" t="s">
        <v>635</v>
      </c>
      <c r="B10" s="805">
        <v>0.02</v>
      </c>
      <c r="C10" s="46" t="s">
        <v>636</v>
      </c>
      <c r="D10" s="806"/>
    </row>
    <row r="12" spans="1:6" ht="18" customHeight="1">
      <c r="A12" s="1436" t="s">
        <v>637</v>
      </c>
      <c r="B12" s="1436"/>
      <c r="C12" s="1436"/>
      <c r="D12" s="1436"/>
    </row>
    <row r="13" spans="1:6" ht="18" customHeight="1">
      <c r="A13" s="1448" t="s">
        <v>638</v>
      </c>
      <c r="B13" s="1449"/>
      <c r="C13" s="1450"/>
      <c r="D13" s="47">
        <v>0</v>
      </c>
    </row>
    <row r="14" spans="1:6" ht="18" customHeight="1">
      <c r="A14" s="1448" t="s">
        <v>639</v>
      </c>
      <c r="B14" s="1449"/>
      <c r="C14" s="1450"/>
      <c r="D14" s="21">
        <f>D13*$B$10</f>
        <v>0</v>
      </c>
    </row>
    <row r="15" spans="1:6" ht="18" customHeight="1">
      <c r="A15" s="1448" t="s">
        <v>640</v>
      </c>
      <c r="B15" s="1449"/>
      <c r="C15" s="1450"/>
      <c r="D15" s="47">
        <f>D13-D14</f>
        <v>0</v>
      </c>
    </row>
    <row r="16" spans="1:6" ht="18" customHeight="1">
      <c r="A16" s="19"/>
      <c r="B16" s="19"/>
      <c r="C16" s="19"/>
      <c r="D16" s="20"/>
    </row>
    <row r="17" spans="1:4" ht="18" customHeight="1">
      <c r="A17" s="1448" t="s">
        <v>641</v>
      </c>
      <c r="B17" s="1449"/>
      <c r="C17" s="1450"/>
      <c r="D17" s="47">
        <v>0</v>
      </c>
    </row>
    <row r="18" spans="1:4" ht="18" customHeight="1">
      <c r="A18" s="1448" t="s">
        <v>639</v>
      </c>
      <c r="B18" s="1449"/>
      <c r="C18" s="1450"/>
      <c r="D18" s="21">
        <f>D17*$B$10</f>
        <v>0</v>
      </c>
    </row>
    <row r="19" spans="1:4" ht="18" customHeight="1">
      <c r="A19" s="1448" t="s">
        <v>642</v>
      </c>
      <c r="B19" s="1449"/>
      <c r="C19" s="1450"/>
      <c r="D19" s="47">
        <f>+D17-D18</f>
        <v>0</v>
      </c>
    </row>
    <row r="20" spans="1:4" ht="18" customHeight="1">
      <c r="A20" s="19"/>
      <c r="B20" s="19"/>
      <c r="C20" s="19"/>
      <c r="D20" s="16"/>
    </row>
    <row r="21" spans="1:4" ht="18" customHeight="1">
      <c r="A21" s="1448" t="s">
        <v>643</v>
      </c>
      <c r="B21" s="1449"/>
      <c r="C21" s="1450"/>
      <c r="D21" s="47">
        <v>0</v>
      </c>
    </row>
    <row r="22" spans="1:4" ht="18" customHeight="1">
      <c r="A22" s="1448" t="s">
        <v>639</v>
      </c>
      <c r="B22" s="1449"/>
      <c r="C22" s="1450"/>
      <c r="D22" s="21">
        <f>D21*$B$10</f>
        <v>0</v>
      </c>
    </row>
    <row r="23" spans="1:4" ht="18" customHeight="1">
      <c r="A23" s="1448" t="s">
        <v>644</v>
      </c>
      <c r="B23" s="1449"/>
      <c r="C23" s="1450"/>
      <c r="D23" s="47">
        <f>+D21-D22</f>
        <v>0</v>
      </c>
    </row>
    <row r="24" spans="1:4" ht="18" customHeight="1">
      <c r="A24" s="19"/>
      <c r="B24" s="19"/>
      <c r="C24" s="19"/>
      <c r="D24" s="16"/>
    </row>
    <row r="25" spans="1:4" ht="18" customHeight="1">
      <c r="A25" s="1448" t="s">
        <v>645</v>
      </c>
      <c r="B25" s="1449"/>
      <c r="C25" s="1450"/>
      <c r="D25" s="47">
        <v>0</v>
      </c>
    </row>
    <row r="26" spans="1:4" ht="18" customHeight="1">
      <c r="A26" s="1448" t="s">
        <v>639</v>
      </c>
      <c r="B26" s="1449"/>
      <c r="C26" s="1450"/>
      <c r="D26" s="21">
        <f>D25*$B$10</f>
        <v>0</v>
      </c>
    </row>
    <row r="27" spans="1:4" ht="18" customHeight="1">
      <c r="A27" s="1448" t="s">
        <v>646</v>
      </c>
      <c r="B27" s="1449"/>
      <c r="C27" s="1450"/>
      <c r="D27" s="47">
        <f>+D25-D26</f>
        <v>0</v>
      </c>
    </row>
    <row r="28" spans="1:4" ht="18" customHeight="1">
      <c r="A28" s="19"/>
      <c r="B28" s="19"/>
      <c r="C28" s="19"/>
      <c r="D28" s="16"/>
    </row>
    <row r="29" spans="1:4" ht="18" customHeight="1">
      <c r="A29" s="1448" t="s">
        <v>647</v>
      </c>
      <c r="B29" s="1449"/>
      <c r="C29" s="1450"/>
      <c r="D29" s="47">
        <v>0</v>
      </c>
    </row>
    <row r="30" spans="1:4" ht="18" customHeight="1">
      <c r="A30" s="1448" t="s">
        <v>639</v>
      </c>
      <c r="B30" s="1449"/>
      <c r="C30" s="1450"/>
      <c r="D30" s="21">
        <f>D29*$B$10</f>
        <v>0</v>
      </c>
    </row>
    <row r="31" spans="1:4" ht="18" customHeight="1">
      <c r="A31" s="1448" t="s">
        <v>648</v>
      </c>
      <c r="B31" s="1449"/>
      <c r="C31" s="1450"/>
      <c r="D31" s="47">
        <f>+D29-D30</f>
        <v>0</v>
      </c>
    </row>
    <row r="32" spans="1:4" ht="18" customHeight="1">
      <c r="A32" s="19"/>
      <c r="B32" s="19"/>
      <c r="C32" s="19"/>
      <c r="D32" s="16"/>
    </row>
    <row r="33" spans="1:4" ht="18" customHeight="1">
      <c r="A33" s="1448" t="s">
        <v>649</v>
      </c>
      <c r="B33" s="1449"/>
      <c r="C33" s="1450"/>
      <c r="D33" s="47">
        <v>0</v>
      </c>
    </row>
    <row r="34" spans="1:4" ht="18" customHeight="1">
      <c r="A34" s="1448" t="s">
        <v>639</v>
      </c>
      <c r="B34" s="1449"/>
      <c r="C34" s="1450"/>
      <c r="D34" s="21">
        <f>D33*$B$10</f>
        <v>0</v>
      </c>
    </row>
    <row r="35" spans="1:4" ht="18" customHeight="1">
      <c r="A35" s="1448" t="s">
        <v>650</v>
      </c>
      <c r="B35" s="1449"/>
      <c r="C35" s="1450"/>
      <c r="D35" s="47">
        <f>+D33-D34</f>
        <v>0</v>
      </c>
    </row>
    <row r="36" spans="1:4" ht="18" customHeight="1">
      <c r="A36" s="19"/>
      <c r="B36" s="19"/>
      <c r="C36" s="19"/>
      <c r="D36" s="16"/>
    </row>
    <row r="37" spans="1:4" ht="18" customHeight="1">
      <c r="A37" s="1448" t="s">
        <v>651</v>
      </c>
      <c r="B37" s="1449"/>
      <c r="C37" s="1450"/>
      <c r="D37" s="47">
        <v>0</v>
      </c>
    </row>
    <row r="38" spans="1:4" ht="18" customHeight="1">
      <c r="A38" s="1448" t="s">
        <v>639</v>
      </c>
      <c r="B38" s="1449"/>
      <c r="C38" s="1450"/>
      <c r="D38" s="21">
        <f>D37*$B$10</f>
        <v>0</v>
      </c>
    </row>
    <row r="39" spans="1:4" ht="18" customHeight="1">
      <c r="A39" s="1448" t="s">
        <v>652</v>
      </c>
      <c r="B39" s="1449"/>
      <c r="C39" s="1450"/>
      <c r="D39" s="47">
        <f>+D37-D38</f>
        <v>0</v>
      </c>
    </row>
    <row r="40" spans="1:4" ht="18" customHeight="1">
      <c r="A40" s="19"/>
      <c r="B40" s="19"/>
      <c r="C40" s="19"/>
      <c r="D40" s="16"/>
    </row>
    <row r="41" spans="1:4" ht="18" customHeight="1">
      <c r="A41" s="1448" t="s">
        <v>653</v>
      </c>
      <c r="B41" s="1449"/>
      <c r="C41" s="1450"/>
      <c r="D41" s="47">
        <v>0</v>
      </c>
    </row>
    <row r="42" spans="1:4" ht="18" customHeight="1">
      <c r="A42" s="1448" t="s">
        <v>639</v>
      </c>
      <c r="B42" s="1449"/>
      <c r="C42" s="1450"/>
      <c r="D42" s="21">
        <f>D41*$B$10</f>
        <v>0</v>
      </c>
    </row>
    <row r="43" spans="1:4" ht="18" customHeight="1">
      <c r="A43" s="1448" t="s">
        <v>654</v>
      </c>
      <c r="B43" s="1449"/>
      <c r="C43" s="1450"/>
      <c r="D43" s="47">
        <f>+D41-D42</f>
        <v>0</v>
      </c>
    </row>
    <row r="44" spans="1:4" ht="18" customHeight="1">
      <c r="A44" s="19"/>
      <c r="B44" s="19"/>
      <c r="C44" s="19"/>
      <c r="D44" s="16"/>
    </row>
    <row r="45" spans="1:4" ht="18" customHeight="1">
      <c r="A45" s="1448" t="s">
        <v>655</v>
      </c>
      <c r="B45" s="1449"/>
      <c r="C45" s="1450"/>
      <c r="D45" s="47">
        <v>0</v>
      </c>
    </row>
    <row r="46" spans="1:4" ht="18" customHeight="1">
      <c r="A46" s="1448" t="s">
        <v>639</v>
      </c>
      <c r="B46" s="1449"/>
      <c r="C46" s="1450"/>
      <c r="D46" s="21">
        <f>D45*$B$10</f>
        <v>0</v>
      </c>
    </row>
    <row r="47" spans="1:4" ht="18" customHeight="1">
      <c r="A47" s="1448" t="s">
        <v>656</v>
      </c>
      <c r="B47" s="1449"/>
      <c r="C47" s="1450"/>
      <c r="D47" s="47">
        <f>+D45-D46</f>
        <v>0</v>
      </c>
    </row>
    <row r="48" spans="1:4" ht="18" customHeight="1">
      <c r="A48" s="19"/>
      <c r="B48" s="19"/>
      <c r="C48" s="19"/>
      <c r="D48" s="16"/>
    </row>
    <row r="49" spans="1:4" ht="18" customHeight="1">
      <c r="A49" s="1448" t="s">
        <v>657</v>
      </c>
      <c r="B49" s="1449"/>
      <c r="C49" s="1450"/>
      <c r="D49" s="47">
        <v>0</v>
      </c>
    </row>
    <row r="50" spans="1:4" ht="18" customHeight="1">
      <c r="A50" s="1448" t="s">
        <v>639</v>
      </c>
      <c r="B50" s="1449"/>
      <c r="C50" s="1450"/>
      <c r="D50" s="21">
        <f>D49*$B$10</f>
        <v>0</v>
      </c>
    </row>
    <row r="51" spans="1:4" ht="18" customHeight="1">
      <c r="A51" s="1448" t="s">
        <v>658</v>
      </c>
      <c r="B51" s="1449"/>
      <c r="C51" s="1450"/>
      <c r="D51" s="47">
        <f>+D49-D50</f>
        <v>0</v>
      </c>
    </row>
    <row r="52" spans="1:4" ht="18" customHeight="1">
      <c r="A52" s="19"/>
      <c r="B52" s="19"/>
      <c r="C52" s="19"/>
      <c r="D52" s="16"/>
    </row>
    <row r="53" spans="1:4" ht="18" customHeight="1">
      <c r="A53" s="1448" t="s">
        <v>659</v>
      </c>
      <c r="B53" s="1449"/>
      <c r="C53" s="1450"/>
      <c r="D53" s="47">
        <v>0</v>
      </c>
    </row>
    <row r="54" spans="1:4" ht="18" customHeight="1">
      <c r="A54" s="1448" t="s">
        <v>639</v>
      </c>
      <c r="B54" s="1449"/>
      <c r="C54" s="1450"/>
      <c r="D54" s="21">
        <f>D53*$B$10</f>
        <v>0</v>
      </c>
    </row>
    <row r="55" spans="1:4" ht="18" customHeight="1">
      <c r="A55" s="1448" t="s">
        <v>660</v>
      </c>
      <c r="B55" s="1449"/>
      <c r="C55" s="1450"/>
      <c r="D55" s="47">
        <f>+D53-D54</f>
        <v>0</v>
      </c>
    </row>
    <row r="56" spans="1:4" ht="18" customHeight="1">
      <c r="A56" s="19"/>
      <c r="B56" s="19"/>
      <c r="C56" s="19"/>
      <c r="D56" s="16"/>
    </row>
    <row r="57" spans="1:4" ht="18" customHeight="1">
      <c r="A57" s="1448" t="s">
        <v>661</v>
      </c>
      <c r="B57" s="1449"/>
      <c r="C57" s="1450"/>
      <c r="D57" s="47">
        <v>0</v>
      </c>
    </row>
    <row r="58" spans="1:4" ht="18" customHeight="1">
      <c r="A58" s="1448" t="s">
        <v>639</v>
      </c>
      <c r="B58" s="1449"/>
      <c r="C58" s="1450"/>
      <c r="D58" s="21">
        <f>D57*$B$10</f>
        <v>0</v>
      </c>
    </row>
    <row r="59" spans="1:4" ht="18" customHeight="1">
      <c r="A59" s="1448" t="s">
        <v>662</v>
      </c>
      <c r="B59" s="1449"/>
      <c r="C59" s="1450"/>
      <c r="D59" s="47">
        <f>+D57-D58</f>
        <v>0</v>
      </c>
    </row>
    <row r="60" spans="1:4" ht="18" customHeight="1">
      <c r="A60" s="19"/>
      <c r="B60" s="19"/>
      <c r="C60" s="19"/>
      <c r="D60" s="16"/>
    </row>
    <row r="61" spans="1:4" ht="18" customHeight="1">
      <c r="A61" s="1448" t="s">
        <v>663</v>
      </c>
      <c r="B61" s="1449"/>
      <c r="C61" s="1450"/>
      <c r="D61" s="47">
        <v>0</v>
      </c>
    </row>
    <row r="62" spans="1:4" ht="18" customHeight="1">
      <c r="A62" s="1448" t="s">
        <v>639</v>
      </c>
      <c r="B62" s="1449"/>
      <c r="C62" s="1450"/>
      <c r="D62" s="21">
        <f>D61*$B$10</f>
        <v>0</v>
      </c>
    </row>
    <row r="63" spans="1:4" ht="18" customHeight="1">
      <c r="A63" s="1448" t="s">
        <v>664</v>
      </c>
      <c r="B63" s="1449"/>
      <c r="C63" s="1450"/>
      <c r="D63" s="47">
        <f>+D61-D62</f>
        <v>0</v>
      </c>
    </row>
    <row r="64" spans="1:4" ht="18" customHeight="1">
      <c r="D64" s="17"/>
    </row>
    <row r="65" spans="1:4" ht="18" customHeight="1">
      <c r="A65" s="1448" t="s">
        <v>665</v>
      </c>
      <c r="B65" s="1449"/>
      <c r="C65" s="1450"/>
      <c r="D65" s="47">
        <v>0</v>
      </c>
    </row>
    <row r="66" spans="1:4" ht="18" customHeight="1">
      <c r="A66" s="1448" t="s">
        <v>639</v>
      </c>
      <c r="B66" s="1449"/>
      <c r="C66" s="1450"/>
      <c r="D66" s="21">
        <f>D65*$B$10</f>
        <v>0</v>
      </c>
    </row>
    <row r="67" spans="1:4" ht="18" customHeight="1">
      <c r="A67" s="1448" t="s">
        <v>666</v>
      </c>
      <c r="B67" s="1449"/>
      <c r="C67" s="1450"/>
      <c r="D67" s="47">
        <f>+D65-D66</f>
        <v>0</v>
      </c>
    </row>
    <row r="68" spans="1:4" ht="18" customHeight="1">
      <c r="A68" s="19"/>
      <c r="B68" s="19"/>
      <c r="C68" s="19"/>
      <c r="D68" s="16"/>
    </row>
    <row r="69" spans="1:4" ht="18" customHeight="1">
      <c r="A69" s="1448" t="s">
        <v>667</v>
      </c>
      <c r="B69" s="1449"/>
      <c r="C69" s="1450"/>
      <c r="D69" s="47">
        <v>0</v>
      </c>
    </row>
    <row r="70" spans="1:4" ht="18" customHeight="1">
      <c r="A70" s="1448" t="s">
        <v>639</v>
      </c>
      <c r="B70" s="1449"/>
      <c r="C70" s="1450"/>
      <c r="D70" s="21">
        <f>D69*$B$10</f>
        <v>0</v>
      </c>
    </row>
    <row r="71" spans="1:4" ht="18" customHeight="1">
      <c r="A71" s="1448" t="s">
        <v>668</v>
      </c>
      <c r="B71" s="1449"/>
      <c r="C71" s="1450"/>
      <c r="D71" s="47">
        <f>+D69-D70</f>
        <v>0</v>
      </c>
    </row>
    <row r="72" spans="1:4" ht="18" customHeight="1">
      <c r="A72" s="19"/>
      <c r="B72" s="19"/>
      <c r="C72" s="19"/>
      <c r="D72" s="16"/>
    </row>
    <row r="73" spans="1:4" ht="18" customHeight="1">
      <c r="A73" s="1448" t="s">
        <v>669</v>
      </c>
      <c r="B73" s="1449"/>
      <c r="C73" s="1450"/>
      <c r="D73" s="47">
        <v>0</v>
      </c>
    </row>
    <row r="74" spans="1:4" ht="18" customHeight="1">
      <c r="A74" s="1448" t="s">
        <v>639</v>
      </c>
      <c r="B74" s="1449"/>
      <c r="C74" s="1450"/>
      <c r="D74" s="21">
        <f>D73*$B$10</f>
        <v>0</v>
      </c>
    </row>
    <row r="75" spans="1:4" ht="18" customHeight="1">
      <c r="A75" s="1448" t="s">
        <v>670</v>
      </c>
      <c r="B75" s="1449"/>
      <c r="C75" s="1450"/>
      <c r="D75" s="47">
        <f>+D73-D74</f>
        <v>0</v>
      </c>
    </row>
    <row r="76" spans="1:4" ht="18" customHeight="1">
      <c r="A76" s="19"/>
      <c r="B76" s="19"/>
      <c r="C76" s="19"/>
      <c r="D76" s="16"/>
    </row>
    <row r="77" spans="1:4" ht="18" customHeight="1">
      <c r="A77" s="1448" t="s">
        <v>671</v>
      </c>
      <c r="B77" s="1449"/>
      <c r="C77" s="1450"/>
      <c r="D77" s="47">
        <v>0</v>
      </c>
    </row>
    <row r="78" spans="1:4" ht="18" customHeight="1">
      <c r="A78" s="1448" t="s">
        <v>639</v>
      </c>
      <c r="B78" s="1449"/>
      <c r="C78" s="1450"/>
      <c r="D78" s="21">
        <f>D77*$B$10</f>
        <v>0</v>
      </c>
    </row>
    <row r="79" spans="1:4" ht="18" customHeight="1">
      <c r="A79" s="1448" t="s">
        <v>672</v>
      </c>
      <c r="B79" s="1449"/>
      <c r="C79" s="1450"/>
      <c r="D79" s="47">
        <f>+D77-D78</f>
        <v>0</v>
      </c>
    </row>
    <row r="80" spans="1:4" ht="18" customHeight="1">
      <c r="A80" s="19"/>
      <c r="B80" s="19"/>
      <c r="C80" s="19"/>
      <c r="D80" s="16"/>
    </row>
    <row r="81" spans="1:4" ht="18" customHeight="1">
      <c r="A81" s="1448" t="s">
        <v>673</v>
      </c>
      <c r="B81" s="1449"/>
      <c r="C81" s="1450"/>
      <c r="D81" s="47">
        <v>0</v>
      </c>
    </row>
    <row r="82" spans="1:4" ht="18" customHeight="1">
      <c r="A82" s="1448" t="s">
        <v>639</v>
      </c>
      <c r="B82" s="1449"/>
      <c r="C82" s="1450"/>
      <c r="D82" s="21">
        <f>D81*$B$10</f>
        <v>0</v>
      </c>
    </row>
    <row r="83" spans="1:4" ht="18" customHeight="1">
      <c r="A83" s="1448" t="s">
        <v>674</v>
      </c>
      <c r="B83" s="1449"/>
      <c r="C83" s="1450"/>
      <c r="D83" s="47">
        <f>+D81-D82</f>
        <v>0</v>
      </c>
    </row>
    <row r="84" spans="1:4" ht="18" customHeight="1">
      <c r="D84" s="17"/>
    </row>
    <row r="85" spans="1:4" ht="18" customHeight="1">
      <c r="A85" s="1448" t="s">
        <v>675</v>
      </c>
      <c r="B85" s="1449"/>
      <c r="C85" s="1450"/>
      <c r="D85" s="47">
        <v>0</v>
      </c>
    </row>
    <row r="86" spans="1:4" ht="18" customHeight="1">
      <c r="A86" s="1448" t="s">
        <v>639</v>
      </c>
      <c r="B86" s="1449"/>
      <c r="C86" s="1450"/>
      <c r="D86" s="21">
        <f>D85*$B$10</f>
        <v>0</v>
      </c>
    </row>
    <row r="87" spans="1:4" ht="18" customHeight="1">
      <c r="A87" s="1448" t="s">
        <v>676</v>
      </c>
      <c r="B87" s="1449"/>
      <c r="C87" s="1450"/>
      <c r="D87" s="47">
        <f>+D85-D86</f>
        <v>0</v>
      </c>
    </row>
    <row r="88" spans="1:4" ht="18" customHeight="1">
      <c r="A88" s="19"/>
      <c r="B88" s="19"/>
      <c r="C88" s="19"/>
      <c r="D88" s="16"/>
    </row>
    <row r="89" spans="1:4" ht="18" customHeight="1">
      <c r="A89" s="1448" t="s">
        <v>677</v>
      </c>
      <c r="B89" s="1449"/>
      <c r="C89" s="1450"/>
      <c r="D89" s="47">
        <v>0</v>
      </c>
    </row>
    <row r="90" spans="1:4" ht="18" customHeight="1">
      <c r="A90" s="1448" t="s">
        <v>639</v>
      </c>
      <c r="B90" s="1449"/>
      <c r="C90" s="1450"/>
      <c r="D90" s="21">
        <f>D89*$B$10</f>
        <v>0</v>
      </c>
    </row>
    <row r="91" spans="1:4" ht="18" customHeight="1">
      <c r="A91" s="1448" t="s">
        <v>678</v>
      </c>
      <c r="B91" s="1449"/>
      <c r="C91" s="1450"/>
      <c r="D91" s="47">
        <f>+D89-D90</f>
        <v>0</v>
      </c>
    </row>
    <row r="92" spans="1:4" ht="18" customHeight="1">
      <c r="A92" s="19"/>
      <c r="B92" s="19"/>
      <c r="C92" s="19"/>
      <c r="D92" s="16"/>
    </row>
    <row r="93" spans="1:4" ht="18" customHeight="1">
      <c r="A93" s="1448" t="s">
        <v>679</v>
      </c>
      <c r="B93" s="1449"/>
      <c r="C93" s="1450"/>
      <c r="D93" s="47">
        <v>0</v>
      </c>
    </row>
    <row r="94" spans="1:4" ht="18" customHeight="1">
      <c r="A94" s="1448" t="s">
        <v>639</v>
      </c>
      <c r="B94" s="1449"/>
      <c r="C94" s="1450"/>
      <c r="D94" s="21">
        <f>D93*$B$10</f>
        <v>0</v>
      </c>
    </row>
    <row r="95" spans="1:4" ht="18" customHeight="1">
      <c r="A95" s="1448" t="s">
        <v>680</v>
      </c>
      <c r="B95" s="1449"/>
      <c r="C95" s="1450"/>
      <c r="D95" s="47">
        <f>+D93-D94</f>
        <v>0</v>
      </c>
    </row>
  </sheetData>
  <mergeCells count="73">
    <mergeCell ref="A93:C93"/>
    <mergeCell ref="A94:C94"/>
    <mergeCell ref="A95:C95"/>
    <mergeCell ref="A85:C85"/>
    <mergeCell ref="A86:C86"/>
    <mergeCell ref="A87:C87"/>
    <mergeCell ref="A89:C89"/>
    <mergeCell ref="A90:C90"/>
    <mergeCell ref="A91:C91"/>
    <mergeCell ref="A83:C83"/>
    <mergeCell ref="A69:C69"/>
    <mergeCell ref="A70:C70"/>
    <mergeCell ref="A71:C71"/>
    <mergeCell ref="A73:C73"/>
    <mergeCell ref="A74:C74"/>
    <mergeCell ref="A75:C75"/>
    <mergeCell ref="A77:C77"/>
    <mergeCell ref="A78:C78"/>
    <mergeCell ref="A79:C79"/>
    <mergeCell ref="A81:C81"/>
    <mergeCell ref="A82:C82"/>
    <mergeCell ref="A67:C67"/>
    <mergeCell ref="A53:C53"/>
    <mergeCell ref="A54:C54"/>
    <mergeCell ref="A55:C55"/>
    <mergeCell ref="A57:C57"/>
    <mergeCell ref="A58:C58"/>
    <mergeCell ref="A59:C59"/>
    <mergeCell ref="A61:C61"/>
    <mergeCell ref="A62:C62"/>
    <mergeCell ref="A63:C63"/>
    <mergeCell ref="A65:C65"/>
    <mergeCell ref="A66:C66"/>
    <mergeCell ref="A51:C51"/>
    <mergeCell ref="A37:C37"/>
    <mergeCell ref="A38:C38"/>
    <mergeCell ref="A39:C39"/>
    <mergeCell ref="A41:C41"/>
    <mergeCell ref="A42:C42"/>
    <mergeCell ref="A43:C43"/>
    <mergeCell ref="A45:C45"/>
    <mergeCell ref="A46:C46"/>
    <mergeCell ref="A47:C47"/>
    <mergeCell ref="A49:C49"/>
    <mergeCell ref="A50:C50"/>
    <mergeCell ref="A35:C35"/>
    <mergeCell ref="A21:C21"/>
    <mergeCell ref="A22:C22"/>
    <mergeCell ref="A23:C23"/>
    <mergeCell ref="A25:C25"/>
    <mergeCell ref="A26:C26"/>
    <mergeCell ref="A27:C27"/>
    <mergeCell ref="A29:C29"/>
    <mergeCell ref="A30:C30"/>
    <mergeCell ref="A31:C31"/>
    <mergeCell ref="A33:C33"/>
    <mergeCell ref="A34:C34"/>
    <mergeCell ref="A19:C19"/>
    <mergeCell ref="A13:C13"/>
    <mergeCell ref="A15:C15"/>
    <mergeCell ref="A17:C17"/>
    <mergeCell ref="A18:C18"/>
    <mergeCell ref="A14:C14"/>
    <mergeCell ref="B7:D7"/>
    <mergeCell ref="B8:D8"/>
    <mergeCell ref="B9:D9"/>
    <mergeCell ref="A12:D12"/>
    <mergeCell ref="A1:A3"/>
    <mergeCell ref="B1:D1"/>
    <mergeCell ref="B5:D5"/>
    <mergeCell ref="B3:C3"/>
    <mergeCell ref="B2:D2"/>
    <mergeCell ref="B6:D6"/>
  </mergeCells>
  <hyperlinks>
    <hyperlink ref="E1" location="ins" display="Instructivo" xr:uid="{00000000-0004-0000-1300-000000000000}"/>
  </hyperlinks>
  <printOptions horizontalCentered="1"/>
  <pageMargins left="0" right="0" top="0" bottom="0" header="0" footer="0"/>
  <pageSetup fitToHeight="0" orientation="landscape" horizontalDpi="4294967294" verticalDpi="4294967294" r:id="rId1"/>
  <drawing r:id="rId2"/>
  <legacy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5">
    <tabColor theme="5" tint="0.39997558519241921"/>
    <pageSetUpPr fitToPage="1"/>
  </sheetPr>
  <dimension ref="A1:I48"/>
  <sheetViews>
    <sheetView showGridLines="0" zoomScaleNormal="100" workbookViewId="0">
      <selection activeCell="I8" sqref="I8"/>
    </sheetView>
  </sheetViews>
  <sheetFormatPr defaultColWidth="18.83203125" defaultRowHeight="18" customHeight="1"/>
  <cols>
    <col min="1" max="1" width="10.83203125" style="18" customWidth="1"/>
    <col min="2" max="2" width="26.6640625" style="18" customWidth="1"/>
    <col min="3" max="7" width="18.83203125" style="18"/>
    <col min="8" max="8" width="10.83203125" style="18" customWidth="1"/>
    <col min="9" max="16384" width="18.83203125" style="18"/>
  </cols>
  <sheetData>
    <row r="1" spans="1:9" ht="18" customHeight="1">
      <c r="A1" s="1437"/>
      <c r="B1" s="1455"/>
      <c r="C1" s="1458" t="s">
        <v>0</v>
      </c>
      <c r="D1" s="1458"/>
      <c r="E1" s="1458"/>
      <c r="F1" s="1458"/>
      <c r="G1" s="1458"/>
      <c r="H1" s="1459"/>
      <c r="I1" s="366" t="s">
        <v>104</v>
      </c>
    </row>
    <row r="2" spans="1:9" ht="18" customHeight="1">
      <c r="A2" s="1438"/>
      <c r="B2" s="1456"/>
      <c r="C2" s="1460" t="s">
        <v>681</v>
      </c>
      <c r="D2" s="1460"/>
      <c r="E2" s="1460"/>
      <c r="F2" s="1460"/>
      <c r="G2" s="1460"/>
      <c r="H2" s="1461"/>
    </row>
    <row r="3" spans="1:9" ht="18" customHeight="1" thickBot="1">
      <c r="A3" s="1439"/>
      <c r="B3" s="1457"/>
      <c r="C3" s="1462" t="s">
        <v>2</v>
      </c>
      <c r="D3" s="1462"/>
      <c r="E3" s="1462"/>
      <c r="F3" s="1462"/>
      <c r="G3" s="1462" t="s">
        <v>3</v>
      </c>
      <c r="H3" s="1463"/>
    </row>
    <row r="4" spans="1:9" ht="18" customHeight="1">
      <c r="A4" s="45"/>
      <c r="B4" s="45"/>
      <c r="C4" s="41"/>
      <c r="D4" s="41"/>
      <c r="E4" s="41"/>
      <c r="F4" s="41"/>
      <c r="G4" s="41"/>
      <c r="H4" s="41"/>
    </row>
    <row r="5" spans="1:9" ht="18" customHeight="1">
      <c r="A5" s="45"/>
      <c r="B5" s="45"/>
      <c r="C5" s="41"/>
      <c r="D5" s="41"/>
      <c r="E5" s="41"/>
      <c r="F5" s="41"/>
      <c r="G5" s="41"/>
      <c r="H5" s="41"/>
    </row>
    <row r="6" spans="1:9" ht="18" customHeight="1" thickBot="1"/>
    <row r="7" spans="1:9" ht="18" customHeight="1">
      <c r="A7" s="22"/>
      <c r="B7" s="23"/>
      <c r="C7" s="23"/>
      <c r="D7" s="23"/>
      <c r="E7" s="23"/>
      <c r="F7" s="23"/>
      <c r="G7" s="23"/>
      <c r="H7" s="24"/>
    </row>
    <row r="8" spans="1:9" ht="18" customHeight="1">
      <c r="A8" s="25"/>
      <c r="B8" s="1452" t="s">
        <v>435</v>
      </c>
      <c r="C8" s="1452"/>
      <c r="D8" s="1452"/>
      <c r="E8" s="1452"/>
      <c r="F8" s="1452"/>
      <c r="G8" s="1452"/>
      <c r="H8" s="26"/>
    </row>
    <row r="9" spans="1:9" ht="26.25" customHeight="1">
      <c r="A9" s="25"/>
      <c r="B9" s="1451" t="s">
        <v>682</v>
      </c>
      <c r="C9" s="1452"/>
      <c r="D9" s="1452"/>
      <c r="E9" s="1452"/>
      <c r="F9" s="1452"/>
      <c r="G9" s="1452"/>
      <c r="H9" s="26"/>
    </row>
    <row r="10" spans="1:9" ht="18" customHeight="1">
      <c r="A10" s="25"/>
      <c r="H10" s="26"/>
    </row>
    <row r="11" spans="1:9" ht="18" customHeight="1">
      <c r="A11" s="25"/>
      <c r="B11" s="27" t="s">
        <v>683</v>
      </c>
      <c r="C11" s="1453" t="s">
        <v>684</v>
      </c>
      <c r="D11" s="1453"/>
      <c r="E11" s="1453"/>
      <c r="F11" s="1453"/>
      <c r="G11" s="1453"/>
      <c r="H11" s="26"/>
    </row>
    <row r="12" spans="1:9" ht="18" customHeight="1" thickBot="1">
      <c r="A12" s="25"/>
      <c r="B12" s="27" t="s">
        <v>534</v>
      </c>
      <c r="C12" s="49"/>
      <c r="D12" s="28"/>
      <c r="E12" s="28"/>
      <c r="F12" s="27" t="s">
        <v>685</v>
      </c>
      <c r="G12" s="50"/>
      <c r="H12" s="26"/>
    </row>
    <row r="13" spans="1:9" ht="18" customHeight="1" thickBot="1">
      <c r="A13" s="25"/>
      <c r="B13" s="27" t="s">
        <v>686</v>
      </c>
      <c r="C13" s="1454"/>
      <c r="D13" s="1454"/>
      <c r="E13" s="1454"/>
      <c r="F13" s="1454"/>
      <c r="G13" s="1454"/>
      <c r="H13" s="26"/>
    </row>
    <row r="14" spans="1:9" ht="18" customHeight="1">
      <c r="A14" s="25"/>
      <c r="B14" s="27"/>
      <c r="H14" s="26"/>
    </row>
    <row r="15" spans="1:9" ht="18" customHeight="1" thickBot="1">
      <c r="A15" s="25"/>
      <c r="B15" s="27" t="s">
        <v>687</v>
      </c>
      <c r="C15" s="28"/>
      <c r="D15" s="28"/>
      <c r="H15" s="26"/>
    </row>
    <row r="16" spans="1:9" ht="18" customHeight="1">
      <c r="A16" s="25"/>
      <c r="B16" s="27"/>
      <c r="H16" s="26"/>
    </row>
    <row r="17" spans="1:8" ht="18" customHeight="1" thickBot="1">
      <c r="A17" s="25"/>
      <c r="B17" s="27" t="s">
        <v>688</v>
      </c>
      <c r="C17" s="28"/>
      <c r="H17" s="26"/>
    </row>
    <row r="18" spans="1:8" ht="18" customHeight="1">
      <c r="A18" s="25"/>
      <c r="B18" s="27"/>
      <c r="H18" s="26"/>
    </row>
    <row r="19" spans="1:8" ht="18" customHeight="1" thickBot="1">
      <c r="A19" s="25"/>
      <c r="B19" s="27" t="s">
        <v>689</v>
      </c>
      <c r="C19" s="28" t="s">
        <v>690</v>
      </c>
      <c r="D19" s="28"/>
      <c r="E19" s="28"/>
      <c r="F19" s="28"/>
      <c r="G19" s="28"/>
      <c r="H19" s="26"/>
    </row>
    <row r="20" spans="1:8" ht="18" customHeight="1">
      <c r="A20" s="25"/>
      <c r="B20" s="27"/>
      <c r="H20" s="26"/>
    </row>
    <row r="21" spans="1:8" ht="18" customHeight="1" thickBot="1">
      <c r="A21" s="25"/>
      <c r="B21" s="27" t="s">
        <v>691</v>
      </c>
      <c r="C21" s="28"/>
      <c r="D21" s="28"/>
      <c r="E21" s="28"/>
      <c r="F21" s="28"/>
      <c r="G21" s="28"/>
      <c r="H21" s="26"/>
    </row>
    <row r="22" spans="1:8" ht="18" customHeight="1">
      <c r="A22" s="25"/>
      <c r="B22" s="27"/>
      <c r="H22" s="26"/>
    </row>
    <row r="23" spans="1:8" ht="18" customHeight="1" thickBot="1">
      <c r="A23" s="25"/>
      <c r="B23" s="27" t="s">
        <v>692</v>
      </c>
      <c r="C23" s="28"/>
      <c r="D23" s="28"/>
      <c r="E23" s="28"/>
      <c r="F23" s="28"/>
      <c r="G23" s="28"/>
      <c r="H23" s="26"/>
    </row>
    <row r="24" spans="1:8" ht="18" customHeight="1">
      <c r="A24" s="25"/>
      <c r="H24" s="26"/>
    </row>
    <row r="25" spans="1:8" ht="18" customHeight="1" thickBot="1">
      <c r="A25" s="29"/>
      <c r="B25" s="28"/>
      <c r="C25" s="28"/>
      <c r="D25" s="28"/>
      <c r="E25" s="28"/>
      <c r="F25" s="28"/>
      <c r="G25" s="28"/>
      <c r="H25" s="30"/>
    </row>
    <row r="27" spans="1:8" ht="18" customHeight="1">
      <c r="A27" s="48"/>
      <c r="B27" s="48"/>
      <c r="C27" s="48"/>
      <c r="D27" s="48"/>
      <c r="E27" s="48"/>
      <c r="F27" s="48"/>
      <c r="G27" s="48"/>
      <c r="H27" s="48"/>
    </row>
    <row r="29" spans="1:8" ht="18" customHeight="1" thickBot="1"/>
    <row r="30" spans="1:8" ht="18" customHeight="1">
      <c r="A30" s="22"/>
      <c r="B30" s="23"/>
      <c r="C30" s="23"/>
      <c r="D30" s="23"/>
      <c r="E30" s="23"/>
      <c r="F30" s="23"/>
      <c r="G30" s="23"/>
      <c r="H30" s="24"/>
    </row>
    <row r="31" spans="1:8" ht="18" customHeight="1">
      <c r="A31" s="25"/>
      <c r="B31" s="1452" t="s">
        <v>435</v>
      </c>
      <c r="C31" s="1452"/>
      <c r="D31" s="1452"/>
      <c r="E31" s="1452"/>
      <c r="F31" s="1452"/>
      <c r="G31" s="1452"/>
      <c r="H31" s="26"/>
    </row>
    <row r="32" spans="1:8" ht="27.75" customHeight="1">
      <c r="A32" s="25"/>
      <c r="B32" s="1451" t="s">
        <v>682</v>
      </c>
      <c r="C32" s="1452"/>
      <c r="D32" s="1452"/>
      <c r="E32" s="1452"/>
      <c r="F32" s="1452"/>
      <c r="G32" s="1452"/>
      <c r="H32" s="26"/>
    </row>
    <row r="33" spans="1:8" ht="18" customHeight="1">
      <c r="A33" s="25"/>
      <c r="H33" s="26"/>
    </row>
    <row r="34" spans="1:8" ht="18" customHeight="1">
      <c r="A34" s="25"/>
      <c r="B34" s="27" t="s">
        <v>683</v>
      </c>
      <c r="C34" s="1453" t="s">
        <v>684</v>
      </c>
      <c r="D34" s="1453"/>
      <c r="E34" s="1453"/>
      <c r="F34" s="1453"/>
      <c r="G34" s="1453"/>
      <c r="H34" s="26"/>
    </row>
    <row r="35" spans="1:8" ht="18" customHeight="1" thickBot="1">
      <c r="A35" s="25"/>
      <c r="B35" s="27" t="s">
        <v>534</v>
      </c>
      <c r="C35" s="49"/>
      <c r="D35" s="28"/>
      <c r="E35" s="28"/>
      <c r="F35" s="27" t="s">
        <v>685</v>
      </c>
      <c r="G35" s="50"/>
      <c r="H35" s="26"/>
    </row>
    <row r="36" spans="1:8" ht="18" customHeight="1" thickBot="1">
      <c r="A36" s="25"/>
      <c r="B36" s="27" t="s">
        <v>686</v>
      </c>
      <c r="C36" s="1454"/>
      <c r="D36" s="1454"/>
      <c r="E36" s="1454"/>
      <c r="F36" s="1454"/>
      <c r="G36" s="1454"/>
      <c r="H36" s="26"/>
    </row>
    <row r="37" spans="1:8" ht="18" customHeight="1">
      <c r="A37" s="25"/>
      <c r="B37" s="27"/>
      <c r="H37" s="26"/>
    </row>
    <row r="38" spans="1:8" ht="18" customHeight="1" thickBot="1">
      <c r="A38" s="25"/>
      <c r="B38" s="27" t="s">
        <v>687</v>
      </c>
      <c r="C38" s="28"/>
      <c r="D38" s="28"/>
      <c r="H38" s="26"/>
    </row>
    <row r="39" spans="1:8" ht="18" customHeight="1">
      <c r="A39" s="25"/>
      <c r="B39" s="27"/>
      <c r="H39" s="26"/>
    </row>
    <row r="40" spans="1:8" ht="18" customHeight="1" thickBot="1">
      <c r="A40" s="25"/>
      <c r="B40" s="27" t="s">
        <v>688</v>
      </c>
      <c r="C40" s="28"/>
      <c r="H40" s="26"/>
    </row>
    <row r="41" spans="1:8" ht="18" customHeight="1">
      <c r="A41" s="25"/>
      <c r="B41" s="27"/>
      <c r="H41" s="26"/>
    </row>
    <row r="42" spans="1:8" ht="18" customHeight="1" thickBot="1">
      <c r="A42" s="25"/>
      <c r="B42" s="27" t="s">
        <v>689</v>
      </c>
      <c r="C42" s="28" t="s">
        <v>690</v>
      </c>
      <c r="D42" s="28"/>
      <c r="E42" s="28"/>
      <c r="F42" s="28"/>
      <c r="G42" s="28"/>
      <c r="H42" s="26"/>
    </row>
    <row r="43" spans="1:8" ht="18" customHeight="1">
      <c r="A43" s="25"/>
      <c r="B43" s="27"/>
      <c r="H43" s="26"/>
    </row>
    <row r="44" spans="1:8" ht="18" customHeight="1" thickBot="1">
      <c r="A44" s="25"/>
      <c r="B44" s="27" t="s">
        <v>691</v>
      </c>
      <c r="C44" s="28"/>
      <c r="D44" s="28"/>
      <c r="E44" s="28"/>
      <c r="F44" s="28"/>
      <c r="G44" s="28"/>
      <c r="H44" s="26"/>
    </row>
    <row r="45" spans="1:8" ht="18" customHeight="1">
      <c r="A45" s="25"/>
      <c r="B45" s="27"/>
      <c r="H45" s="26"/>
    </row>
    <row r="46" spans="1:8" ht="18" customHeight="1" thickBot="1">
      <c r="A46" s="25"/>
      <c r="B46" s="27" t="s">
        <v>692</v>
      </c>
      <c r="C46" s="28"/>
      <c r="D46" s="28"/>
      <c r="E46" s="28"/>
      <c r="F46" s="28"/>
      <c r="G46" s="28"/>
      <c r="H46" s="26"/>
    </row>
    <row r="47" spans="1:8" ht="18" customHeight="1">
      <c r="A47" s="25"/>
      <c r="H47" s="26"/>
    </row>
    <row r="48" spans="1:8" ht="18" customHeight="1" thickBot="1">
      <c r="A48" s="29"/>
      <c r="B48" s="28"/>
      <c r="C48" s="28"/>
      <c r="D48" s="28"/>
      <c r="E48" s="28"/>
      <c r="F48" s="28"/>
      <c r="G48" s="28"/>
      <c r="H48" s="30"/>
    </row>
  </sheetData>
  <mergeCells count="13">
    <mergeCell ref="B32:G32"/>
    <mergeCell ref="C34:G34"/>
    <mergeCell ref="C36:G36"/>
    <mergeCell ref="A1:B3"/>
    <mergeCell ref="C1:H1"/>
    <mergeCell ref="C2:H2"/>
    <mergeCell ref="C3:F3"/>
    <mergeCell ref="G3:H3"/>
    <mergeCell ref="B8:G8"/>
    <mergeCell ref="B9:G9"/>
    <mergeCell ref="C13:G13"/>
    <mergeCell ref="C11:G11"/>
    <mergeCell ref="B31:G31"/>
  </mergeCells>
  <hyperlinks>
    <hyperlink ref="I1" location="ins" display="Instructivo" xr:uid="{00000000-0004-0000-1400-000000000000}"/>
  </hyperlinks>
  <printOptions horizontalCentered="1" verticalCentered="1"/>
  <pageMargins left="0.70866141732283472" right="0.70866141732283472" top="0.55118110236220474" bottom="0.55118110236220474" header="0" footer="0"/>
  <pageSetup scale="70" fitToHeight="0" orientation="portrait" horizontalDpi="4294967294" verticalDpi="4294967294"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6">
    <tabColor theme="5" tint="0.39997558519241921"/>
    <pageSetUpPr fitToPage="1"/>
  </sheetPr>
  <dimension ref="A1:I49"/>
  <sheetViews>
    <sheetView showGridLines="0" zoomScaleNormal="100" workbookViewId="0">
      <selection activeCell="D19" sqref="D19"/>
    </sheetView>
  </sheetViews>
  <sheetFormatPr defaultColWidth="18.83203125" defaultRowHeight="18" customHeight="1"/>
  <cols>
    <col min="1" max="1" width="10.83203125" style="31" customWidth="1"/>
    <col min="2" max="2" width="26.1640625" style="31" customWidth="1"/>
    <col min="3" max="7" width="18.83203125" style="31"/>
    <col min="8" max="8" width="10.83203125" style="31" customWidth="1"/>
    <col min="9" max="16384" width="18.83203125" style="31"/>
  </cols>
  <sheetData>
    <row r="1" spans="1:9" ht="18" customHeight="1">
      <c r="A1" s="1437"/>
      <c r="B1" s="1455"/>
      <c r="C1" s="1458" t="s">
        <v>0</v>
      </c>
      <c r="D1" s="1458"/>
      <c r="E1" s="1458"/>
      <c r="F1" s="1458"/>
      <c r="G1" s="1458"/>
      <c r="H1" s="1459"/>
      <c r="I1" s="366" t="s">
        <v>104</v>
      </c>
    </row>
    <row r="2" spans="1:9" ht="18" customHeight="1">
      <c r="A2" s="1438"/>
      <c r="B2" s="1456"/>
      <c r="C2" s="1460" t="s">
        <v>693</v>
      </c>
      <c r="D2" s="1460"/>
      <c r="E2" s="1460"/>
      <c r="F2" s="1460"/>
      <c r="G2" s="1460"/>
      <c r="H2" s="1461"/>
    </row>
    <row r="3" spans="1:9" ht="18" customHeight="1" thickBot="1">
      <c r="A3" s="1439"/>
      <c r="B3" s="1457"/>
      <c r="C3" s="1462" t="s">
        <v>2</v>
      </c>
      <c r="D3" s="1462"/>
      <c r="E3" s="1462"/>
      <c r="F3" s="1462"/>
      <c r="G3" s="1462" t="s">
        <v>3</v>
      </c>
      <c r="H3" s="1463"/>
    </row>
    <row r="4" spans="1:9" ht="18" customHeight="1">
      <c r="A4" s="45"/>
      <c r="B4" s="45"/>
      <c r="C4" s="41"/>
      <c r="D4" s="41"/>
      <c r="E4" s="41"/>
      <c r="F4" s="41"/>
      <c r="G4" s="41"/>
      <c r="H4" s="41"/>
    </row>
    <row r="5" spans="1:9" ht="18" customHeight="1">
      <c r="A5" s="45"/>
      <c r="B5" s="45"/>
      <c r="C5" s="41"/>
      <c r="D5" s="41"/>
      <c r="E5" s="41"/>
      <c r="F5" s="41"/>
      <c r="G5" s="41"/>
      <c r="H5" s="41"/>
    </row>
    <row r="6" spans="1:9" ht="18" customHeight="1" thickBot="1">
      <c r="A6" s="18"/>
      <c r="B6" s="18"/>
      <c r="C6" s="18"/>
      <c r="D6" s="18"/>
      <c r="E6" s="18"/>
      <c r="F6" s="18"/>
      <c r="G6" s="18"/>
      <c r="H6" s="18"/>
    </row>
    <row r="7" spans="1:9" ht="18" customHeight="1">
      <c r="A7" s="22"/>
      <c r="B7" s="23"/>
      <c r="C7" s="23"/>
      <c r="D7" s="23"/>
      <c r="E7" s="23"/>
      <c r="F7" s="23"/>
      <c r="G7" s="23"/>
      <c r="H7" s="24"/>
    </row>
    <row r="8" spans="1:9" ht="18" customHeight="1">
      <c r="A8" s="25"/>
      <c r="B8" s="1452" t="s">
        <v>435</v>
      </c>
      <c r="C8" s="1452"/>
      <c r="D8" s="1452"/>
      <c r="E8" s="1452"/>
      <c r="F8" s="1452"/>
      <c r="G8" s="1452"/>
      <c r="H8" s="26"/>
    </row>
    <row r="9" spans="1:9" ht="27.75" customHeight="1">
      <c r="A9" s="25"/>
      <c r="B9" s="1451" t="s">
        <v>694</v>
      </c>
      <c r="C9" s="1452"/>
      <c r="D9" s="1452"/>
      <c r="E9" s="1452"/>
      <c r="F9" s="1452"/>
      <c r="G9" s="1452"/>
      <c r="H9" s="26"/>
    </row>
    <row r="10" spans="1:9" ht="18" customHeight="1">
      <c r="A10" s="25"/>
      <c r="B10" s="18"/>
      <c r="C10" s="18"/>
      <c r="D10" s="18"/>
      <c r="E10" s="18"/>
      <c r="F10" s="18"/>
      <c r="G10" s="18"/>
      <c r="H10" s="26"/>
    </row>
    <row r="11" spans="1:9" ht="18" customHeight="1">
      <c r="A11" s="25"/>
      <c r="B11" s="27" t="s">
        <v>683</v>
      </c>
      <c r="C11" s="1453" t="s">
        <v>684</v>
      </c>
      <c r="D11" s="1453"/>
      <c r="E11" s="1453"/>
      <c r="F11" s="1453"/>
      <c r="G11" s="1453"/>
      <c r="H11" s="26"/>
    </row>
    <row r="12" spans="1:9" ht="18" customHeight="1" thickBot="1">
      <c r="A12" s="25"/>
      <c r="B12" s="27" t="s">
        <v>534</v>
      </c>
      <c r="C12" s="49"/>
      <c r="D12" s="28"/>
      <c r="E12" s="28"/>
      <c r="F12" s="27" t="s">
        <v>685</v>
      </c>
      <c r="G12" s="50"/>
      <c r="H12" s="26"/>
    </row>
    <row r="13" spans="1:9" ht="18" customHeight="1" thickBot="1">
      <c r="A13" s="25"/>
      <c r="B13" s="27" t="s">
        <v>686</v>
      </c>
      <c r="C13" s="1454"/>
      <c r="D13" s="1454"/>
      <c r="E13" s="1454"/>
      <c r="F13" s="1454"/>
      <c r="G13" s="1454"/>
      <c r="H13" s="26"/>
    </row>
    <row r="14" spans="1:9" ht="18" customHeight="1">
      <c r="A14" s="25"/>
      <c r="B14" s="27"/>
      <c r="C14" s="18"/>
      <c r="D14" s="18"/>
      <c r="E14" s="18"/>
      <c r="F14" s="18"/>
      <c r="G14" s="18"/>
      <c r="H14" s="26"/>
    </row>
    <row r="15" spans="1:9" ht="18" customHeight="1" thickBot="1">
      <c r="A15" s="25"/>
      <c r="B15" s="27" t="s">
        <v>687</v>
      </c>
      <c r="C15" s="28"/>
      <c r="D15" s="28"/>
      <c r="E15" s="18"/>
      <c r="F15" s="18"/>
      <c r="G15" s="18"/>
      <c r="H15" s="26"/>
    </row>
    <row r="16" spans="1:9" ht="18" customHeight="1">
      <c r="A16" s="25"/>
      <c r="B16" s="27"/>
      <c r="C16" s="18"/>
      <c r="D16" s="18"/>
      <c r="E16" s="18"/>
      <c r="F16" s="18"/>
      <c r="G16" s="18"/>
      <c r="H16" s="26"/>
    </row>
    <row r="17" spans="1:8" ht="18" customHeight="1" thickBot="1">
      <c r="A17" s="25"/>
      <c r="B17" s="27" t="s">
        <v>688</v>
      </c>
      <c r="C17" s="28"/>
      <c r="D17" s="18"/>
      <c r="E17" s="18"/>
      <c r="F17" s="18"/>
      <c r="G17" s="18"/>
      <c r="H17" s="26"/>
    </row>
    <row r="18" spans="1:8" ht="18" customHeight="1">
      <c r="A18" s="25"/>
      <c r="B18" s="27"/>
      <c r="C18" s="18"/>
      <c r="D18" s="18"/>
      <c r="E18" s="18"/>
      <c r="F18" s="18"/>
      <c r="G18" s="18"/>
      <c r="H18" s="26"/>
    </row>
    <row r="19" spans="1:8" ht="18" customHeight="1" thickBot="1">
      <c r="A19" s="25"/>
      <c r="B19" s="27" t="s">
        <v>695</v>
      </c>
      <c r="C19" s="28"/>
      <c r="D19" s="28"/>
      <c r="E19" s="28"/>
      <c r="F19" s="28"/>
      <c r="G19" s="28"/>
      <c r="H19" s="26"/>
    </row>
    <row r="20" spans="1:8" ht="18" customHeight="1">
      <c r="A20" s="25"/>
      <c r="B20" s="27"/>
      <c r="C20" s="18"/>
      <c r="D20" s="18"/>
      <c r="E20" s="18"/>
      <c r="F20" s="18"/>
      <c r="G20" s="18"/>
      <c r="H20" s="26"/>
    </row>
    <row r="21" spans="1:8" ht="18" customHeight="1" thickBot="1">
      <c r="A21" s="25"/>
      <c r="B21" s="27" t="s">
        <v>691</v>
      </c>
      <c r="C21" s="28"/>
      <c r="D21" s="28"/>
      <c r="E21" s="28"/>
      <c r="F21" s="28"/>
      <c r="G21" s="28"/>
      <c r="H21" s="26"/>
    </row>
    <row r="22" spans="1:8" ht="18" customHeight="1">
      <c r="A22" s="25"/>
      <c r="B22" s="27"/>
      <c r="C22" s="18"/>
      <c r="D22" s="18"/>
      <c r="E22" s="18"/>
      <c r="F22" s="18"/>
      <c r="G22" s="18"/>
      <c r="H22" s="26"/>
    </row>
    <row r="23" spans="1:8" ht="18" customHeight="1" thickBot="1">
      <c r="A23" s="25"/>
      <c r="B23" s="27" t="s">
        <v>692</v>
      </c>
      <c r="C23" s="28"/>
      <c r="D23" s="28"/>
      <c r="E23" s="28"/>
      <c r="F23" s="28"/>
      <c r="G23" s="28"/>
      <c r="H23" s="26"/>
    </row>
    <row r="24" spans="1:8" ht="18" customHeight="1">
      <c r="A24" s="25"/>
      <c r="B24" s="18"/>
      <c r="C24" s="18"/>
      <c r="D24" s="18"/>
      <c r="E24" s="18"/>
      <c r="F24" s="18"/>
      <c r="G24" s="18"/>
      <c r="H24" s="26"/>
    </row>
    <row r="25" spans="1:8" ht="18" customHeight="1" thickBot="1">
      <c r="A25" s="29"/>
      <c r="B25" s="28"/>
      <c r="C25" s="28"/>
      <c r="D25" s="28"/>
      <c r="E25" s="28"/>
      <c r="F25" s="28"/>
      <c r="G25" s="28"/>
      <c r="H25" s="30"/>
    </row>
    <row r="26" spans="1:8" ht="18" customHeight="1">
      <c r="A26" s="18"/>
      <c r="B26" s="18"/>
      <c r="C26" s="18"/>
      <c r="D26" s="18"/>
      <c r="E26" s="18"/>
      <c r="F26" s="18"/>
      <c r="G26" s="18"/>
      <c r="H26" s="18"/>
    </row>
    <row r="27" spans="1:8" ht="18" customHeight="1">
      <c r="A27" s="48"/>
      <c r="B27" s="48"/>
      <c r="C27" s="48"/>
      <c r="D27" s="48"/>
      <c r="E27" s="48"/>
      <c r="F27" s="48"/>
      <c r="G27" s="48"/>
      <c r="H27" s="48"/>
    </row>
    <row r="28" spans="1:8" ht="18" customHeight="1">
      <c r="A28" s="18"/>
      <c r="B28" s="18"/>
      <c r="C28" s="18"/>
      <c r="D28" s="18"/>
      <c r="E28" s="18"/>
      <c r="F28" s="18"/>
      <c r="G28" s="18"/>
      <c r="H28" s="18"/>
    </row>
    <row r="29" spans="1:8" ht="18" customHeight="1" thickBot="1">
      <c r="A29" s="18"/>
      <c r="B29" s="18"/>
      <c r="C29" s="18"/>
      <c r="D29" s="18"/>
      <c r="E29" s="18"/>
      <c r="F29" s="18"/>
      <c r="G29" s="18"/>
      <c r="H29" s="18"/>
    </row>
    <row r="30" spans="1:8" ht="18" customHeight="1">
      <c r="A30" s="22"/>
      <c r="B30" s="23"/>
      <c r="C30" s="23"/>
      <c r="D30" s="23"/>
      <c r="E30" s="23"/>
      <c r="F30" s="23"/>
      <c r="G30" s="23"/>
      <c r="H30" s="24"/>
    </row>
    <row r="31" spans="1:8" ht="18" customHeight="1">
      <c r="A31" s="25"/>
      <c r="B31" s="1452" t="s">
        <v>435</v>
      </c>
      <c r="C31" s="1452"/>
      <c r="D31" s="1452"/>
      <c r="E31" s="1452"/>
      <c r="F31" s="1452"/>
      <c r="G31" s="1452"/>
      <c r="H31" s="26"/>
    </row>
    <row r="32" spans="1:8" ht="27.75" customHeight="1">
      <c r="A32" s="25"/>
      <c r="B32" s="1451" t="s">
        <v>694</v>
      </c>
      <c r="C32" s="1452"/>
      <c r="D32" s="1452"/>
      <c r="E32" s="1452"/>
      <c r="F32" s="1452"/>
      <c r="G32" s="1452"/>
      <c r="H32" s="26"/>
    </row>
    <row r="33" spans="1:8" ht="18" customHeight="1">
      <c r="A33" s="25"/>
      <c r="B33" s="18"/>
      <c r="C33" s="18"/>
      <c r="D33" s="18"/>
      <c r="E33" s="18"/>
      <c r="F33" s="18"/>
      <c r="G33" s="18"/>
      <c r="H33" s="26"/>
    </row>
    <row r="34" spans="1:8" ht="18" customHeight="1">
      <c r="A34" s="25"/>
      <c r="B34" s="27" t="s">
        <v>683</v>
      </c>
      <c r="C34" s="1453" t="s">
        <v>684</v>
      </c>
      <c r="D34" s="1453"/>
      <c r="E34" s="1453"/>
      <c r="F34" s="1453"/>
      <c r="G34" s="1453"/>
      <c r="H34" s="26"/>
    </row>
    <row r="35" spans="1:8" ht="18" customHeight="1" thickBot="1">
      <c r="A35" s="25"/>
      <c r="B35" s="27" t="s">
        <v>534</v>
      </c>
      <c r="C35" s="49"/>
      <c r="D35" s="28"/>
      <c r="E35" s="28"/>
      <c r="F35" s="27" t="s">
        <v>685</v>
      </c>
      <c r="G35" s="50"/>
      <c r="H35" s="26"/>
    </row>
    <row r="36" spans="1:8" ht="18" customHeight="1" thickBot="1">
      <c r="A36" s="25"/>
      <c r="B36" s="27" t="s">
        <v>686</v>
      </c>
      <c r="C36" s="1454"/>
      <c r="D36" s="1454"/>
      <c r="E36" s="1454"/>
      <c r="F36" s="1454"/>
      <c r="G36" s="1454"/>
      <c r="H36" s="26"/>
    </row>
    <row r="37" spans="1:8" ht="18" customHeight="1">
      <c r="A37" s="25"/>
      <c r="B37" s="27"/>
      <c r="C37" s="18"/>
      <c r="D37" s="18"/>
      <c r="E37" s="18"/>
      <c r="F37" s="18"/>
      <c r="G37" s="18"/>
      <c r="H37" s="26"/>
    </row>
    <row r="38" spans="1:8" ht="18" customHeight="1" thickBot="1">
      <c r="A38" s="25"/>
      <c r="B38" s="27" t="s">
        <v>687</v>
      </c>
      <c r="C38" s="28"/>
      <c r="D38" s="28"/>
      <c r="E38" s="18"/>
      <c r="F38" s="18"/>
      <c r="G38" s="18"/>
      <c r="H38" s="26"/>
    </row>
    <row r="39" spans="1:8" ht="18" customHeight="1">
      <c r="A39" s="25"/>
      <c r="B39" s="27"/>
      <c r="C39" s="18"/>
      <c r="D39" s="18"/>
      <c r="E39" s="18"/>
      <c r="F39" s="18"/>
      <c r="G39" s="18"/>
      <c r="H39" s="26"/>
    </row>
    <row r="40" spans="1:8" ht="18" customHeight="1" thickBot="1">
      <c r="A40" s="25"/>
      <c r="B40" s="27" t="s">
        <v>688</v>
      </c>
      <c r="C40" s="28"/>
      <c r="D40" s="18"/>
      <c r="E40" s="18"/>
      <c r="F40" s="18"/>
      <c r="G40" s="18"/>
      <c r="H40" s="26"/>
    </row>
    <row r="41" spans="1:8" ht="18" customHeight="1">
      <c r="A41" s="25"/>
      <c r="B41" s="27"/>
      <c r="C41" s="18"/>
      <c r="D41" s="18"/>
      <c r="E41" s="18"/>
      <c r="F41" s="18"/>
      <c r="G41" s="18"/>
      <c r="H41" s="26"/>
    </row>
    <row r="42" spans="1:8" ht="18" customHeight="1" thickBot="1">
      <c r="A42" s="25"/>
      <c r="B42" s="27" t="s">
        <v>695</v>
      </c>
      <c r="C42" s="28"/>
      <c r="D42" s="28"/>
      <c r="E42" s="28"/>
      <c r="F42" s="28"/>
      <c r="G42" s="28"/>
      <c r="H42" s="26"/>
    </row>
    <row r="43" spans="1:8" ht="18" customHeight="1">
      <c r="A43" s="25"/>
      <c r="B43" s="27"/>
      <c r="C43" s="18"/>
      <c r="D43" s="18"/>
      <c r="E43" s="18"/>
      <c r="F43" s="18"/>
      <c r="G43" s="18"/>
      <c r="H43" s="26"/>
    </row>
    <row r="44" spans="1:8" ht="18" customHeight="1" thickBot="1">
      <c r="A44" s="25"/>
      <c r="B44" s="27" t="s">
        <v>691</v>
      </c>
      <c r="C44" s="28"/>
      <c r="D44" s="28"/>
      <c r="E44" s="28"/>
      <c r="F44" s="28"/>
      <c r="G44" s="28"/>
      <c r="H44" s="26"/>
    </row>
    <row r="45" spans="1:8" ht="18" customHeight="1">
      <c r="A45" s="25"/>
      <c r="B45" s="27"/>
      <c r="C45" s="18"/>
      <c r="D45" s="18"/>
      <c r="E45" s="18"/>
      <c r="F45" s="18"/>
      <c r="G45" s="18"/>
      <c r="H45" s="26"/>
    </row>
    <row r="46" spans="1:8" ht="18" customHeight="1" thickBot="1">
      <c r="A46" s="25"/>
      <c r="B46" s="27" t="s">
        <v>692</v>
      </c>
      <c r="C46" s="28"/>
      <c r="D46" s="28"/>
      <c r="E46" s="28"/>
      <c r="F46" s="28"/>
      <c r="G46" s="28"/>
      <c r="H46" s="26"/>
    </row>
    <row r="47" spans="1:8" ht="18" customHeight="1">
      <c r="A47" s="25"/>
      <c r="B47" s="18"/>
      <c r="C47" s="18"/>
      <c r="D47" s="18"/>
      <c r="E47" s="18"/>
      <c r="F47" s="18"/>
      <c r="G47" s="18"/>
      <c r="H47" s="26"/>
    </row>
    <row r="48" spans="1:8" ht="18" customHeight="1" thickBot="1">
      <c r="A48" s="29"/>
      <c r="B48" s="28"/>
      <c r="C48" s="28"/>
      <c r="D48" s="28"/>
      <c r="E48" s="28"/>
      <c r="F48" s="28"/>
      <c r="G48" s="28"/>
      <c r="H48" s="30"/>
    </row>
    <row r="49" spans="1:8" ht="18" customHeight="1">
      <c r="A49" s="18"/>
      <c r="B49" s="18"/>
      <c r="C49" s="18"/>
      <c r="D49" s="18"/>
      <c r="E49" s="18"/>
      <c r="F49" s="18"/>
      <c r="G49" s="18"/>
      <c r="H49" s="18"/>
    </row>
  </sheetData>
  <mergeCells count="13">
    <mergeCell ref="B32:G32"/>
    <mergeCell ref="C34:G34"/>
    <mergeCell ref="C36:G36"/>
    <mergeCell ref="A1:B3"/>
    <mergeCell ref="C3:F3"/>
    <mergeCell ref="C1:H1"/>
    <mergeCell ref="C2:H2"/>
    <mergeCell ref="G3:H3"/>
    <mergeCell ref="B8:G8"/>
    <mergeCell ref="B9:G9"/>
    <mergeCell ref="C11:G11"/>
    <mergeCell ref="C13:G13"/>
    <mergeCell ref="B31:G31"/>
  </mergeCells>
  <hyperlinks>
    <hyperlink ref="I1" location="ins" display="Instructivo" xr:uid="{00000000-0004-0000-1500-000000000000}"/>
  </hyperlinks>
  <printOptions horizontalCentered="1"/>
  <pageMargins left="0.70866141732283472" right="0.70866141732283472" top="0.55118110236220474" bottom="0.55118110236220474" header="0" footer="0"/>
  <pageSetup scale="71" fitToHeight="0" orientation="portrait" horizontalDpi="4294967294" verticalDpi="4294967294"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7">
    <tabColor theme="7" tint="0.39997558519241921"/>
    <pageSetUpPr fitToPage="1"/>
  </sheetPr>
  <dimension ref="A1:E114"/>
  <sheetViews>
    <sheetView showGridLines="0" zoomScaleNormal="100" workbookViewId="0">
      <selection activeCell="D19" sqref="D19"/>
    </sheetView>
  </sheetViews>
  <sheetFormatPr defaultColWidth="11.5" defaultRowHeight="18" customHeight="1"/>
  <cols>
    <col min="1" max="1" width="31.83203125" style="270" customWidth="1"/>
    <col min="2" max="4" width="24.83203125" style="270" customWidth="1"/>
    <col min="5" max="5" width="18.5" style="270" customWidth="1"/>
    <col min="6" max="16384" width="11.5" style="270"/>
  </cols>
  <sheetData>
    <row r="1" spans="1:5" ht="18" customHeight="1">
      <c r="A1" s="1469"/>
      <c r="B1" s="1309" t="s">
        <v>0</v>
      </c>
      <c r="C1" s="1309"/>
      <c r="D1" s="1310"/>
      <c r="E1" s="366" t="s">
        <v>104</v>
      </c>
    </row>
    <row r="2" spans="1:5" ht="18" customHeight="1">
      <c r="A2" s="1470"/>
      <c r="B2" s="1467" t="s">
        <v>696</v>
      </c>
      <c r="C2" s="1467"/>
      <c r="D2" s="1468"/>
    </row>
    <row r="3" spans="1:5" ht="18" customHeight="1" thickBot="1">
      <c r="A3" s="1471"/>
      <c r="B3" s="1082" t="s">
        <v>2</v>
      </c>
      <c r="C3" s="1082"/>
      <c r="D3" s="818" t="s">
        <v>3</v>
      </c>
    </row>
    <row r="4" spans="1:5" ht="18" customHeight="1" thickBot="1">
      <c r="A4" s="271"/>
      <c r="B4" s="271"/>
    </row>
    <row r="5" spans="1:5" ht="18" customHeight="1" thickBot="1">
      <c r="A5" s="272" t="s">
        <v>697</v>
      </c>
      <c r="B5" s="1464">
        <v>2022</v>
      </c>
      <c r="C5" s="1465"/>
      <c r="D5" s="1466"/>
    </row>
    <row r="6" spans="1:5" ht="18" customHeight="1" thickBot="1">
      <c r="A6" s="272" t="s">
        <v>698</v>
      </c>
      <c r="B6" s="1464" t="s">
        <v>699</v>
      </c>
      <c r="C6" s="1465"/>
      <c r="D6" s="1466"/>
    </row>
    <row r="7" spans="1:5" ht="18" customHeight="1" thickBot="1"/>
    <row r="8" spans="1:5" ht="18" customHeight="1">
      <c r="A8" s="1475" t="s">
        <v>700</v>
      </c>
      <c r="B8" s="1476"/>
      <c r="C8" s="1476"/>
      <c r="D8" s="1477"/>
    </row>
    <row r="9" spans="1:5" ht="54.75" customHeight="1">
      <c r="A9" s="484" t="s">
        <v>701</v>
      </c>
      <c r="B9" s="485" t="s">
        <v>702</v>
      </c>
      <c r="C9" s="485" t="s">
        <v>703</v>
      </c>
      <c r="D9" s="486" t="s">
        <v>704</v>
      </c>
    </row>
    <row r="10" spans="1:5" ht="18" customHeight="1">
      <c r="A10" s="487" t="s">
        <v>705</v>
      </c>
      <c r="B10" s="488">
        <v>38500</v>
      </c>
      <c r="C10" s="488">
        <v>87500</v>
      </c>
      <c r="D10" s="489">
        <v>135500</v>
      </c>
    </row>
    <row r="11" spans="1:5" ht="18" customHeight="1">
      <c r="A11" s="487" t="s">
        <v>706</v>
      </c>
      <c r="B11" s="488">
        <v>124500</v>
      </c>
      <c r="C11" s="488">
        <v>173500</v>
      </c>
      <c r="D11" s="489">
        <v>221500</v>
      </c>
    </row>
    <row r="12" spans="1:5" ht="18" customHeight="1">
      <c r="A12" s="487" t="s">
        <v>707</v>
      </c>
      <c r="B12" s="488">
        <v>62500</v>
      </c>
      <c r="C12" s="488">
        <v>111500</v>
      </c>
      <c r="D12" s="489">
        <v>159500</v>
      </c>
    </row>
    <row r="13" spans="1:5" ht="18" customHeight="1">
      <c r="A13" s="487" t="s">
        <v>708</v>
      </c>
      <c r="B13" s="488">
        <v>38500</v>
      </c>
      <c r="C13" s="488">
        <v>87500</v>
      </c>
      <c r="D13" s="489">
        <v>135500</v>
      </c>
    </row>
    <row r="14" spans="1:5" ht="18" customHeight="1">
      <c r="A14" s="487" t="s">
        <v>709</v>
      </c>
      <c r="B14" s="488">
        <v>135500</v>
      </c>
      <c r="C14" s="488">
        <v>184500</v>
      </c>
      <c r="D14" s="489">
        <v>232500</v>
      </c>
    </row>
    <row r="15" spans="1:5" ht="18" customHeight="1">
      <c r="A15" s="487" t="s">
        <v>710</v>
      </c>
      <c r="B15" s="488">
        <v>95500</v>
      </c>
      <c r="C15" s="488">
        <v>144500</v>
      </c>
      <c r="D15" s="489">
        <v>192500</v>
      </c>
    </row>
    <row r="16" spans="1:5" ht="18" customHeight="1">
      <c r="A16" s="487" t="s">
        <v>711</v>
      </c>
      <c r="B16" s="488">
        <v>62500</v>
      </c>
      <c r="C16" s="488">
        <v>111500</v>
      </c>
      <c r="D16" s="489">
        <v>159500</v>
      </c>
    </row>
    <row r="17" spans="1:4" ht="18" customHeight="1">
      <c r="A17" s="487" t="s">
        <v>712</v>
      </c>
      <c r="B17" s="488">
        <v>52500</v>
      </c>
      <c r="C17" s="488">
        <v>101500</v>
      </c>
      <c r="D17" s="489">
        <v>149500</v>
      </c>
    </row>
    <row r="18" spans="1:4" ht="18" customHeight="1">
      <c r="A18" s="487" t="s">
        <v>713</v>
      </c>
      <c r="B18" s="488">
        <v>68500</v>
      </c>
      <c r="C18" s="488">
        <v>117500</v>
      </c>
      <c r="D18" s="489" t="s">
        <v>418</v>
      </c>
    </row>
    <row r="19" spans="1:4" ht="18" customHeight="1">
      <c r="A19" s="487" t="s">
        <v>714</v>
      </c>
      <c r="B19" s="488">
        <v>38000</v>
      </c>
      <c r="C19" s="488">
        <v>62000</v>
      </c>
      <c r="D19" s="489" t="s">
        <v>418</v>
      </c>
    </row>
    <row r="20" spans="1:4" ht="18" customHeight="1">
      <c r="A20" s="487" t="s">
        <v>715</v>
      </c>
      <c r="B20" s="488">
        <v>36500</v>
      </c>
      <c r="C20" s="488">
        <v>85500</v>
      </c>
      <c r="D20" s="489">
        <v>133500</v>
      </c>
    </row>
    <row r="21" spans="1:4" ht="18" customHeight="1">
      <c r="A21" s="487" t="s">
        <v>716</v>
      </c>
      <c r="B21" s="488">
        <v>68500</v>
      </c>
      <c r="C21" s="488">
        <v>117500</v>
      </c>
      <c r="D21" s="489">
        <v>165500</v>
      </c>
    </row>
    <row r="22" spans="1:4" ht="18" customHeight="1">
      <c r="A22" s="487" t="s">
        <v>717</v>
      </c>
      <c r="B22" s="488">
        <v>66500</v>
      </c>
      <c r="C22" s="488">
        <v>115500</v>
      </c>
      <c r="D22" s="489">
        <v>163500</v>
      </c>
    </row>
    <row r="23" spans="1:4" ht="18" customHeight="1">
      <c r="A23" s="487" t="s">
        <v>718</v>
      </c>
      <c r="B23" s="488">
        <v>64500</v>
      </c>
      <c r="C23" s="488">
        <v>113500</v>
      </c>
      <c r="D23" s="489">
        <v>161500</v>
      </c>
    </row>
    <row r="24" spans="1:4" ht="18" customHeight="1">
      <c r="A24" s="487" t="s">
        <v>719</v>
      </c>
      <c r="B24" s="488">
        <v>62500</v>
      </c>
      <c r="C24" s="488">
        <v>111500</v>
      </c>
      <c r="D24" s="489">
        <v>159500</v>
      </c>
    </row>
    <row r="25" spans="1:4" ht="18" customHeight="1">
      <c r="A25" s="487" t="s">
        <v>720</v>
      </c>
      <c r="B25" s="488">
        <v>167500</v>
      </c>
      <c r="C25" s="488">
        <v>216500</v>
      </c>
      <c r="D25" s="489">
        <v>264500</v>
      </c>
    </row>
    <row r="26" spans="1:4" ht="18" customHeight="1">
      <c r="A26" s="487" t="s">
        <v>721</v>
      </c>
      <c r="B26" s="488">
        <v>64500</v>
      </c>
      <c r="C26" s="488">
        <v>113500</v>
      </c>
      <c r="D26" s="489">
        <v>161500</v>
      </c>
    </row>
    <row r="27" spans="1:4" ht="18" customHeight="1">
      <c r="A27" s="487" t="s">
        <v>722</v>
      </c>
      <c r="B27" s="488">
        <v>56000</v>
      </c>
      <c r="C27" s="488">
        <v>105000</v>
      </c>
      <c r="D27" s="489" t="s">
        <v>418</v>
      </c>
    </row>
    <row r="28" spans="1:4" ht="18" customHeight="1">
      <c r="A28" s="487" t="s">
        <v>723</v>
      </c>
      <c r="B28" s="488">
        <v>135500</v>
      </c>
      <c r="C28" s="488">
        <v>184500</v>
      </c>
      <c r="D28" s="489">
        <v>232500</v>
      </c>
    </row>
    <row r="29" spans="1:4" ht="18" customHeight="1">
      <c r="A29" s="487" t="s">
        <v>724</v>
      </c>
      <c r="B29" s="488">
        <v>124500</v>
      </c>
      <c r="C29" s="488">
        <v>173500</v>
      </c>
      <c r="D29" s="489">
        <v>221500</v>
      </c>
    </row>
    <row r="30" spans="1:4" ht="18" customHeight="1">
      <c r="A30" s="487" t="s">
        <v>725</v>
      </c>
      <c r="B30" s="488">
        <v>101500</v>
      </c>
      <c r="C30" s="488">
        <v>150500</v>
      </c>
      <c r="D30" s="489">
        <v>198500</v>
      </c>
    </row>
    <row r="31" spans="1:4" ht="18" customHeight="1">
      <c r="A31" s="487" t="s">
        <v>726</v>
      </c>
      <c r="B31" s="488">
        <v>74500</v>
      </c>
      <c r="C31" s="488">
        <v>123500</v>
      </c>
      <c r="D31" s="489">
        <v>171500</v>
      </c>
    </row>
    <row r="32" spans="1:4" ht="18" customHeight="1">
      <c r="A32" s="487" t="s">
        <v>727</v>
      </c>
      <c r="B32" s="488">
        <v>180500</v>
      </c>
      <c r="C32" s="488">
        <v>229500</v>
      </c>
      <c r="D32" s="489">
        <v>277500</v>
      </c>
    </row>
    <row r="33" spans="1:4" ht="18" customHeight="1">
      <c r="A33" s="487" t="s">
        <v>728</v>
      </c>
      <c r="B33" s="488">
        <v>96500</v>
      </c>
      <c r="C33" s="488">
        <v>145500</v>
      </c>
      <c r="D33" s="489">
        <v>193500</v>
      </c>
    </row>
    <row r="34" spans="1:4" ht="18" customHeight="1">
      <c r="A34" s="487" t="s">
        <v>729</v>
      </c>
      <c r="B34" s="488">
        <v>68500</v>
      </c>
      <c r="C34" s="488">
        <v>117500</v>
      </c>
      <c r="D34" s="489">
        <v>165500</v>
      </c>
    </row>
    <row r="35" spans="1:4" ht="18" customHeight="1">
      <c r="A35" s="487" t="s">
        <v>730</v>
      </c>
      <c r="B35" s="488">
        <v>57500</v>
      </c>
      <c r="C35" s="488">
        <v>106500</v>
      </c>
      <c r="D35" s="489">
        <v>154500</v>
      </c>
    </row>
    <row r="36" spans="1:4" ht="18" customHeight="1">
      <c r="A36" s="487" t="s">
        <v>731</v>
      </c>
      <c r="B36" s="488">
        <v>39000</v>
      </c>
      <c r="C36" s="488">
        <v>88000</v>
      </c>
      <c r="D36" s="489" t="s">
        <v>418</v>
      </c>
    </row>
    <row r="37" spans="1:4" ht="18" customHeight="1">
      <c r="A37" s="487" t="s">
        <v>732</v>
      </c>
      <c r="B37" s="488">
        <v>29500</v>
      </c>
      <c r="C37" s="488">
        <v>78500</v>
      </c>
      <c r="D37" s="489">
        <v>126500</v>
      </c>
    </row>
    <row r="38" spans="1:4" ht="18" customHeight="1">
      <c r="A38" s="487" t="s">
        <v>733</v>
      </c>
      <c r="B38" s="488">
        <v>57500</v>
      </c>
      <c r="C38" s="488">
        <v>106500</v>
      </c>
      <c r="D38" s="489">
        <v>154500</v>
      </c>
    </row>
    <row r="39" spans="1:4" ht="18" customHeight="1">
      <c r="A39" s="487" t="s">
        <v>734</v>
      </c>
      <c r="B39" s="488">
        <v>223500</v>
      </c>
      <c r="C39" s="488">
        <v>272500</v>
      </c>
      <c r="D39" s="489">
        <v>320500</v>
      </c>
    </row>
    <row r="40" spans="1:4" ht="18" customHeight="1">
      <c r="A40" s="487" t="s">
        <v>735</v>
      </c>
      <c r="B40" s="488">
        <v>36500</v>
      </c>
      <c r="C40" s="488">
        <v>85500</v>
      </c>
      <c r="D40" s="489">
        <v>133500</v>
      </c>
    </row>
    <row r="41" spans="1:4" ht="18" customHeight="1">
      <c r="A41" s="487" t="s">
        <v>736</v>
      </c>
      <c r="B41" s="488">
        <v>38000</v>
      </c>
      <c r="C41" s="488">
        <v>62000</v>
      </c>
      <c r="D41" s="489" t="s">
        <v>418</v>
      </c>
    </row>
    <row r="42" spans="1:4" ht="18" customHeight="1">
      <c r="A42" s="487" t="s">
        <v>737</v>
      </c>
      <c r="B42" s="488">
        <v>70500</v>
      </c>
      <c r="C42" s="488">
        <v>119500</v>
      </c>
      <c r="D42" s="489">
        <v>167500</v>
      </c>
    </row>
    <row r="43" spans="1:4" ht="18" customHeight="1">
      <c r="A43" s="487" t="s">
        <v>738</v>
      </c>
      <c r="B43" s="488">
        <v>57500</v>
      </c>
      <c r="C43" s="488">
        <v>106500</v>
      </c>
      <c r="D43" s="489" t="s">
        <v>418</v>
      </c>
    </row>
    <row r="44" spans="1:4" ht="18" customHeight="1">
      <c r="A44" s="487" t="s">
        <v>739</v>
      </c>
      <c r="B44" s="488">
        <v>68500</v>
      </c>
      <c r="C44" s="488">
        <v>117500</v>
      </c>
      <c r="D44" s="489">
        <v>165500</v>
      </c>
    </row>
    <row r="45" spans="1:4" ht="18" customHeight="1">
      <c r="A45" s="487" t="s">
        <v>740</v>
      </c>
      <c r="B45" s="488">
        <v>79500</v>
      </c>
      <c r="C45" s="488">
        <v>128500</v>
      </c>
      <c r="D45" s="489">
        <v>176500</v>
      </c>
    </row>
    <row r="46" spans="1:4" ht="18" customHeight="1">
      <c r="A46" s="487" t="s">
        <v>741</v>
      </c>
      <c r="B46" s="488">
        <v>38500</v>
      </c>
      <c r="C46" s="488">
        <v>87500</v>
      </c>
      <c r="D46" s="489">
        <v>135500</v>
      </c>
    </row>
    <row r="47" spans="1:4" ht="18" customHeight="1">
      <c r="A47" s="487" t="s">
        <v>742</v>
      </c>
      <c r="B47" s="488">
        <v>57500</v>
      </c>
      <c r="C47" s="488">
        <v>106500</v>
      </c>
      <c r="D47" s="489">
        <v>154500</v>
      </c>
    </row>
    <row r="48" spans="1:4" ht="18" customHeight="1">
      <c r="A48" s="487" t="s">
        <v>743</v>
      </c>
      <c r="B48" s="488">
        <v>38000</v>
      </c>
      <c r="C48" s="488">
        <v>62000</v>
      </c>
      <c r="D48" s="489" t="s">
        <v>418</v>
      </c>
    </row>
    <row r="49" spans="1:4" ht="18" customHeight="1">
      <c r="A49" s="487" t="s">
        <v>744</v>
      </c>
      <c r="B49" s="488">
        <v>96500</v>
      </c>
      <c r="C49" s="488">
        <v>145500</v>
      </c>
      <c r="D49" s="489">
        <v>193500</v>
      </c>
    </row>
    <row r="50" spans="1:4" ht="18" customHeight="1">
      <c r="A50" s="487" t="s">
        <v>745</v>
      </c>
      <c r="B50" s="488">
        <v>72500</v>
      </c>
      <c r="C50" s="488">
        <v>121500</v>
      </c>
      <c r="D50" s="489">
        <v>169500</v>
      </c>
    </row>
    <row r="51" spans="1:4" ht="18" customHeight="1">
      <c r="A51" s="487" t="s">
        <v>746</v>
      </c>
      <c r="B51" s="488">
        <v>79500</v>
      </c>
      <c r="C51" s="488">
        <v>128500</v>
      </c>
      <c r="D51" s="489">
        <v>176500</v>
      </c>
    </row>
    <row r="52" spans="1:4" ht="18" customHeight="1">
      <c r="A52" s="487" t="s">
        <v>747</v>
      </c>
      <c r="B52" s="488">
        <v>68500</v>
      </c>
      <c r="C52" s="488">
        <v>117500</v>
      </c>
      <c r="D52" s="489" t="s">
        <v>418</v>
      </c>
    </row>
    <row r="53" spans="1:4" ht="18" customHeight="1">
      <c r="A53" s="487" t="s">
        <v>748</v>
      </c>
      <c r="B53" s="488">
        <v>57500</v>
      </c>
      <c r="C53" s="488">
        <v>106500</v>
      </c>
      <c r="D53" s="489">
        <v>154500</v>
      </c>
    </row>
    <row r="54" spans="1:4" ht="18" customHeight="1">
      <c r="A54" s="487" t="s">
        <v>749</v>
      </c>
      <c r="B54" s="488">
        <v>64500</v>
      </c>
      <c r="C54" s="488">
        <v>113500</v>
      </c>
      <c r="D54" s="489">
        <v>161500</v>
      </c>
    </row>
    <row r="55" spans="1:4" ht="18" customHeight="1">
      <c r="A55" s="487" t="s">
        <v>750</v>
      </c>
      <c r="B55" s="488">
        <v>111500</v>
      </c>
      <c r="C55" s="488">
        <v>160500</v>
      </c>
      <c r="D55" s="489">
        <v>208500</v>
      </c>
    </row>
    <row r="56" spans="1:4" ht="18" customHeight="1">
      <c r="A56" s="487" t="s">
        <v>751</v>
      </c>
      <c r="B56" s="488">
        <v>26000</v>
      </c>
      <c r="C56" s="488">
        <v>50000</v>
      </c>
      <c r="D56" s="489" t="s">
        <v>418</v>
      </c>
    </row>
    <row r="57" spans="1:4" ht="18" customHeight="1">
      <c r="A57" s="487" t="s">
        <v>752</v>
      </c>
      <c r="B57" s="488">
        <v>37500</v>
      </c>
      <c r="C57" s="488">
        <v>86500</v>
      </c>
      <c r="D57" s="489">
        <v>134500</v>
      </c>
    </row>
    <row r="58" spans="1:4" ht="18" customHeight="1">
      <c r="A58" s="487" t="s">
        <v>753</v>
      </c>
      <c r="B58" s="488">
        <v>223500</v>
      </c>
      <c r="C58" s="488">
        <v>272500</v>
      </c>
      <c r="D58" s="489">
        <v>320500</v>
      </c>
    </row>
    <row r="59" spans="1:4" ht="18" customHeight="1">
      <c r="A59" s="487" t="s">
        <v>754</v>
      </c>
      <c r="B59" s="488">
        <v>50500</v>
      </c>
      <c r="C59" s="488">
        <v>99500</v>
      </c>
      <c r="D59" s="489">
        <v>147500</v>
      </c>
    </row>
    <row r="60" spans="1:4" ht="18" customHeight="1">
      <c r="A60" s="487" t="s">
        <v>755</v>
      </c>
      <c r="B60" s="488">
        <v>74500</v>
      </c>
      <c r="C60" s="488">
        <v>123500</v>
      </c>
      <c r="D60" s="489">
        <v>171500</v>
      </c>
    </row>
    <row r="61" spans="1:4" ht="18" customHeight="1">
      <c r="A61" s="487" t="s">
        <v>756</v>
      </c>
      <c r="B61" s="488">
        <v>68500</v>
      </c>
      <c r="C61" s="488">
        <v>117500</v>
      </c>
      <c r="D61" s="489">
        <v>165500</v>
      </c>
    </row>
    <row r="62" spans="1:4" ht="18" customHeight="1">
      <c r="A62" s="487" t="s">
        <v>757</v>
      </c>
      <c r="B62" s="488">
        <v>57500</v>
      </c>
      <c r="C62" s="488">
        <v>106500</v>
      </c>
      <c r="D62" s="489">
        <v>154500</v>
      </c>
    </row>
    <row r="63" spans="1:4" ht="18" customHeight="1">
      <c r="A63" s="487" t="s">
        <v>758</v>
      </c>
      <c r="B63" s="488">
        <v>101500</v>
      </c>
      <c r="C63" s="488">
        <v>150500</v>
      </c>
      <c r="D63" s="489">
        <v>198500</v>
      </c>
    </row>
    <row r="64" spans="1:4" ht="18" customHeight="1">
      <c r="A64" s="487" t="s">
        <v>759</v>
      </c>
      <c r="B64" s="488">
        <v>79500</v>
      </c>
      <c r="C64" s="488">
        <v>128500</v>
      </c>
      <c r="D64" s="489">
        <v>176500</v>
      </c>
    </row>
    <row r="65" spans="1:4" ht="18" customHeight="1">
      <c r="A65" s="487" t="s">
        <v>760</v>
      </c>
      <c r="B65" s="488">
        <v>43000</v>
      </c>
      <c r="C65" s="488">
        <v>67000</v>
      </c>
      <c r="D65" s="489" t="s">
        <v>418</v>
      </c>
    </row>
    <row r="66" spans="1:4" ht="18" customHeight="1">
      <c r="A66" s="487" t="s">
        <v>761</v>
      </c>
      <c r="B66" s="488">
        <v>57500</v>
      </c>
      <c r="C66" s="488">
        <v>106500</v>
      </c>
      <c r="D66" s="489">
        <v>154500</v>
      </c>
    </row>
    <row r="67" spans="1:4" ht="18" customHeight="1">
      <c r="A67" s="487" t="s">
        <v>762</v>
      </c>
      <c r="B67" s="488">
        <v>45500</v>
      </c>
      <c r="C67" s="488">
        <v>94500</v>
      </c>
      <c r="D67" s="489">
        <v>142500</v>
      </c>
    </row>
    <row r="68" spans="1:4" ht="18" customHeight="1">
      <c r="A68" s="487" t="s">
        <v>763</v>
      </c>
      <c r="B68" s="488">
        <v>45500</v>
      </c>
      <c r="C68" s="488">
        <v>94500</v>
      </c>
      <c r="D68" s="489">
        <v>142500</v>
      </c>
    </row>
    <row r="69" spans="1:4" ht="18" customHeight="1">
      <c r="A69" s="487" t="s">
        <v>764</v>
      </c>
      <c r="B69" s="488">
        <v>101500</v>
      </c>
      <c r="C69" s="488">
        <v>150500</v>
      </c>
      <c r="D69" s="489">
        <v>198500</v>
      </c>
    </row>
    <row r="70" spans="1:4" ht="18" customHeight="1">
      <c r="A70" s="487" t="s">
        <v>765</v>
      </c>
      <c r="B70" s="488">
        <v>34500</v>
      </c>
      <c r="C70" s="488">
        <v>83500</v>
      </c>
      <c r="D70" s="489">
        <v>131500</v>
      </c>
    </row>
    <row r="71" spans="1:4" ht="18" customHeight="1">
      <c r="A71" s="487" t="s">
        <v>766</v>
      </c>
      <c r="B71" s="488">
        <v>45500</v>
      </c>
      <c r="C71" s="488">
        <v>94500</v>
      </c>
      <c r="D71" s="489">
        <v>142500</v>
      </c>
    </row>
    <row r="72" spans="1:4" ht="18" customHeight="1">
      <c r="A72" s="487" t="s">
        <v>767</v>
      </c>
      <c r="B72" s="488">
        <v>45500</v>
      </c>
      <c r="C72" s="488">
        <v>94500</v>
      </c>
      <c r="D72" s="489">
        <v>142500</v>
      </c>
    </row>
    <row r="73" spans="1:4" ht="18" customHeight="1">
      <c r="A73" s="487" t="s">
        <v>768</v>
      </c>
      <c r="B73" s="488">
        <v>38500</v>
      </c>
      <c r="C73" s="488">
        <v>87500</v>
      </c>
      <c r="D73" s="489">
        <v>135500</v>
      </c>
    </row>
    <row r="74" spans="1:4" ht="18" customHeight="1">
      <c r="A74" s="487" t="s">
        <v>769</v>
      </c>
      <c r="B74" s="488">
        <v>109500</v>
      </c>
      <c r="C74" s="488">
        <v>158500</v>
      </c>
      <c r="D74" s="489">
        <v>206500</v>
      </c>
    </row>
    <row r="75" spans="1:4" ht="18" customHeight="1">
      <c r="A75" s="487" t="s">
        <v>770</v>
      </c>
      <c r="B75" s="488">
        <v>45500</v>
      </c>
      <c r="C75" s="488">
        <v>94500</v>
      </c>
      <c r="D75" s="489">
        <v>142500</v>
      </c>
    </row>
    <row r="76" spans="1:4" ht="18" customHeight="1">
      <c r="A76" s="487" t="s">
        <v>771</v>
      </c>
      <c r="B76" s="488">
        <v>68500</v>
      </c>
      <c r="C76" s="488">
        <v>117500</v>
      </c>
      <c r="D76" s="489">
        <v>165500</v>
      </c>
    </row>
    <row r="77" spans="1:4" ht="18" customHeight="1">
      <c r="A77" s="487" t="s">
        <v>772</v>
      </c>
      <c r="B77" s="488">
        <v>157500</v>
      </c>
      <c r="C77" s="488">
        <v>206500</v>
      </c>
      <c r="D77" s="489">
        <v>254500</v>
      </c>
    </row>
    <row r="78" spans="1:4" ht="18" customHeight="1">
      <c r="A78" s="487" t="s">
        <v>773</v>
      </c>
      <c r="B78" s="488">
        <v>74500</v>
      </c>
      <c r="C78" s="488">
        <v>123500</v>
      </c>
      <c r="D78" s="489">
        <v>171500</v>
      </c>
    </row>
    <row r="79" spans="1:4" ht="18" customHeight="1">
      <c r="A79" s="487" t="s">
        <v>774</v>
      </c>
      <c r="B79" s="488">
        <v>43500</v>
      </c>
      <c r="C79" s="488">
        <v>92500</v>
      </c>
      <c r="D79" s="489">
        <v>140500</v>
      </c>
    </row>
    <row r="80" spans="1:4" ht="18" customHeight="1">
      <c r="A80" s="487" t="s">
        <v>775</v>
      </c>
      <c r="B80" s="488">
        <v>132500</v>
      </c>
      <c r="C80" s="488">
        <v>181500</v>
      </c>
      <c r="D80" s="489">
        <v>229500</v>
      </c>
    </row>
    <row r="81" spans="1:4" ht="18" customHeight="1">
      <c r="A81" s="487" t="s">
        <v>776</v>
      </c>
      <c r="B81" s="488">
        <v>146500</v>
      </c>
      <c r="C81" s="488">
        <v>195500</v>
      </c>
      <c r="D81" s="489">
        <v>243500</v>
      </c>
    </row>
    <row r="82" spans="1:4" ht="18" customHeight="1">
      <c r="A82" s="487" t="s">
        <v>777</v>
      </c>
      <c r="B82" s="488">
        <v>90500</v>
      </c>
      <c r="C82" s="488">
        <v>139500</v>
      </c>
      <c r="D82" s="489">
        <v>187500</v>
      </c>
    </row>
    <row r="83" spans="1:4" ht="18" customHeight="1">
      <c r="A83" s="487" t="s">
        <v>778</v>
      </c>
      <c r="B83" s="488">
        <v>70500</v>
      </c>
      <c r="C83" s="488">
        <v>119500</v>
      </c>
      <c r="D83" s="489">
        <v>167500</v>
      </c>
    </row>
    <row r="84" spans="1:4" ht="18" customHeight="1">
      <c r="A84" s="487" t="s">
        <v>779</v>
      </c>
      <c r="B84" s="488">
        <v>79500</v>
      </c>
      <c r="C84" s="488">
        <v>128500</v>
      </c>
      <c r="D84" s="489">
        <v>176500</v>
      </c>
    </row>
    <row r="85" spans="1:4" ht="18" customHeight="1">
      <c r="A85" s="487" t="s">
        <v>780</v>
      </c>
      <c r="B85" s="488">
        <v>70500</v>
      </c>
      <c r="C85" s="488">
        <v>119500</v>
      </c>
      <c r="D85" s="489">
        <v>167500</v>
      </c>
    </row>
    <row r="86" spans="1:4" ht="18" customHeight="1">
      <c r="A86" s="487" t="s">
        <v>781</v>
      </c>
      <c r="B86" s="488">
        <v>63500</v>
      </c>
      <c r="C86" s="488">
        <v>112500</v>
      </c>
      <c r="D86" s="489">
        <v>160500</v>
      </c>
    </row>
    <row r="87" spans="1:4" ht="18" customHeight="1">
      <c r="A87" s="487" t="s">
        <v>782</v>
      </c>
      <c r="B87" s="488">
        <v>52500</v>
      </c>
      <c r="C87" s="488">
        <v>101500</v>
      </c>
      <c r="D87" s="489">
        <v>149500</v>
      </c>
    </row>
    <row r="88" spans="1:4" ht="18" customHeight="1">
      <c r="A88" s="487" t="s">
        <v>783</v>
      </c>
      <c r="B88" s="488">
        <v>235500</v>
      </c>
      <c r="C88" s="488">
        <v>284500</v>
      </c>
      <c r="D88" s="489">
        <v>332500</v>
      </c>
    </row>
    <row r="89" spans="1:4" ht="18" customHeight="1">
      <c r="A89" s="487" t="s">
        <v>784</v>
      </c>
      <c r="B89" s="488">
        <v>223500</v>
      </c>
      <c r="C89" s="488">
        <v>272500</v>
      </c>
      <c r="D89" s="489">
        <v>320500</v>
      </c>
    </row>
    <row r="90" spans="1:4" ht="18" customHeight="1">
      <c r="A90" s="1478" t="s">
        <v>785</v>
      </c>
      <c r="B90" s="1479"/>
      <c r="C90" s="1479"/>
      <c r="D90" s="1480"/>
    </row>
    <row r="91" spans="1:4" ht="42" customHeight="1">
      <c r="A91" s="1481" t="s">
        <v>786</v>
      </c>
      <c r="B91" s="1482"/>
      <c r="C91" s="1482"/>
      <c r="D91" s="1483"/>
    </row>
    <row r="92" spans="1:4" ht="27.75" customHeight="1" thickBot="1">
      <c r="A92" s="1484" t="s">
        <v>787</v>
      </c>
      <c r="B92" s="1485"/>
      <c r="C92" s="1485"/>
      <c r="D92" s="1486"/>
    </row>
    <row r="93" spans="1:4" ht="18" customHeight="1" thickBot="1">
      <c r="C93" s="273"/>
    </row>
    <row r="94" spans="1:4" ht="18" customHeight="1">
      <c r="A94" s="1475" t="s">
        <v>788</v>
      </c>
      <c r="B94" s="1476"/>
      <c r="C94" s="1476"/>
      <c r="D94" s="1477"/>
    </row>
    <row r="95" spans="1:4" ht="56.25" customHeight="1">
      <c r="A95" s="484" t="s">
        <v>789</v>
      </c>
      <c r="B95" s="485" t="s">
        <v>702</v>
      </c>
      <c r="C95" s="485" t="s">
        <v>703</v>
      </c>
      <c r="D95" s="486" t="s">
        <v>790</v>
      </c>
    </row>
    <row r="96" spans="1:4" ht="18" customHeight="1">
      <c r="A96" s="487" t="s">
        <v>791</v>
      </c>
      <c r="B96" s="488">
        <v>46000</v>
      </c>
      <c r="C96" s="488">
        <v>85000</v>
      </c>
      <c r="D96" s="489" t="s">
        <v>418</v>
      </c>
    </row>
    <row r="97" spans="1:4" ht="18" customHeight="1">
      <c r="A97" s="487" t="s">
        <v>792</v>
      </c>
      <c r="B97" s="488">
        <v>46000</v>
      </c>
      <c r="C97" s="488">
        <v>87000</v>
      </c>
      <c r="D97" s="489">
        <v>94000</v>
      </c>
    </row>
    <row r="98" spans="1:4" ht="18" customHeight="1">
      <c r="A98" s="487" t="s">
        <v>793</v>
      </c>
      <c r="B98" s="488">
        <v>71000</v>
      </c>
      <c r="C98" s="488">
        <v>120000</v>
      </c>
      <c r="D98" s="489">
        <v>168000</v>
      </c>
    </row>
    <row r="99" spans="1:4" ht="18" customHeight="1">
      <c r="A99" s="487" t="s">
        <v>794</v>
      </c>
      <c r="B99" s="488">
        <v>64000</v>
      </c>
      <c r="C99" s="488">
        <v>113000</v>
      </c>
      <c r="D99" s="489">
        <v>161000</v>
      </c>
    </row>
    <row r="100" spans="1:4" ht="18" customHeight="1">
      <c r="A100" s="487" t="s">
        <v>795</v>
      </c>
      <c r="B100" s="488">
        <v>58000</v>
      </c>
      <c r="C100" s="488">
        <v>107000</v>
      </c>
      <c r="D100" s="489">
        <v>155000</v>
      </c>
    </row>
    <row r="101" spans="1:4" ht="18" customHeight="1">
      <c r="A101" s="487" t="s">
        <v>796</v>
      </c>
      <c r="B101" s="488">
        <v>189000</v>
      </c>
      <c r="C101" s="488">
        <v>238000</v>
      </c>
      <c r="D101" s="489">
        <v>286000</v>
      </c>
    </row>
    <row r="102" spans="1:4" ht="18" customHeight="1">
      <c r="A102" s="487" t="s">
        <v>797</v>
      </c>
      <c r="B102" s="488">
        <v>75000</v>
      </c>
      <c r="C102" s="488">
        <v>124000</v>
      </c>
      <c r="D102" s="489">
        <v>172000</v>
      </c>
    </row>
    <row r="103" spans="1:4" ht="18" customHeight="1">
      <c r="A103" s="487" t="s">
        <v>798</v>
      </c>
      <c r="B103" s="488">
        <v>102000</v>
      </c>
      <c r="C103" s="488">
        <v>151000</v>
      </c>
      <c r="D103" s="489">
        <v>199000</v>
      </c>
    </row>
    <row r="104" spans="1:4" ht="18" customHeight="1">
      <c r="A104" s="1478" t="s">
        <v>785</v>
      </c>
      <c r="B104" s="1479"/>
      <c r="C104" s="1479"/>
      <c r="D104" s="1480"/>
    </row>
    <row r="105" spans="1:4" ht="42" customHeight="1">
      <c r="A105" s="1481" t="s">
        <v>786</v>
      </c>
      <c r="B105" s="1482"/>
      <c r="C105" s="1482"/>
      <c r="D105" s="1483"/>
    </row>
    <row r="106" spans="1:4" ht="27" customHeight="1" thickBot="1">
      <c r="A106" s="1484" t="s">
        <v>787</v>
      </c>
      <c r="B106" s="1485"/>
      <c r="C106" s="1485"/>
      <c r="D106" s="1486"/>
    </row>
    <row r="107" spans="1:4" ht="18" customHeight="1" thickBot="1">
      <c r="C107" s="274"/>
      <c r="D107" s="274"/>
    </row>
    <row r="108" spans="1:4" s="274" customFormat="1" ht="18" customHeight="1">
      <c r="A108" s="1475" t="s">
        <v>799</v>
      </c>
      <c r="B108" s="1476"/>
      <c r="C108" s="1477"/>
      <c r="D108" s="275"/>
    </row>
    <row r="109" spans="1:4" s="274" customFormat="1" ht="52.5" customHeight="1">
      <c r="A109" s="484" t="s">
        <v>702</v>
      </c>
      <c r="B109" s="485" t="s">
        <v>703</v>
      </c>
      <c r="C109" s="486" t="s">
        <v>790</v>
      </c>
      <c r="D109" s="270"/>
    </row>
    <row r="110" spans="1:4" ht="18" customHeight="1">
      <c r="A110" s="490">
        <v>80000</v>
      </c>
      <c r="B110" s="491">
        <v>129000</v>
      </c>
      <c r="C110" s="492">
        <v>177000</v>
      </c>
      <c r="D110" s="276"/>
    </row>
    <row r="111" spans="1:4" ht="21" customHeight="1">
      <c r="A111" s="1478" t="s">
        <v>785</v>
      </c>
      <c r="B111" s="1479"/>
      <c r="C111" s="1480"/>
      <c r="D111" s="277"/>
    </row>
    <row r="112" spans="1:4" ht="54.75" customHeight="1">
      <c r="A112" s="1481" t="s">
        <v>786</v>
      </c>
      <c r="B112" s="1482"/>
      <c r="C112" s="1483"/>
      <c r="D112" s="278"/>
    </row>
    <row r="113" spans="1:4" ht="29.25" customHeight="1" thickBot="1">
      <c r="A113" s="1472" t="s">
        <v>787</v>
      </c>
      <c r="B113" s="1473"/>
      <c r="C113" s="1474"/>
      <c r="D113" s="278"/>
    </row>
    <row r="114" spans="1:4" ht="18" customHeight="1">
      <c r="A114" s="279"/>
    </row>
  </sheetData>
  <sheetProtection algorithmName="SHA-512" hashValue="OKZCXijgKcwSGRIqdew7m3Bb/YXMWPrsJk2xqsyyjOlT0sebO/UvZOg+wrclP8r0aL6b1honzXABGjhS+IAOwA==" saltValue="C3FyQre/VZl9v0cJnhlVEw==" spinCount="100000" sheet="1" formatCells="0" formatColumns="0" formatRows="0" insertColumns="0" insertRows="0" insertHyperlinks="0" deleteColumns="0" deleteRows="0" sort="0" autoFilter="0" pivotTables="0"/>
  <mergeCells count="18">
    <mergeCell ref="A113:C113"/>
    <mergeCell ref="A8:D8"/>
    <mergeCell ref="A90:D90"/>
    <mergeCell ref="A91:D91"/>
    <mergeCell ref="A92:D92"/>
    <mergeCell ref="A94:D94"/>
    <mergeCell ref="A104:D104"/>
    <mergeCell ref="A105:D105"/>
    <mergeCell ref="A106:D106"/>
    <mergeCell ref="A108:C108"/>
    <mergeCell ref="A111:C111"/>
    <mergeCell ref="A112:C112"/>
    <mergeCell ref="B6:D6"/>
    <mergeCell ref="B1:D1"/>
    <mergeCell ref="B2:D2"/>
    <mergeCell ref="B3:C3"/>
    <mergeCell ref="A1:A3"/>
    <mergeCell ref="B5:D5"/>
  </mergeCells>
  <hyperlinks>
    <hyperlink ref="E1" location="ins" display="Instructivo" xr:uid="{00000000-0004-0000-1600-000000000000}"/>
  </hyperlinks>
  <printOptions horizontalCentered="1"/>
  <pageMargins left="0" right="0" top="0" bottom="0" header="0" footer="0"/>
  <pageSetup fitToHeight="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8">
    <tabColor theme="7" tint="0.39997558519241921"/>
    <pageSetUpPr fitToPage="1"/>
  </sheetPr>
  <dimension ref="A1:I48"/>
  <sheetViews>
    <sheetView showGridLines="0" zoomScaleNormal="100" workbookViewId="0">
      <selection activeCell="A19" sqref="A19:D19"/>
    </sheetView>
  </sheetViews>
  <sheetFormatPr defaultColWidth="12" defaultRowHeight="20.100000000000001" customHeight="1"/>
  <cols>
    <col min="1" max="1" width="32.6640625" style="74" customWidth="1"/>
    <col min="2" max="2" width="26.1640625" style="74" customWidth="1"/>
    <col min="3" max="3" width="16" style="74" customWidth="1"/>
    <col min="4" max="4" width="25.6640625" style="74" customWidth="1"/>
    <col min="5" max="5" width="18.83203125" style="74" customWidth="1"/>
    <col min="6" max="6" width="15.6640625" style="74" bestFit="1" customWidth="1"/>
    <col min="7" max="7" width="12" style="74"/>
    <col min="8" max="8" width="15" style="74" bestFit="1" customWidth="1"/>
    <col min="9" max="9" width="22.5" style="74" bestFit="1" customWidth="1"/>
    <col min="10" max="247" width="12" style="74"/>
    <col min="248" max="248" width="36.33203125" style="74" customWidth="1"/>
    <col min="249" max="249" width="22.33203125" style="74" customWidth="1"/>
    <col min="250" max="250" width="12" style="74"/>
    <col min="251" max="251" width="14.33203125" style="74" customWidth="1"/>
    <col min="252" max="503" width="12" style="74"/>
    <col min="504" max="504" width="36.33203125" style="74" customWidth="1"/>
    <col min="505" max="505" width="22.33203125" style="74" customWidth="1"/>
    <col min="506" max="506" width="12" style="74"/>
    <col min="507" max="507" width="14.33203125" style="74" customWidth="1"/>
    <col min="508" max="759" width="12" style="74"/>
    <col min="760" max="760" width="36.33203125" style="74" customWidth="1"/>
    <col min="761" max="761" width="22.33203125" style="74" customWidth="1"/>
    <col min="762" max="762" width="12" style="74"/>
    <col min="763" max="763" width="14.33203125" style="74" customWidth="1"/>
    <col min="764" max="1015" width="12" style="74"/>
    <col min="1016" max="1016" width="36.33203125" style="74" customWidth="1"/>
    <col min="1017" max="1017" width="22.33203125" style="74" customWidth="1"/>
    <col min="1018" max="1018" width="12" style="74"/>
    <col min="1019" max="1019" width="14.33203125" style="74" customWidth="1"/>
    <col min="1020" max="1271" width="12" style="74"/>
    <col min="1272" max="1272" width="36.33203125" style="74" customWidth="1"/>
    <col min="1273" max="1273" width="22.33203125" style="74" customWidth="1"/>
    <col min="1274" max="1274" width="12" style="74"/>
    <col min="1275" max="1275" width="14.33203125" style="74" customWidth="1"/>
    <col min="1276" max="1527" width="12" style="74"/>
    <col min="1528" max="1528" width="36.33203125" style="74" customWidth="1"/>
    <col min="1529" max="1529" width="22.33203125" style="74" customWidth="1"/>
    <col min="1530" max="1530" width="12" style="74"/>
    <col min="1531" max="1531" width="14.33203125" style="74" customWidth="1"/>
    <col min="1532" max="1783" width="12" style="74"/>
    <col min="1784" max="1784" width="36.33203125" style="74" customWidth="1"/>
    <col min="1785" max="1785" width="22.33203125" style="74" customWidth="1"/>
    <col min="1786" max="1786" width="12" style="74"/>
    <col min="1787" max="1787" width="14.33203125" style="74" customWidth="1"/>
    <col min="1788" max="2039" width="12" style="74"/>
    <col min="2040" max="2040" width="36.33203125" style="74" customWidth="1"/>
    <col min="2041" max="2041" width="22.33203125" style="74" customWidth="1"/>
    <col min="2042" max="2042" width="12" style="74"/>
    <col min="2043" max="2043" width="14.33203125" style="74" customWidth="1"/>
    <col min="2044" max="2295" width="12" style="74"/>
    <col min="2296" max="2296" width="36.33203125" style="74" customWidth="1"/>
    <col min="2297" max="2297" width="22.33203125" style="74" customWidth="1"/>
    <col min="2298" max="2298" width="12" style="74"/>
    <col min="2299" max="2299" width="14.33203125" style="74" customWidth="1"/>
    <col min="2300" max="2551" width="12" style="74"/>
    <col min="2552" max="2552" width="36.33203125" style="74" customWidth="1"/>
    <col min="2553" max="2553" width="22.33203125" style="74" customWidth="1"/>
    <col min="2554" max="2554" width="12" style="74"/>
    <col min="2555" max="2555" width="14.33203125" style="74" customWidth="1"/>
    <col min="2556" max="2807" width="12" style="74"/>
    <col min="2808" max="2808" width="36.33203125" style="74" customWidth="1"/>
    <col min="2809" max="2809" width="22.33203125" style="74" customWidth="1"/>
    <col min="2810" max="2810" width="12" style="74"/>
    <col min="2811" max="2811" width="14.33203125" style="74" customWidth="1"/>
    <col min="2812" max="3063" width="12" style="74"/>
    <col min="3064" max="3064" width="36.33203125" style="74" customWidth="1"/>
    <col min="3065" max="3065" width="22.33203125" style="74" customWidth="1"/>
    <col min="3066" max="3066" width="12" style="74"/>
    <col min="3067" max="3067" width="14.33203125" style="74" customWidth="1"/>
    <col min="3068" max="3319" width="12" style="74"/>
    <col min="3320" max="3320" width="36.33203125" style="74" customWidth="1"/>
    <col min="3321" max="3321" width="22.33203125" style="74" customWidth="1"/>
    <col min="3322" max="3322" width="12" style="74"/>
    <col min="3323" max="3323" width="14.33203125" style="74" customWidth="1"/>
    <col min="3324" max="3575" width="12" style="74"/>
    <col min="3576" max="3576" width="36.33203125" style="74" customWidth="1"/>
    <col min="3577" max="3577" width="22.33203125" style="74" customWidth="1"/>
    <col min="3578" max="3578" width="12" style="74"/>
    <col min="3579" max="3579" width="14.33203125" style="74" customWidth="1"/>
    <col min="3580" max="3831" width="12" style="74"/>
    <col min="3832" max="3832" width="36.33203125" style="74" customWidth="1"/>
    <col min="3833" max="3833" width="22.33203125" style="74" customWidth="1"/>
    <col min="3834" max="3834" width="12" style="74"/>
    <col min="3835" max="3835" width="14.33203125" style="74" customWidth="1"/>
    <col min="3836" max="4087" width="12" style="74"/>
    <col min="4088" max="4088" width="36.33203125" style="74" customWidth="1"/>
    <col min="4089" max="4089" width="22.33203125" style="74" customWidth="1"/>
    <col min="4090" max="4090" width="12" style="74"/>
    <col min="4091" max="4091" width="14.33203125" style="74" customWidth="1"/>
    <col min="4092" max="4343" width="12" style="74"/>
    <col min="4344" max="4344" width="36.33203125" style="74" customWidth="1"/>
    <col min="4345" max="4345" width="22.33203125" style="74" customWidth="1"/>
    <col min="4346" max="4346" width="12" style="74"/>
    <col min="4347" max="4347" width="14.33203125" style="74" customWidth="1"/>
    <col min="4348" max="4599" width="12" style="74"/>
    <col min="4600" max="4600" width="36.33203125" style="74" customWidth="1"/>
    <col min="4601" max="4601" width="22.33203125" style="74" customWidth="1"/>
    <col min="4602" max="4602" width="12" style="74"/>
    <col min="4603" max="4603" width="14.33203125" style="74" customWidth="1"/>
    <col min="4604" max="4855" width="12" style="74"/>
    <col min="4856" max="4856" width="36.33203125" style="74" customWidth="1"/>
    <col min="4857" max="4857" width="22.33203125" style="74" customWidth="1"/>
    <col min="4858" max="4858" width="12" style="74"/>
    <col min="4859" max="4859" width="14.33203125" style="74" customWidth="1"/>
    <col min="4860" max="5111" width="12" style="74"/>
    <col min="5112" max="5112" width="36.33203125" style="74" customWidth="1"/>
    <col min="5113" max="5113" width="22.33203125" style="74" customWidth="1"/>
    <col min="5114" max="5114" width="12" style="74"/>
    <col min="5115" max="5115" width="14.33203125" style="74" customWidth="1"/>
    <col min="5116" max="5367" width="12" style="74"/>
    <col min="5368" max="5368" width="36.33203125" style="74" customWidth="1"/>
    <col min="5369" max="5369" width="22.33203125" style="74" customWidth="1"/>
    <col min="5370" max="5370" width="12" style="74"/>
    <col min="5371" max="5371" width="14.33203125" style="74" customWidth="1"/>
    <col min="5372" max="5623" width="12" style="74"/>
    <col min="5624" max="5624" width="36.33203125" style="74" customWidth="1"/>
    <col min="5625" max="5625" width="22.33203125" style="74" customWidth="1"/>
    <col min="5626" max="5626" width="12" style="74"/>
    <col min="5627" max="5627" width="14.33203125" style="74" customWidth="1"/>
    <col min="5628" max="5879" width="12" style="74"/>
    <col min="5880" max="5880" width="36.33203125" style="74" customWidth="1"/>
    <col min="5881" max="5881" width="22.33203125" style="74" customWidth="1"/>
    <col min="5882" max="5882" width="12" style="74"/>
    <col min="5883" max="5883" width="14.33203125" style="74" customWidth="1"/>
    <col min="5884" max="6135" width="12" style="74"/>
    <col min="6136" max="6136" width="36.33203125" style="74" customWidth="1"/>
    <col min="6137" max="6137" width="22.33203125" style="74" customWidth="1"/>
    <col min="6138" max="6138" width="12" style="74"/>
    <col min="6139" max="6139" width="14.33203125" style="74" customWidth="1"/>
    <col min="6140" max="6391" width="12" style="74"/>
    <col min="6392" max="6392" width="36.33203125" style="74" customWidth="1"/>
    <col min="6393" max="6393" width="22.33203125" style="74" customWidth="1"/>
    <col min="6394" max="6394" width="12" style="74"/>
    <col min="6395" max="6395" width="14.33203125" style="74" customWidth="1"/>
    <col min="6396" max="6647" width="12" style="74"/>
    <col min="6648" max="6648" width="36.33203125" style="74" customWidth="1"/>
    <col min="6649" max="6649" width="22.33203125" style="74" customWidth="1"/>
    <col min="6650" max="6650" width="12" style="74"/>
    <col min="6651" max="6651" width="14.33203125" style="74" customWidth="1"/>
    <col min="6652" max="6903" width="12" style="74"/>
    <col min="6904" max="6904" width="36.33203125" style="74" customWidth="1"/>
    <col min="6905" max="6905" width="22.33203125" style="74" customWidth="1"/>
    <col min="6906" max="6906" width="12" style="74"/>
    <col min="6907" max="6907" width="14.33203125" style="74" customWidth="1"/>
    <col min="6908" max="7159" width="12" style="74"/>
    <col min="7160" max="7160" width="36.33203125" style="74" customWidth="1"/>
    <col min="7161" max="7161" width="22.33203125" style="74" customWidth="1"/>
    <col min="7162" max="7162" width="12" style="74"/>
    <col min="7163" max="7163" width="14.33203125" style="74" customWidth="1"/>
    <col min="7164" max="7415" width="12" style="74"/>
    <col min="7416" max="7416" width="36.33203125" style="74" customWidth="1"/>
    <col min="7417" max="7417" width="22.33203125" style="74" customWidth="1"/>
    <col min="7418" max="7418" width="12" style="74"/>
    <col min="7419" max="7419" width="14.33203125" style="74" customWidth="1"/>
    <col min="7420" max="7671" width="12" style="74"/>
    <col min="7672" max="7672" width="36.33203125" style="74" customWidth="1"/>
    <col min="7673" max="7673" width="22.33203125" style="74" customWidth="1"/>
    <col min="7674" max="7674" width="12" style="74"/>
    <col min="7675" max="7675" width="14.33203125" style="74" customWidth="1"/>
    <col min="7676" max="7927" width="12" style="74"/>
    <col min="7928" max="7928" width="36.33203125" style="74" customWidth="1"/>
    <col min="7929" max="7929" width="22.33203125" style="74" customWidth="1"/>
    <col min="7930" max="7930" width="12" style="74"/>
    <col min="7931" max="7931" width="14.33203125" style="74" customWidth="1"/>
    <col min="7932" max="8183" width="12" style="74"/>
    <col min="8184" max="8184" width="36.33203125" style="74" customWidth="1"/>
    <col min="8185" max="8185" width="22.33203125" style="74" customWidth="1"/>
    <col min="8186" max="8186" width="12" style="74"/>
    <col min="8187" max="8187" width="14.33203125" style="74" customWidth="1"/>
    <col min="8188" max="8439" width="12" style="74"/>
    <col min="8440" max="8440" width="36.33203125" style="74" customWidth="1"/>
    <col min="8441" max="8441" width="22.33203125" style="74" customWidth="1"/>
    <col min="8442" max="8442" width="12" style="74"/>
    <col min="8443" max="8443" width="14.33203125" style="74" customWidth="1"/>
    <col min="8444" max="8695" width="12" style="74"/>
    <col min="8696" max="8696" width="36.33203125" style="74" customWidth="1"/>
    <col min="8697" max="8697" width="22.33203125" style="74" customWidth="1"/>
    <col min="8698" max="8698" width="12" style="74"/>
    <col min="8699" max="8699" width="14.33203125" style="74" customWidth="1"/>
    <col min="8700" max="8951" width="12" style="74"/>
    <col min="8952" max="8952" width="36.33203125" style="74" customWidth="1"/>
    <col min="8953" max="8953" width="22.33203125" style="74" customWidth="1"/>
    <col min="8954" max="8954" width="12" style="74"/>
    <col min="8955" max="8955" width="14.33203125" style="74" customWidth="1"/>
    <col min="8956" max="9207" width="12" style="74"/>
    <col min="9208" max="9208" width="36.33203125" style="74" customWidth="1"/>
    <col min="9209" max="9209" width="22.33203125" style="74" customWidth="1"/>
    <col min="9210" max="9210" width="12" style="74"/>
    <col min="9211" max="9211" width="14.33203125" style="74" customWidth="1"/>
    <col min="9212" max="9463" width="12" style="74"/>
    <col min="9464" max="9464" width="36.33203125" style="74" customWidth="1"/>
    <col min="9465" max="9465" width="22.33203125" style="74" customWidth="1"/>
    <col min="9466" max="9466" width="12" style="74"/>
    <col min="9467" max="9467" width="14.33203125" style="74" customWidth="1"/>
    <col min="9468" max="9719" width="12" style="74"/>
    <col min="9720" max="9720" width="36.33203125" style="74" customWidth="1"/>
    <col min="9721" max="9721" width="22.33203125" style="74" customWidth="1"/>
    <col min="9722" max="9722" width="12" style="74"/>
    <col min="9723" max="9723" width="14.33203125" style="74" customWidth="1"/>
    <col min="9724" max="9975" width="12" style="74"/>
    <col min="9976" max="9976" width="36.33203125" style="74" customWidth="1"/>
    <col min="9977" max="9977" width="22.33203125" style="74" customWidth="1"/>
    <col min="9978" max="9978" width="12" style="74"/>
    <col min="9979" max="9979" width="14.33203125" style="74" customWidth="1"/>
    <col min="9980" max="10231" width="12" style="74"/>
    <col min="10232" max="10232" width="36.33203125" style="74" customWidth="1"/>
    <col min="10233" max="10233" width="22.33203125" style="74" customWidth="1"/>
    <col min="10234" max="10234" width="12" style="74"/>
    <col min="10235" max="10235" width="14.33203125" style="74" customWidth="1"/>
    <col min="10236" max="10487" width="12" style="74"/>
    <col min="10488" max="10488" width="36.33203125" style="74" customWidth="1"/>
    <col min="10489" max="10489" width="22.33203125" style="74" customWidth="1"/>
    <col min="10490" max="10490" width="12" style="74"/>
    <col min="10491" max="10491" width="14.33203125" style="74" customWidth="1"/>
    <col min="10492" max="10743" width="12" style="74"/>
    <col min="10744" max="10744" width="36.33203125" style="74" customWidth="1"/>
    <col min="10745" max="10745" width="22.33203125" style="74" customWidth="1"/>
    <col min="10746" max="10746" width="12" style="74"/>
    <col min="10747" max="10747" width="14.33203125" style="74" customWidth="1"/>
    <col min="10748" max="10999" width="12" style="74"/>
    <col min="11000" max="11000" width="36.33203125" style="74" customWidth="1"/>
    <col min="11001" max="11001" width="22.33203125" style="74" customWidth="1"/>
    <col min="11002" max="11002" width="12" style="74"/>
    <col min="11003" max="11003" width="14.33203125" style="74" customWidth="1"/>
    <col min="11004" max="11255" width="12" style="74"/>
    <col min="11256" max="11256" width="36.33203125" style="74" customWidth="1"/>
    <col min="11257" max="11257" width="22.33203125" style="74" customWidth="1"/>
    <col min="11258" max="11258" width="12" style="74"/>
    <col min="11259" max="11259" width="14.33203125" style="74" customWidth="1"/>
    <col min="11260" max="11511" width="12" style="74"/>
    <col min="11512" max="11512" width="36.33203125" style="74" customWidth="1"/>
    <col min="11513" max="11513" width="22.33203125" style="74" customWidth="1"/>
    <col min="11514" max="11514" width="12" style="74"/>
    <col min="11515" max="11515" width="14.33203125" style="74" customWidth="1"/>
    <col min="11516" max="11767" width="12" style="74"/>
    <col min="11768" max="11768" width="36.33203125" style="74" customWidth="1"/>
    <col min="11769" max="11769" width="22.33203125" style="74" customWidth="1"/>
    <col min="11770" max="11770" width="12" style="74"/>
    <col min="11771" max="11771" width="14.33203125" style="74" customWidth="1"/>
    <col min="11772" max="12023" width="12" style="74"/>
    <col min="12024" max="12024" width="36.33203125" style="74" customWidth="1"/>
    <col min="12025" max="12025" width="22.33203125" style="74" customWidth="1"/>
    <col min="12026" max="12026" width="12" style="74"/>
    <col min="12027" max="12027" width="14.33203125" style="74" customWidth="1"/>
    <col min="12028" max="12279" width="12" style="74"/>
    <col min="12280" max="12280" width="36.33203125" style="74" customWidth="1"/>
    <col min="12281" max="12281" width="22.33203125" style="74" customWidth="1"/>
    <col min="12282" max="12282" width="12" style="74"/>
    <col min="12283" max="12283" width="14.33203125" style="74" customWidth="1"/>
    <col min="12284" max="12535" width="12" style="74"/>
    <col min="12536" max="12536" width="36.33203125" style="74" customWidth="1"/>
    <col min="12537" max="12537" width="22.33203125" style="74" customWidth="1"/>
    <col min="12538" max="12538" width="12" style="74"/>
    <col min="12539" max="12539" width="14.33203125" style="74" customWidth="1"/>
    <col min="12540" max="12791" width="12" style="74"/>
    <col min="12792" max="12792" width="36.33203125" style="74" customWidth="1"/>
    <col min="12793" max="12793" width="22.33203125" style="74" customWidth="1"/>
    <col min="12794" max="12794" width="12" style="74"/>
    <col min="12795" max="12795" width="14.33203125" style="74" customWidth="1"/>
    <col min="12796" max="13047" width="12" style="74"/>
    <col min="13048" max="13048" width="36.33203125" style="74" customWidth="1"/>
    <col min="13049" max="13049" width="22.33203125" style="74" customWidth="1"/>
    <col min="13050" max="13050" width="12" style="74"/>
    <col min="13051" max="13051" width="14.33203125" style="74" customWidth="1"/>
    <col min="13052" max="13303" width="12" style="74"/>
    <col min="13304" max="13304" width="36.33203125" style="74" customWidth="1"/>
    <col min="13305" max="13305" width="22.33203125" style="74" customWidth="1"/>
    <col min="13306" max="13306" width="12" style="74"/>
    <col min="13307" max="13307" width="14.33203125" style="74" customWidth="1"/>
    <col min="13308" max="13559" width="12" style="74"/>
    <col min="13560" max="13560" width="36.33203125" style="74" customWidth="1"/>
    <col min="13561" max="13561" width="22.33203125" style="74" customWidth="1"/>
    <col min="13562" max="13562" width="12" style="74"/>
    <col min="13563" max="13563" width="14.33203125" style="74" customWidth="1"/>
    <col min="13564" max="13815" width="12" style="74"/>
    <col min="13816" max="13816" width="36.33203125" style="74" customWidth="1"/>
    <col min="13817" max="13817" width="22.33203125" style="74" customWidth="1"/>
    <col min="13818" max="13818" width="12" style="74"/>
    <col min="13819" max="13819" width="14.33203125" style="74" customWidth="1"/>
    <col min="13820" max="14071" width="12" style="74"/>
    <col min="14072" max="14072" width="36.33203125" style="74" customWidth="1"/>
    <col min="14073" max="14073" width="22.33203125" style="74" customWidth="1"/>
    <col min="14074" max="14074" width="12" style="74"/>
    <col min="14075" max="14075" width="14.33203125" style="74" customWidth="1"/>
    <col min="14076" max="14327" width="12" style="74"/>
    <col min="14328" max="14328" width="36.33203125" style="74" customWidth="1"/>
    <col min="14329" max="14329" width="22.33203125" style="74" customWidth="1"/>
    <col min="14330" max="14330" width="12" style="74"/>
    <col min="14331" max="14331" width="14.33203125" style="74" customWidth="1"/>
    <col min="14332" max="14583" width="12" style="74"/>
    <col min="14584" max="14584" width="36.33203125" style="74" customWidth="1"/>
    <col min="14585" max="14585" width="22.33203125" style="74" customWidth="1"/>
    <col min="14586" max="14586" width="12" style="74"/>
    <col min="14587" max="14587" width="14.33203125" style="74" customWidth="1"/>
    <col min="14588" max="14839" width="12" style="74"/>
    <col min="14840" max="14840" width="36.33203125" style="74" customWidth="1"/>
    <col min="14841" max="14841" width="22.33203125" style="74" customWidth="1"/>
    <col min="14842" max="14842" width="12" style="74"/>
    <col min="14843" max="14843" width="14.33203125" style="74" customWidth="1"/>
    <col min="14844" max="15095" width="12" style="74"/>
    <col min="15096" max="15096" width="36.33203125" style="74" customWidth="1"/>
    <col min="15097" max="15097" width="22.33203125" style="74" customWidth="1"/>
    <col min="15098" max="15098" width="12" style="74"/>
    <col min="15099" max="15099" width="14.33203125" style="74" customWidth="1"/>
    <col min="15100" max="15351" width="12" style="74"/>
    <col min="15352" max="15352" width="36.33203125" style="74" customWidth="1"/>
    <col min="15353" max="15353" width="22.33203125" style="74" customWidth="1"/>
    <col min="15354" max="15354" width="12" style="74"/>
    <col min="15355" max="15355" width="14.33203125" style="74" customWidth="1"/>
    <col min="15356" max="15607" width="12" style="74"/>
    <col min="15608" max="15608" width="36.33203125" style="74" customWidth="1"/>
    <col min="15609" max="15609" width="22.33203125" style="74" customWidth="1"/>
    <col min="15610" max="15610" width="12" style="74"/>
    <col min="15611" max="15611" width="14.33203125" style="74" customWidth="1"/>
    <col min="15612" max="15863" width="12" style="74"/>
    <col min="15864" max="15864" width="36.33203125" style="74" customWidth="1"/>
    <col min="15865" max="15865" width="22.33203125" style="74" customWidth="1"/>
    <col min="15866" max="15866" width="12" style="74"/>
    <col min="15867" max="15867" width="14.33203125" style="74" customWidth="1"/>
    <col min="15868" max="16119" width="12" style="74"/>
    <col min="16120" max="16120" width="36.33203125" style="74" customWidth="1"/>
    <col min="16121" max="16121" width="22.33203125" style="74" customWidth="1"/>
    <col min="16122" max="16122" width="12" style="74"/>
    <col min="16123" max="16123" width="14.33203125" style="74" customWidth="1"/>
    <col min="16124" max="16384" width="12" style="74"/>
  </cols>
  <sheetData>
    <row r="1" spans="1:9" ht="20.100000000000001" customHeight="1">
      <c r="A1" s="1191"/>
      <c r="B1" s="1505" t="s">
        <v>0</v>
      </c>
      <c r="C1" s="1505"/>
      <c r="D1" s="1505"/>
      <c r="E1" s="366" t="s">
        <v>104</v>
      </c>
      <c r="F1" s="65"/>
    </row>
    <row r="2" spans="1:9" ht="20.100000000000001" customHeight="1">
      <c r="A2" s="1191"/>
      <c r="B2" s="1505" t="s">
        <v>800</v>
      </c>
      <c r="C2" s="1505"/>
      <c r="D2" s="1505"/>
    </row>
    <row r="3" spans="1:9" ht="20.100000000000001" customHeight="1">
      <c r="A3" s="1191"/>
      <c r="B3" s="1105" t="s">
        <v>2</v>
      </c>
      <c r="C3" s="1507"/>
      <c r="D3" s="809" t="s">
        <v>3</v>
      </c>
    </row>
    <row r="4" spans="1:9" ht="24.75" customHeight="1" thickBot="1">
      <c r="A4" s="1506"/>
      <c r="B4" s="1506"/>
      <c r="C4" s="1506"/>
      <c r="D4" s="1506"/>
    </row>
    <row r="5" spans="1:9" ht="20.100000000000001" customHeight="1" thickBot="1">
      <c r="A5" s="272" t="s">
        <v>697</v>
      </c>
      <c r="B5" s="1464">
        <v>2022</v>
      </c>
      <c r="C5" s="1465"/>
      <c r="D5" s="1466"/>
    </row>
    <row r="6" spans="1:9" ht="20.100000000000001" customHeight="1" thickBot="1">
      <c r="A6" s="272" t="s">
        <v>698</v>
      </c>
      <c r="B6" s="1464" t="s">
        <v>801</v>
      </c>
      <c r="C6" s="1465"/>
      <c r="D6" s="1466"/>
    </row>
    <row r="7" spans="1:9" ht="20.100000000000001" customHeight="1" thickBot="1">
      <c r="A7" s="280"/>
      <c r="B7" s="281"/>
      <c r="C7" s="281"/>
      <c r="D7" s="281"/>
    </row>
    <row r="8" spans="1:9" ht="33" customHeight="1">
      <c r="A8" s="291" t="s">
        <v>802</v>
      </c>
      <c r="B8" s="292" t="s">
        <v>395</v>
      </c>
      <c r="C8" s="292" t="s">
        <v>396</v>
      </c>
      <c r="D8" s="293" t="s">
        <v>803</v>
      </c>
    </row>
    <row r="9" spans="1:9" ht="20.100000000000001" customHeight="1">
      <c r="A9" s="493" t="s">
        <v>804</v>
      </c>
      <c r="B9" s="494">
        <v>1099331</v>
      </c>
      <c r="C9" s="495">
        <f>D9/B9</f>
        <v>1.7101309796594475</v>
      </c>
      <c r="D9" s="496">
        <v>1880000</v>
      </c>
      <c r="E9" s="282"/>
      <c r="F9" s="283"/>
      <c r="H9" s="202"/>
      <c r="I9" s="202"/>
    </row>
    <row r="10" spans="1:9" ht="20.100000000000001" customHeight="1">
      <c r="A10" s="493" t="s">
        <v>805</v>
      </c>
      <c r="B10" s="494">
        <v>1893452</v>
      </c>
      <c r="C10" s="495">
        <f>D10/B10</f>
        <v>1.6498965909883112</v>
      </c>
      <c r="D10" s="496">
        <v>3124000</v>
      </c>
      <c r="I10" s="284"/>
    </row>
    <row r="11" spans="1:9" ht="20.100000000000001" customHeight="1">
      <c r="A11" s="493" t="s">
        <v>806</v>
      </c>
      <c r="B11" s="494">
        <v>2003165</v>
      </c>
      <c r="C11" s="495">
        <f t="shared" ref="C11:C15" si="0">D11/B11</f>
        <v>1.5799996505529998</v>
      </c>
      <c r="D11" s="496">
        <v>3165000</v>
      </c>
      <c r="I11" s="285"/>
    </row>
    <row r="12" spans="1:9" ht="20.100000000000001" customHeight="1">
      <c r="A12" s="493" t="s">
        <v>807</v>
      </c>
      <c r="B12" s="494">
        <v>2323418</v>
      </c>
      <c r="C12" s="495">
        <f t="shared" si="0"/>
        <v>1.5799998106238309</v>
      </c>
      <c r="D12" s="496">
        <v>3671000</v>
      </c>
    </row>
    <row r="13" spans="1:9" ht="20.100000000000001" customHeight="1">
      <c r="A13" s="493" t="s">
        <v>808</v>
      </c>
      <c r="B13" s="494">
        <v>2475949</v>
      </c>
      <c r="C13" s="495">
        <f t="shared" si="0"/>
        <v>1.5800002342536135</v>
      </c>
      <c r="D13" s="496">
        <v>3912000</v>
      </c>
    </row>
    <row r="14" spans="1:9" ht="20.100000000000001" customHeight="1">
      <c r="A14" s="493" t="s">
        <v>809</v>
      </c>
      <c r="B14" s="494">
        <v>3641772</v>
      </c>
      <c r="C14" s="495">
        <f t="shared" si="0"/>
        <v>1.5800000659019839</v>
      </c>
      <c r="D14" s="496">
        <v>5754000</v>
      </c>
    </row>
    <row r="15" spans="1:9" ht="20.100000000000001" customHeight="1" thickBot="1">
      <c r="A15" s="497" t="s">
        <v>810</v>
      </c>
      <c r="B15" s="498">
        <v>4368987</v>
      </c>
      <c r="C15" s="499">
        <f t="shared" si="0"/>
        <v>1.5800001235984451</v>
      </c>
      <c r="D15" s="500">
        <v>6903000</v>
      </c>
    </row>
    <row r="16" spans="1:9" ht="20.100000000000001" customHeight="1" thickBot="1">
      <c r="A16" s="286"/>
      <c r="B16" s="286"/>
      <c r="C16" s="286"/>
      <c r="D16" s="286"/>
    </row>
    <row r="17" spans="1:5" ht="41.25" customHeight="1" thickBot="1">
      <c r="A17" s="1511" t="s">
        <v>811</v>
      </c>
      <c r="B17" s="1512"/>
      <c r="C17" s="1512"/>
      <c r="D17" s="1513"/>
    </row>
    <row r="18" spans="1:5" ht="20.100000000000001" customHeight="1" thickBot="1">
      <c r="A18" s="286"/>
      <c r="B18" s="286"/>
      <c r="C18" s="286"/>
      <c r="D18" s="286"/>
    </row>
    <row r="19" spans="1:5" ht="20.100000000000001" customHeight="1" thickBot="1">
      <c r="A19" s="1508" t="s">
        <v>812</v>
      </c>
      <c r="B19" s="1509"/>
      <c r="C19" s="1509"/>
      <c r="D19" s="1510"/>
    </row>
    <row r="20" spans="1:5" ht="20.100000000000001" customHeight="1" thickBot="1">
      <c r="A20" s="286"/>
      <c r="B20" s="286"/>
      <c r="C20" s="286"/>
      <c r="D20" s="286"/>
    </row>
    <row r="21" spans="1:5" ht="20.100000000000001" customHeight="1" thickBot="1">
      <c r="A21" s="272" t="s">
        <v>813</v>
      </c>
      <c r="B21" s="1464">
        <v>2022</v>
      </c>
      <c r="C21" s="1465"/>
      <c r="D21" s="1466"/>
    </row>
    <row r="22" spans="1:5" ht="20.100000000000001" customHeight="1" thickBot="1">
      <c r="A22" s="294" t="s">
        <v>814</v>
      </c>
      <c r="B22" s="1502">
        <v>1000000</v>
      </c>
      <c r="C22" s="1503"/>
      <c r="D22" s="1504"/>
      <c r="E22" s="287"/>
    </row>
    <row r="23" spans="1:5" ht="20.100000000000001" customHeight="1" thickBot="1">
      <c r="A23" s="294" t="s">
        <v>815</v>
      </c>
      <c r="B23" s="1502">
        <v>117112</v>
      </c>
      <c r="C23" s="1503"/>
      <c r="D23" s="1504"/>
      <c r="E23" s="288"/>
    </row>
    <row r="24" spans="1:5" ht="20.100000000000001" customHeight="1" thickBot="1">
      <c r="A24" s="289"/>
      <c r="D24" s="289"/>
      <c r="E24" s="287"/>
    </row>
    <row r="25" spans="1:5" ht="27.75" customHeight="1">
      <c r="A25" s="504" t="s">
        <v>816</v>
      </c>
      <c r="B25" s="501" t="s">
        <v>817</v>
      </c>
      <c r="C25" s="1500" t="s">
        <v>818</v>
      </c>
      <c r="D25" s="1501"/>
    </row>
    <row r="26" spans="1:5" ht="20.100000000000001" customHeight="1">
      <c r="A26" s="295" t="s">
        <v>819</v>
      </c>
      <c r="B26" s="296"/>
      <c r="C26" s="1496"/>
      <c r="D26" s="1497"/>
    </row>
    <row r="27" spans="1:5" ht="20.100000000000001" customHeight="1">
      <c r="A27" s="297" t="s">
        <v>820</v>
      </c>
      <c r="B27" s="505">
        <v>8.5000000000000006E-2</v>
      </c>
      <c r="C27" s="1498"/>
      <c r="D27" s="1499"/>
    </row>
    <row r="28" spans="1:5" ht="20.100000000000001" customHeight="1">
      <c r="A28" s="297" t="s">
        <v>821</v>
      </c>
      <c r="B28" s="505">
        <v>0.12</v>
      </c>
      <c r="C28" s="1498"/>
      <c r="D28" s="1499"/>
    </row>
    <row r="29" spans="1:5" ht="20.100000000000001" customHeight="1">
      <c r="A29" s="297" t="s">
        <v>822</v>
      </c>
      <c r="B29" s="506">
        <v>6.9599999999999995E-2</v>
      </c>
      <c r="C29" s="1498"/>
      <c r="D29" s="1499"/>
    </row>
    <row r="30" spans="1:5" ht="20.100000000000001" customHeight="1">
      <c r="A30" s="295" t="s">
        <v>823</v>
      </c>
      <c r="B30" s="507"/>
      <c r="C30" s="1496"/>
      <c r="D30" s="1497"/>
    </row>
    <row r="31" spans="1:5" ht="20.100000000000001" customHeight="1">
      <c r="A31" s="297" t="s">
        <v>824</v>
      </c>
      <c r="B31" s="505">
        <v>0.04</v>
      </c>
      <c r="C31" s="1494" t="s">
        <v>825</v>
      </c>
      <c r="D31" s="1495"/>
    </row>
    <row r="32" spans="1:5" ht="20.100000000000001" customHeight="1">
      <c r="A32" s="297" t="s">
        <v>826</v>
      </c>
      <c r="B32" s="505">
        <v>0.03</v>
      </c>
      <c r="C32" s="1494" t="s">
        <v>827</v>
      </c>
      <c r="D32" s="1495"/>
    </row>
    <row r="33" spans="1:4" ht="20.100000000000001" customHeight="1">
      <c r="A33" s="297" t="s">
        <v>828</v>
      </c>
      <c r="B33" s="505">
        <v>0.02</v>
      </c>
      <c r="C33" s="1494" t="s">
        <v>829</v>
      </c>
      <c r="D33" s="1495"/>
    </row>
    <row r="34" spans="1:4" ht="20.100000000000001" customHeight="1">
      <c r="A34" s="295" t="s">
        <v>830</v>
      </c>
      <c r="B34" s="507"/>
      <c r="C34" s="1496"/>
      <c r="D34" s="1497"/>
    </row>
    <row r="35" spans="1:4" ht="20.100000000000001" customHeight="1">
      <c r="A35" s="297" t="s">
        <v>831</v>
      </c>
      <c r="B35" s="506">
        <v>8.3333333333333329E-2</v>
      </c>
      <c r="C35" s="1487" t="s">
        <v>832</v>
      </c>
      <c r="D35" s="1488"/>
    </row>
    <row r="36" spans="1:4" ht="20.100000000000001" customHeight="1">
      <c r="A36" s="297" t="s">
        <v>833</v>
      </c>
      <c r="B36" s="506">
        <f>12%*B35</f>
        <v>9.9999999999999985E-3</v>
      </c>
      <c r="C36" s="1487" t="s">
        <v>832</v>
      </c>
      <c r="D36" s="1488"/>
    </row>
    <row r="37" spans="1:4" ht="20.100000000000001" customHeight="1">
      <c r="A37" s="297" t="s">
        <v>834</v>
      </c>
      <c r="B37" s="506">
        <v>8.3333333333333329E-2</v>
      </c>
      <c r="C37" s="1487" t="s">
        <v>835</v>
      </c>
      <c r="D37" s="1488"/>
    </row>
    <row r="38" spans="1:4" ht="20.100000000000001" customHeight="1">
      <c r="A38" s="297" t="s">
        <v>836</v>
      </c>
      <c r="B38" s="506">
        <f>B35/2</f>
        <v>4.1666666666666664E-2</v>
      </c>
      <c r="C38" s="1487" t="s">
        <v>837</v>
      </c>
      <c r="D38" s="1488"/>
    </row>
    <row r="39" spans="1:4" ht="20.100000000000001" customHeight="1" thickBot="1">
      <c r="A39" s="359" t="s">
        <v>838</v>
      </c>
      <c r="B39" s="508">
        <f>ROUND(SUM(B27:B38),2)</f>
        <v>0.57999999999999996</v>
      </c>
      <c r="C39" s="1489"/>
      <c r="D39" s="1490"/>
    </row>
    <row r="40" spans="1:4" ht="20.100000000000001" customHeight="1" thickBot="1">
      <c r="A40" s="360"/>
      <c r="B40" s="361"/>
      <c r="C40" s="289"/>
    </row>
    <row r="41" spans="1:4" ht="20.100000000000001" customHeight="1" thickBot="1">
      <c r="A41" s="509" t="s">
        <v>802</v>
      </c>
      <c r="B41" s="502" t="s">
        <v>804</v>
      </c>
      <c r="C41" s="503" t="s">
        <v>805</v>
      </c>
    </row>
    <row r="42" spans="1:4" ht="20.100000000000001" customHeight="1">
      <c r="A42" s="362" t="s">
        <v>839</v>
      </c>
      <c r="B42" s="510">
        <f>B9/B22</f>
        <v>1.0993310000000001</v>
      </c>
      <c r="C42" s="511">
        <f>B10/B22</f>
        <v>1.8934519999999999</v>
      </c>
    </row>
    <row r="43" spans="1:4" ht="20.100000000000001" customHeight="1">
      <c r="A43" s="363" t="s">
        <v>840</v>
      </c>
      <c r="B43" s="512">
        <f>B23/B9</f>
        <v>0.10653024430312617</v>
      </c>
      <c r="C43" s="513">
        <f>B23/B10</f>
        <v>6.1851052997382555E-2</v>
      </c>
    </row>
    <row r="44" spans="1:4" ht="20.100000000000001" customHeight="1">
      <c r="A44" s="363" t="s">
        <v>831</v>
      </c>
      <c r="B44" s="512">
        <f>B43*B35</f>
        <v>8.8775203585938472E-3</v>
      </c>
      <c r="C44" s="513">
        <f>C43*B35</f>
        <v>5.1542544164485463E-3</v>
      </c>
    </row>
    <row r="45" spans="1:4" ht="20.100000000000001" customHeight="1">
      <c r="A45" s="363" t="s">
        <v>833</v>
      </c>
      <c r="B45" s="512">
        <f>B44*12%</f>
        <v>1.0653024430312616E-3</v>
      </c>
      <c r="C45" s="513">
        <f>C44*12%</f>
        <v>6.1851052997382553E-4</v>
      </c>
    </row>
    <row r="46" spans="1:4" ht="20.100000000000001" customHeight="1">
      <c r="A46" s="363" t="s">
        <v>834</v>
      </c>
      <c r="B46" s="512">
        <f>B44</f>
        <v>8.8775203585938472E-3</v>
      </c>
      <c r="C46" s="513">
        <f>C44</f>
        <v>5.1542544164485463E-3</v>
      </c>
    </row>
    <row r="47" spans="1:4" ht="20.100000000000001" customHeight="1" thickBot="1">
      <c r="A47" s="364" t="s">
        <v>444</v>
      </c>
      <c r="B47" s="514">
        <f>ROUND(SUM(B43:B46)+B39,2)</f>
        <v>0.71</v>
      </c>
      <c r="C47" s="515">
        <f>ROUND(SUM(C43:C46)+B39,2)</f>
        <v>0.65</v>
      </c>
    </row>
    <row r="48" spans="1:4" ht="27.75" customHeight="1" thickBot="1">
      <c r="A48" s="1491" t="s">
        <v>841</v>
      </c>
      <c r="B48" s="1492"/>
      <c r="C48" s="1493"/>
    </row>
  </sheetData>
  <sheetProtection algorithmName="SHA-512" hashValue="VwI1Z/bvrzQPBC3qIbBPpgaftmc8a1OWmV7sA3KkOEYqytuOdcPwarfSaMZDa/9dto4N9c/BbdCXWNYDYdXB4w==" saltValue="WEWbqZXRh+ogvCL46K6WXQ==" spinCount="100000" sheet="1" formatCells="0" formatColumns="0" formatRows="0" insertColumns="0" insertRows="0" insertHyperlinks="0" deleteColumns="0" deleteRows="0" sort="0" autoFilter="0" pivotTables="0"/>
  <mergeCells count="28">
    <mergeCell ref="C25:D25"/>
    <mergeCell ref="B23:D23"/>
    <mergeCell ref="A1:A3"/>
    <mergeCell ref="B1:D1"/>
    <mergeCell ref="B2:D2"/>
    <mergeCell ref="A4:D4"/>
    <mergeCell ref="B3:C3"/>
    <mergeCell ref="B5:D5"/>
    <mergeCell ref="B6:D6"/>
    <mergeCell ref="B21:D21"/>
    <mergeCell ref="B22:D22"/>
    <mergeCell ref="A19:D19"/>
    <mergeCell ref="A17:D17"/>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A48:C48"/>
  </mergeCells>
  <hyperlinks>
    <hyperlink ref="E1" location="ins" display="Instructivo" xr:uid="{00000000-0004-0000-1700-000000000000}"/>
  </hyperlinks>
  <printOptions horizontalCentered="1"/>
  <pageMargins left="0" right="0" top="0" bottom="0" header="0" footer="0"/>
  <pageSetup fitToHeight="0" orientation="landscape" verticalDpi="4294967292" r:id="rId1"/>
  <headerFooter>
    <oddFooter>&amp;R&amp;"Arial,Normal"&amp;K01+000Página &amp;P de &amp;N</oddFooter>
  </headerFooter>
  <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9">
    <tabColor theme="7" tint="0.39997558519241921"/>
    <pageSetUpPr fitToPage="1"/>
  </sheetPr>
  <dimension ref="A1:BJ155"/>
  <sheetViews>
    <sheetView showGridLines="0" zoomScaleNormal="100" workbookViewId="0">
      <selection activeCell="D19" sqref="D19"/>
    </sheetView>
  </sheetViews>
  <sheetFormatPr defaultColWidth="13.5" defaultRowHeight="20.100000000000001" customHeight="1"/>
  <cols>
    <col min="1" max="1" width="27.5" style="287" customWidth="1"/>
    <col min="2" max="2" width="14.33203125" style="287" customWidth="1"/>
    <col min="3" max="3" width="15.83203125" style="306" customWidth="1"/>
    <col min="4" max="10" width="15.83203125" style="287" customWidth="1"/>
    <col min="11" max="62" width="13.5" style="289"/>
    <col min="63" max="16384" width="13.5" style="287"/>
  </cols>
  <sheetData>
    <row r="1" spans="1:11" ht="20.100000000000001" customHeight="1">
      <c r="A1" s="1532"/>
      <c r="B1" s="1533"/>
      <c r="C1" s="1309" t="s">
        <v>0</v>
      </c>
      <c r="D1" s="1309"/>
      <c r="E1" s="1309"/>
      <c r="F1" s="1309"/>
      <c r="G1" s="1309"/>
      <c r="H1" s="1309"/>
      <c r="I1" s="1309"/>
      <c r="J1" s="1310"/>
      <c r="K1" s="366" t="s">
        <v>104</v>
      </c>
    </row>
    <row r="2" spans="1:11" ht="20.100000000000001" customHeight="1">
      <c r="A2" s="1534"/>
      <c r="B2" s="1535"/>
      <c r="C2" s="1505" t="s">
        <v>842</v>
      </c>
      <c r="D2" s="1505"/>
      <c r="E2" s="1505"/>
      <c r="F2" s="1505"/>
      <c r="G2" s="1505"/>
      <c r="H2" s="1505"/>
      <c r="I2" s="1505"/>
      <c r="J2" s="1538"/>
    </row>
    <row r="3" spans="1:11" ht="20.100000000000001" customHeight="1" thickBot="1">
      <c r="A3" s="1536"/>
      <c r="B3" s="1537"/>
      <c r="C3" s="1082" t="s">
        <v>2</v>
      </c>
      <c r="D3" s="1082"/>
      <c r="E3" s="1082"/>
      <c r="F3" s="1082"/>
      <c r="G3" s="1082" t="s">
        <v>3</v>
      </c>
      <c r="H3" s="1082"/>
      <c r="I3" s="1082"/>
      <c r="J3" s="1123"/>
    </row>
    <row r="4" spans="1:11" ht="24" customHeight="1" thickBot="1">
      <c r="A4" s="298"/>
      <c r="B4" s="298"/>
      <c r="C4" s="298"/>
      <c r="D4" s="74"/>
      <c r="E4" s="289"/>
      <c r="F4" s="289"/>
      <c r="G4" s="289"/>
      <c r="H4" s="289"/>
      <c r="I4" s="289"/>
      <c r="J4" s="289"/>
    </row>
    <row r="5" spans="1:11" ht="20.100000000000001" customHeight="1" thickBot="1">
      <c r="A5" s="1555" t="s">
        <v>697</v>
      </c>
      <c r="B5" s="1555"/>
      <c r="C5" s="1555"/>
      <c r="D5" s="1464">
        <v>2022</v>
      </c>
      <c r="E5" s="1465"/>
      <c r="F5" s="1465"/>
      <c r="G5" s="1465"/>
      <c r="H5" s="1465"/>
      <c r="I5" s="1465"/>
      <c r="J5" s="1466"/>
    </row>
    <row r="6" spans="1:11" ht="20.100000000000001" customHeight="1" thickBot="1">
      <c r="A6" s="1555" t="s">
        <v>698</v>
      </c>
      <c r="B6" s="1555"/>
      <c r="C6" s="1555"/>
      <c r="D6" s="1464" t="s">
        <v>843</v>
      </c>
      <c r="E6" s="1465"/>
      <c r="F6" s="1465"/>
      <c r="G6" s="1465"/>
      <c r="H6" s="1465"/>
      <c r="I6" s="1465"/>
      <c r="J6" s="1466"/>
    </row>
    <row r="7" spans="1:11" ht="20.100000000000001" customHeight="1" thickBot="1">
      <c r="A7" s="1556" t="s">
        <v>844</v>
      </c>
      <c r="B7" s="1556"/>
      <c r="C7" s="1556"/>
      <c r="D7" s="1502">
        <v>1000000</v>
      </c>
      <c r="E7" s="1503"/>
      <c r="F7" s="1503"/>
      <c r="G7" s="1503"/>
      <c r="H7" s="1503"/>
      <c r="I7" s="1503"/>
      <c r="J7" s="1504"/>
    </row>
    <row r="8" spans="1:11" ht="20.100000000000001" customHeight="1" thickBot="1">
      <c r="A8" s="1556" t="s">
        <v>845</v>
      </c>
      <c r="B8" s="1556"/>
      <c r="C8" s="1556"/>
      <c r="D8" s="1502">
        <v>117172</v>
      </c>
      <c r="E8" s="1503"/>
      <c r="F8" s="1503"/>
      <c r="G8" s="1503"/>
      <c r="H8" s="1503"/>
      <c r="I8" s="1503"/>
      <c r="J8" s="1504"/>
    </row>
    <row r="9" spans="1:11" ht="20.100000000000001" customHeight="1" thickBot="1">
      <c r="A9" s="281"/>
      <c r="B9" s="281"/>
      <c r="C9" s="281"/>
      <c r="D9" s="299"/>
      <c r="E9" s="299"/>
      <c r="F9" s="299"/>
      <c r="G9" s="299"/>
      <c r="H9" s="299"/>
      <c r="I9" s="299"/>
      <c r="J9" s="299"/>
    </row>
    <row r="10" spans="1:11" ht="20.100000000000001" customHeight="1" thickBot="1">
      <c r="A10" s="1548" t="s">
        <v>846</v>
      </c>
      <c r="B10" s="1549"/>
      <c r="C10" s="1549"/>
      <c r="D10" s="1549"/>
      <c r="E10" s="1549"/>
      <c r="F10" s="1549"/>
      <c r="G10" s="1549"/>
      <c r="H10" s="1549"/>
      <c r="I10" s="1549"/>
      <c r="J10" s="1550"/>
    </row>
    <row r="11" spans="1:11" ht="20.100000000000001" customHeight="1">
      <c r="A11" s="1551" t="s">
        <v>847</v>
      </c>
      <c r="B11" s="1552"/>
      <c r="C11" s="516">
        <v>1</v>
      </c>
      <c r="D11" s="516">
        <v>1.25</v>
      </c>
      <c r="E11" s="516">
        <v>1.5</v>
      </c>
      <c r="F11" s="516">
        <v>1.75</v>
      </c>
      <c r="G11" s="516">
        <v>2</v>
      </c>
      <c r="H11" s="517">
        <v>3</v>
      </c>
      <c r="I11" s="517">
        <v>4</v>
      </c>
      <c r="J11" s="518">
        <v>5</v>
      </c>
    </row>
    <row r="12" spans="1:11" ht="20.100000000000001" customHeight="1">
      <c r="A12" s="1553" t="s">
        <v>848</v>
      </c>
      <c r="B12" s="1554"/>
      <c r="C12" s="519">
        <f>$D$7*C11</f>
        <v>1000000</v>
      </c>
      <c r="D12" s="519">
        <f t="shared" ref="D12:F12" si="0">$D$7*D11</f>
        <v>1250000</v>
      </c>
      <c r="E12" s="519">
        <f>$D$7*E11</f>
        <v>1500000</v>
      </c>
      <c r="F12" s="519">
        <f t="shared" si="0"/>
        <v>1750000</v>
      </c>
      <c r="G12" s="519">
        <f>$D$7*G11</f>
        <v>2000000</v>
      </c>
      <c r="H12" s="520">
        <f>$D$7*H11</f>
        <v>3000000</v>
      </c>
      <c r="I12" s="520">
        <f>$D$7*I11</f>
        <v>4000000</v>
      </c>
      <c r="J12" s="521">
        <f>$D$7*J11</f>
        <v>5000000</v>
      </c>
    </row>
    <row r="13" spans="1:11" ht="20.100000000000001" customHeight="1">
      <c r="A13" s="1553" t="s">
        <v>849</v>
      </c>
      <c r="B13" s="1554"/>
      <c r="C13" s="522">
        <f>C29/30</f>
        <v>57360.190666666655</v>
      </c>
      <c r="D13" s="522">
        <f t="shared" ref="D13:I13" si="1">D29/30</f>
        <v>70551.301777777771</v>
      </c>
      <c r="E13" s="522">
        <f t="shared" si="1"/>
        <v>83742.412888888895</v>
      </c>
      <c r="F13" s="522">
        <f t="shared" si="1"/>
        <v>96933.52399999999</v>
      </c>
      <c r="G13" s="522">
        <f t="shared" si="1"/>
        <v>110124.63511111111</v>
      </c>
      <c r="H13" s="523">
        <f t="shared" si="1"/>
        <v>158293.33333333334</v>
      </c>
      <c r="I13" s="523">
        <f t="shared" si="1"/>
        <v>211057.77777777778</v>
      </c>
      <c r="J13" s="524">
        <f>J29/30</f>
        <v>263822.22222222219</v>
      </c>
    </row>
    <row r="14" spans="1:11" ht="20.100000000000001" customHeight="1">
      <c r="A14" s="307" t="s">
        <v>391</v>
      </c>
      <c r="B14" s="308" t="s">
        <v>850</v>
      </c>
      <c r="C14" s="525" t="s">
        <v>851</v>
      </c>
      <c r="D14" s="525" t="s">
        <v>851</v>
      </c>
      <c r="E14" s="525" t="s">
        <v>851</v>
      </c>
      <c r="F14" s="525" t="s">
        <v>851</v>
      </c>
      <c r="G14" s="525" t="s">
        <v>851</v>
      </c>
      <c r="H14" s="525" t="s">
        <v>851</v>
      </c>
      <c r="I14" s="525" t="s">
        <v>851</v>
      </c>
      <c r="J14" s="526" t="s">
        <v>851</v>
      </c>
    </row>
    <row r="15" spans="1:11" ht="20.100000000000001" customHeight="1">
      <c r="A15" s="1539" t="s">
        <v>819</v>
      </c>
      <c r="B15" s="1540"/>
      <c r="C15" s="527"/>
      <c r="D15" s="527"/>
      <c r="E15" s="527"/>
      <c r="F15" s="527"/>
      <c r="G15" s="527"/>
      <c r="H15" s="527"/>
      <c r="I15" s="527"/>
      <c r="J15" s="528"/>
    </row>
    <row r="16" spans="1:11" ht="20.100000000000001" customHeight="1">
      <c r="A16" s="537" t="s">
        <v>820</v>
      </c>
      <c r="B16" s="538">
        <v>8.5000000000000006E-2</v>
      </c>
      <c r="C16" s="529">
        <f>$C$12*B16</f>
        <v>85000</v>
      </c>
      <c r="D16" s="529">
        <f>$D$12*B16</f>
        <v>106250.00000000001</v>
      </c>
      <c r="E16" s="529">
        <f>$E$12*B16</f>
        <v>127500.00000000001</v>
      </c>
      <c r="F16" s="529">
        <f>$F$12*B16</f>
        <v>148750</v>
      </c>
      <c r="G16" s="529">
        <f>$G$12*B16</f>
        <v>170000</v>
      </c>
      <c r="H16" s="529">
        <f>$H$12*B16</f>
        <v>255000.00000000003</v>
      </c>
      <c r="I16" s="529">
        <f>$I$12*B16</f>
        <v>340000</v>
      </c>
      <c r="J16" s="530">
        <f>$J$12*B16</f>
        <v>425000.00000000006</v>
      </c>
    </row>
    <row r="17" spans="1:10" ht="20.100000000000001" customHeight="1">
      <c r="A17" s="537" t="s">
        <v>821</v>
      </c>
      <c r="B17" s="538">
        <v>0.12</v>
      </c>
      <c r="C17" s="529">
        <f>$C$12*B17</f>
        <v>120000</v>
      </c>
      <c r="D17" s="529">
        <f>$D$12*B17</f>
        <v>150000</v>
      </c>
      <c r="E17" s="529">
        <f>$E$12*B17</f>
        <v>180000</v>
      </c>
      <c r="F17" s="529">
        <f>$F$12*B17</f>
        <v>210000</v>
      </c>
      <c r="G17" s="529">
        <f>$G$12*B17</f>
        <v>240000</v>
      </c>
      <c r="H17" s="529">
        <f>$H$12*B17</f>
        <v>360000</v>
      </c>
      <c r="I17" s="529">
        <f>$I$12*B17</f>
        <v>480000</v>
      </c>
      <c r="J17" s="530">
        <f>$J$12*B17</f>
        <v>600000</v>
      </c>
    </row>
    <row r="18" spans="1:10" ht="20.100000000000001" customHeight="1">
      <c r="A18" s="537" t="s">
        <v>822</v>
      </c>
      <c r="B18" s="539">
        <v>6.9599999999999995E-2</v>
      </c>
      <c r="C18" s="529">
        <f>$C$12*B18</f>
        <v>69600</v>
      </c>
      <c r="D18" s="529">
        <f>$D$12*B18</f>
        <v>87000</v>
      </c>
      <c r="E18" s="529">
        <f>$E$12*B18</f>
        <v>104400</v>
      </c>
      <c r="F18" s="529">
        <f>$F$12*B18</f>
        <v>121799.99999999999</v>
      </c>
      <c r="G18" s="529">
        <f>$G$12*B18</f>
        <v>139200</v>
      </c>
      <c r="H18" s="529">
        <f>$H$12*B18</f>
        <v>208800</v>
      </c>
      <c r="I18" s="529">
        <f>$I$12*B18</f>
        <v>278400</v>
      </c>
      <c r="J18" s="530">
        <f>$J$12*B18</f>
        <v>348000</v>
      </c>
    </row>
    <row r="19" spans="1:10" ht="20.100000000000001" customHeight="1">
      <c r="A19" s="1541" t="s">
        <v>823</v>
      </c>
      <c r="B19" s="1542"/>
      <c r="C19" s="531"/>
      <c r="D19" s="531"/>
      <c r="E19" s="531"/>
      <c r="F19" s="531"/>
      <c r="G19" s="531"/>
      <c r="H19" s="531"/>
      <c r="I19" s="531"/>
      <c r="J19" s="532"/>
    </row>
    <row r="20" spans="1:10" ht="20.100000000000001" customHeight="1">
      <c r="A20" s="537" t="s">
        <v>824</v>
      </c>
      <c r="B20" s="538">
        <v>0.04</v>
      </c>
      <c r="C20" s="529">
        <f>$C$12*B20</f>
        <v>40000</v>
      </c>
      <c r="D20" s="529">
        <f>$D$12*B20</f>
        <v>50000</v>
      </c>
      <c r="E20" s="529">
        <f>$E$12*B20</f>
        <v>60000</v>
      </c>
      <c r="F20" s="529">
        <f>$F$12*B20</f>
        <v>70000</v>
      </c>
      <c r="G20" s="529">
        <f>$G$12*B20</f>
        <v>80000</v>
      </c>
      <c r="H20" s="529">
        <f>$H$12*B20</f>
        <v>120000</v>
      </c>
      <c r="I20" s="529">
        <f>$I$12*B20</f>
        <v>160000</v>
      </c>
      <c r="J20" s="530">
        <f>$J$12*B20</f>
        <v>200000</v>
      </c>
    </row>
    <row r="21" spans="1:10" ht="20.100000000000001" customHeight="1">
      <c r="A21" s="537" t="s">
        <v>826</v>
      </c>
      <c r="B21" s="538">
        <v>0.03</v>
      </c>
      <c r="C21" s="529">
        <f>$C$12*B21</f>
        <v>30000</v>
      </c>
      <c r="D21" s="529">
        <f>$D$12*B21</f>
        <v>37500</v>
      </c>
      <c r="E21" s="529">
        <f>$E$12*B21</f>
        <v>45000</v>
      </c>
      <c r="F21" s="529">
        <f>$F$12*B21</f>
        <v>52500</v>
      </c>
      <c r="G21" s="529">
        <f>$G$12*B21</f>
        <v>60000</v>
      </c>
      <c r="H21" s="529">
        <f>$H$12*B21</f>
        <v>90000</v>
      </c>
      <c r="I21" s="529">
        <f>$I$12*B21</f>
        <v>120000</v>
      </c>
      <c r="J21" s="530">
        <f>$J$12*B21</f>
        <v>150000</v>
      </c>
    </row>
    <row r="22" spans="1:10" ht="20.100000000000001" customHeight="1">
      <c r="A22" s="537" t="s">
        <v>828</v>
      </c>
      <c r="B22" s="538">
        <v>0.02</v>
      </c>
      <c r="C22" s="529">
        <f>$C$12*B22</f>
        <v>20000</v>
      </c>
      <c r="D22" s="529">
        <f>$D$12*B22</f>
        <v>25000</v>
      </c>
      <c r="E22" s="529">
        <f>$E$12*B22</f>
        <v>30000</v>
      </c>
      <c r="F22" s="529">
        <f>$F$12*B22</f>
        <v>35000</v>
      </c>
      <c r="G22" s="529">
        <f>$G$12*B22</f>
        <v>40000</v>
      </c>
      <c r="H22" s="529">
        <f>$H$12*B22</f>
        <v>60000</v>
      </c>
      <c r="I22" s="529">
        <f>$I$12*B22</f>
        <v>80000</v>
      </c>
      <c r="J22" s="530">
        <f>$J$12*B22</f>
        <v>100000</v>
      </c>
    </row>
    <row r="23" spans="1:10" ht="20.100000000000001" customHeight="1">
      <c r="A23" s="1541" t="s">
        <v>830</v>
      </c>
      <c r="B23" s="1542"/>
      <c r="C23" s="531"/>
      <c r="D23" s="531"/>
      <c r="E23" s="527"/>
      <c r="F23" s="527"/>
      <c r="G23" s="527"/>
      <c r="H23" s="527"/>
      <c r="I23" s="527"/>
      <c r="J23" s="528"/>
    </row>
    <row r="24" spans="1:10" ht="20.100000000000001" customHeight="1">
      <c r="A24" s="540" t="s">
        <v>831</v>
      </c>
      <c r="B24" s="541">
        <v>8.3333333333333301E-2</v>
      </c>
      <c r="C24" s="529">
        <f>($C$12+$D$8)*B24</f>
        <v>93097.666666666628</v>
      </c>
      <c r="D24" s="529">
        <f>($D$12+$D$8)*B24</f>
        <v>113930.99999999996</v>
      </c>
      <c r="E24" s="529">
        <f>(E12+$D$8)*$B$24</f>
        <v>134764.33333333328</v>
      </c>
      <c r="F24" s="529">
        <f>(F12+$D$8)*$B$24</f>
        <v>155597.6666666666</v>
      </c>
      <c r="G24" s="529">
        <f>(G12+$D$8)*$B$24</f>
        <v>176430.99999999994</v>
      </c>
      <c r="H24" s="529">
        <f>H12*$B$24</f>
        <v>249999.99999999991</v>
      </c>
      <c r="I24" s="529">
        <f>I12*$B$24</f>
        <v>333333.3333333332</v>
      </c>
      <c r="J24" s="530">
        <f>J12*$B$24</f>
        <v>416666.66666666651</v>
      </c>
    </row>
    <row r="25" spans="1:10" ht="20.100000000000001" customHeight="1">
      <c r="A25" s="540" t="s">
        <v>833</v>
      </c>
      <c r="B25" s="541">
        <v>0.12</v>
      </c>
      <c r="C25" s="529">
        <f t="shared" ref="C25:J25" si="2">C24*$B$25</f>
        <v>11171.719999999996</v>
      </c>
      <c r="D25" s="529">
        <f t="shared" si="2"/>
        <v>13671.719999999994</v>
      </c>
      <c r="E25" s="529">
        <f t="shared" si="2"/>
        <v>16171.719999999994</v>
      </c>
      <c r="F25" s="529">
        <f t="shared" si="2"/>
        <v>18671.71999999999</v>
      </c>
      <c r="G25" s="529">
        <f t="shared" si="2"/>
        <v>21171.719999999994</v>
      </c>
      <c r="H25" s="529">
        <f t="shared" si="2"/>
        <v>29999.999999999989</v>
      </c>
      <c r="I25" s="529">
        <f t="shared" si="2"/>
        <v>39999.999999999985</v>
      </c>
      <c r="J25" s="530">
        <f t="shared" si="2"/>
        <v>49999.999999999978</v>
      </c>
    </row>
    <row r="26" spans="1:10" ht="20.100000000000001" customHeight="1">
      <c r="A26" s="540" t="s">
        <v>834</v>
      </c>
      <c r="B26" s="541">
        <v>8.3333333333333329E-2</v>
      </c>
      <c r="C26" s="529">
        <f>(C12+$D$8)*$B$26</f>
        <v>93097.666666666657</v>
      </c>
      <c r="D26" s="529">
        <f>(D12+$D$8)*$B$26</f>
        <v>113931</v>
      </c>
      <c r="E26" s="529">
        <f>(E12+$D$8)*$B$26</f>
        <v>134764.33333333331</v>
      </c>
      <c r="F26" s="529">
        <f>(F12+$D$8)*$B$26</f>
        <v>155597.66666666666</v>
      </c>
      <c r="G26" s="529">
        <f>(G12+$D$8)*$B$26</f>
        <v>176431</v>
      </c>
      <c r="H26" s="529">
        <f>H12*$B$26</f>
        <v>250000</v>
      </c>
      <c r="I26" s="529">
        <f>I12*$B$26</f>
        <v>333333.33333333331</v>
      </c>
      <c r="J26" s="530">
        <f>J12*$B$26</f>
        <v>416666.66666666663</v>
      </c>
    </row>
    <row r="27" spans="1:10" ht="20.100000000000001" customHeight="1">
      <c r="A27" s="537" t="s">
        <v>836</v>
      </c>
      <c r="B27" s="539">
        <f>B24/2</f>
        <v>4.166666666666665E-2</v>
      </c>
      <c r="C27" s="529">
        <f>C12*$B$27</f>
        <v>41666.66666666665</v>
      </c>
      <c r="D27" s="529">
        <f t="shared" ref="D27:J27" si="3">D12*$B$27</f>
        <v>52083.333333333314</v>
      </c>
      <c r="E27" s="529">
        <f t="shared" si="3"/>
        <v>62499.999999999978</v>
      </c>
      <c r="F27" s="529">
        <f t="shared" si="3"/>
        <v>72916.666666666642</v>
      </c>
      <c r="G27" s="529">
        <f t="shared" si="3"/>
        <v>83333.333333333299</v>
      </c>
      <c r="H27" s="529">
        <f t="shared" si="3"/>
        <v>124999.99999999996</v>
      </c>
      <c r="I27" s="529">
        <f t="shared" si="3"/>
        <v>166666.6666666666</v>
      </c>
      <c r="J27" s="530">
        <f t="shared" si="3"/>
        <v>208333.33333333326</v>
      </c>
    </row>
    <row r="28" spans="1:10" ht="20.100000000000001" customHeight="1">
      <c r="A28" s="1539" t="s">
        <v>852</v>
      </c>
      <c r="B28" s="1540"/>
      <c r="C28" s="533">
        <f>SUM(C16:C27)</f>
        <v>603633.71999999986</v>
      </c>
      <c r="D28" s="533">
        <f t="shared" ref="D28:J28" si="4">SUM(D16:D27)</f>
        <v>749367.05333333323</v>
      </c>
      <c r="E28" s="533">
        <f t="shared" si="4"/>
        <v>895100.38666666648</v>
      </c>
      <c r="F28" s="533">
        <f t="shared" si="4"/>
        <v>1040833.7199999999</v>
      </c>
      <c r="G28" s="533">
        <f t="shared" si="4"/>
        <v>1186567.0533333332</v>
      </c>
      <c r="H28" s="533">
        <f t="shared" si="4"/>
        <v>1748800</v>
      </c>
      <c r="I28" s="533">
        <f t="shared" si="4"/>
        <v>2331733.333333333</v>
      </c>
      <c r="J28" s="534">
        <f t="shared" si="4"/>
        <v>2914666.666666666</v>
      </c>
    </row>
    <row r="29" spans="1:10" ht="20.100000000000001" customHeight="1" thickBot="1">
      <c r="A29" s="1546" t="s">
        <v>853</v>
      </c>
      <c r="B29" s="1547"/>
      <c r="C29" s="535">
        <f>C12+$D$8+C28</f>
        <v>1720805.7199999997</v>
      </c>
      <c r="D29" s="535">
        <f t="shared" ref="D29:G29" si="5">D12+$D$8+D28</f>
        <v>2116539.0533333332</v>
      </c>
      <c r="E29" s="535">
        <f t="shared" si="5"/>
        <v>2512272.3866666667</v>
      </c>
      <c r="F29" s="535">
        <f t="shared" si="5"/>
        <v>2908005.7199999997</v>
      </c>
      <c r="G29" s="535">
        <f t="shared" si="5"/>
        <v>3303739.0533333332</v>
      </c>
      <c r="H29" s="535">
        <f>H12+H28</f>
        <v>4748800</v>
      </c>
      <c r="I29" s="535">
        <f>I12+I28</f>
        <v>6331733.333333333</v>
      </c>
      <c r="J29" s="536">
        <f>J12+J28</f>
        <v>7914666.666666666</v>
      </c>
    </row>
    <row r="30" spans="1:10" s="289" customFormat="1" ht="20.100000000000001" customHeight="1" thickBot="1">
      <c r="A30" s="300"/>
      <c r="B30" s="300"/>
      <c r="C30" s="301"/>
      <c r="D30" s="302"/>
      <c r="E30" s="301"/>
      <c r="F30" s="301"/>
      <c r="G30" s="301"/>
      <c r="H30" s="301"/>
      <c r="I30" s="301"/>
      <c r="J30" s="301"/>
    </row>
    <row r="31" spans="1:10" s="289" customFormat="1" ht="20.100000000000001" customHeight="1">
      <c r="A31" s="1543" t="s">
        <v>854</v>
      </c>
      <c r="B31" s="1544"/>
      <c r="C31" s="1544"/>
      <c r="D31" s="1544"/>
      <c r="E31" s="1544"/>
      <c r="F31" s="1544"/>
      <c r="G31" s="1544"/>
      <c r="H31" s="1544"/>
      <c r="I31" s="1544"/>
      <c r="J31" s="1545"/>
    </row>
    <row r="32" spans="1:10" ht="20.100000000000001" customHeight="1">
      <c r="A32" s="1519" t="s">
        <v>855</v>
      </c>
      <c r="B32" s="1520"/>
      <c r="C32" s="542">
        <f>(C29-C12)/C12</f>
        <v>0.72080571999999976</v>
      </c>
      <c r="D32" s="542">
        <f>(D29-D12)/D12</f>
        <v>0.69323124266666658</v>
      </c>
      <c r="E32" s="542">
        <f>(E29-E12)/E12</f>
        <v>0.67484825777777779</v>
      </c>
      <c r="F32" s="542">
        <f>(F29-F12)/F12</f>
        <v>0.6617175542857141</v>
      </c>
      <c r="G32" s="542">
        <f t="shared" ref="G32" si="6">(G29-G12)/G12</f>
        <v>0.65186952666666664</v>
      </c>
      <c r="H32" s="542">
        <f>(H29-H12)/H12</f>
        <v>0.5829333333333333</v>
      </c>
      <c r="I32" s="542">
        <f>(I29-I12)/I12</f>
        <v>0.5829333333333333</v>
      </c>
      <c r="J32" s="543">
        <f>(J29-J12)/J12</f>
        <v>0.58293333333333319</v>
      </c>
    </row>
    <row r="33" spans="1:10" s="289" customFormat="1" ht="20.100000000000001" customHeight="1">
      <c r="A33" s="1519" t="s">
        <v>856</v>
      </c>
      <c r="B33" s="1520"/>
      <c r="C33" s="544">
        <f>C34/(1+C32)</f>
        <v>33333.333333333328</v>
      </c>
      <c r="D33" s="544">
        <f t="shared" ref="D33:J33" si="7">D34/(1+D32)</f>
        <v>41666.666666666664</v>
      </c>
      <c r="E33" s="544">
        <f t="shared" si="7"/>
        <v>50000.000000000007</v>
      </c>
      <c r="F33" s="544">
        <f t="shared" si="7"/>
        <v>58333.333333333336</v>
      </c>
      <c r="G33" s="544">
        <f t="shared" si="7"/>
        <v>66666.666666666672</v>
      </c>
      <c r="H33" s="544">
        <f t="shared" si="7"/>
        <v>100000.00000000001</v>
      </c>
      <c r="I33" s="544">
        <f t="shared" si="7"/>
        <v>133333.33333333334</v>
      </c>
      <c r="J33" s="545">
        <f t="shared" si="7"/>
        <v>166666.66666666669</v>
      </c>
    </row>
    <row r="34" spans="1:10" s="289" customFormat="1" ht="20.100000000000001" customHeight="1" thickBot="1">
      <c r="A34" s="1521" t="s">
        <v>857</v>
      </c>
      <c r="B34" s="1522"/>
      <c r="C34" s="546">
        <f>C13</f>
        <v>57360.190666666655</v>
      </c>
      <c r="D34" s="546">
        <f t="shared" ref="D34:J34" si="8">D13</f>
        <v>70551.301777777771</v>
      </c>
      <c r="E34" s="546">
        <f t="shared" si="8"/>
        <v>83742.412888888895</v>
      </c>
      <c r="F34" s="546">
        <f t="shared" si="8"/>
        <v>96933.52399999999</v>
      </c>
      <c r="G34" s="546">
        <f t="shared" si="8"/>
        <v>110124.63511111111</v>
      </c>
      <c r="H34" s="546">
        <f t="shared" si="8"/>
        <v>158293.33333333334</v>
      </c>
      <c r="I34" s="546">
        <f t="shared" si="8"/>
        <v>211057.77777777778</v>
      </c>
      <c r="J34" s="547">
        <f t="shared" si="8"/>
        <v>263822.22222222219</v>
      </c>
    </row>
    <row r="35" spans="1:10" s="289" customFormat="1" ht="20.100000000000001" customHeight="1" thickBot="1">
      <c r="A35" s="303"/>
      <c r="B35" s="303"/>
      <c r="C35" s="303"/>
    </row>
    <row r="36" spans="1:10" s="289" customFormat="1" ht="20.100000000000001" customHeight="1">
      <c r="A36" s="1529" t="s">
        <v>858</v>
      </c>
      <c r="B36" s="1530"/>
      <c r="C36" s="1530"/>
      <c r="D36" s="1530"/>
      <c r="E36" s="1530"/>
      <c r="F36" s="1530"/>
      <c r="G36" s="1530"/>
      <c r="H36" s="1530"/>
      <c r="I36" s="1530"/>
      <c r="J36" s="1531"/>
    </row>
    <row r="37" spans="1:10" s="289" customFormat="1" ht="16.5" customHeight="1">
      <c r="A37" s="1523" t="s">
        <v>859</v>
      </c>
      <c r="B37" s="1524"/>
      <c r="C37" s="1524"/>
      <c r="D37" s="1524"/>
      <c r="E37" s="1524"/>
      <c r="F37" s="1524"/>
      <c r="G37" s="1524"/>
      <c r="H37" s="1524"/>
      <c r="I37" s="1524"/>
      <c r="J37" s="1525"/>
    </row>
    <row r="38" spans="1:10" s="289" customFormat="1" ht="40.5" customHeight="1" thickBot="1">
      <c r="A38" s="1526" t="s">
        <v>860</v>
      </c>
      <c r="B38" s="1527"/>
      <c r="C38" s="1527"/>
      <c r="D38" s="1527"/>
      <c r="E38" s="1527"/>
      <c r="F38" s="1527"/>
      <c r="G38" s="1527"/>
      <c r="H38" s="1527"/>
      <c r="I38" s="1527"/>
      <c r="J38" s="1528"/>
    </row>
    <row r="39" spans="1:10" s="289" customFormat="1" ht="20.100000000000001" customHeight="1" thickBot="1">
      <c r="B39" s="290"/>
      <c r="C39" s="304"/>
    </row>
    <row r="40" spans="1:10" s="289" customFormat="1" ht="20.100000000000001" customHeight="1" thickBot="1">
      <c r="A40" s="1514" t="s">
        <v>861</v>
      </c>
      <c r="B40" s="1515"/>
      <c r="C40" s="1515"/>
      <c r="D40" s="1515"/>
      <c r="E40" s="1515"/>
      <c r="F40" s="1515"/>
      <c r="G40" s="1515"/>
      <c r="H40" s="1515"/>
      <c r="I40" s="1515"/>
      <c r="J40" s="1516"/>
    </row>
    <row r="41" spans="1:10" s="289" customFormat="1" ht="20.100000000000001" customHeight="1">
      <c r="A41" s="548" t="s">
        <v>862</v>
      </c>
      <c r="B41" s="549">
        <v>0.125</v>
      </c>
      <c r="C41" s="550">
        <f>C33*$B$41</f>
        <v>4166.6666666666661</v>
      </c>
      <c r="D41" s="550">
        <f t="shared" ref="D41:J41" si="9">D33*$B$41</f>
        <v>5208.333333333333</v>
      </c>
      <c r="E41" s="550">
        <f t="shared" si="9"/>
        <v>6250.0000000000009</v>
      </c>
      <c r="F41" s="550">
        <f t="shared" si="9"/>
        <v>7291.666666666667</v>
      </c>
      <c r="G41" s="550">
        <f t="shared" si="9"/>
        <v>8333.3333333333339</v>
      </c>
      <c r="H41" s="550">
        <f t="shared" si="9"/>
        <v>12500.000000000002</v>
      </c>
      <c r="I41" s="550">
        <f t="shared" si="9"/>
        <v>16666.666666666668</v>
      </c>
      <c r="J41" s="551">
        <f t="shared" si="9"/>
        <v>20833.333333333336</v>
      </c>
    </row>
    <row r="42" spans="1:10" s="289" customFormat="1" ht="20.100000000000001" customHeight="1">
      <c r="A42" s="552" t="s">
        <v>863</v>
      </c>
      <c r="B42" s="553">
        <v>0.16</v>
      </c>
      <c r="C42" s="554">
        <f>C33*$B$42</f>
        <v>5333.333333333333</v>
      </c>
      <c r="D42" s="554">
        <f t="shared" ref="D42:J42" si="10">D33*$B$42</f>
        <v>6666.6666666666661</v>
      </c>
      <c r="E42" s="554">
        <f t="shared" si="10"/>
        <v>8000.0000000000009</v>
      </c>
      <c r="F42" s="554">
        <f t="shared" si="10"/>
        <v>9333.3333333333339</v>
      </c>
      <c r="G42" s="554">
        <f t="shared" si="10"/>
        <v>10666.666666666668</v>
      </c>
      <c r="H42" s="554">
        <f t="shared" si="10"/>
        <v>16000.000000000002</v>
      </c>
      <c r="I42" s="554">
        <f t="shared" si="10"/>
        <v>21333.333333333336</v>
      </c>
      <c r="J42" s="555">
        <f t="shared" si="10"/>
        <v>26666.666666666672</v>
      </c>
    </row>
    <row r="43" spans="1:10" s="289" customFormat="1" ht="20.100000000000001" customHeight="1">
      <c r="A43" s="552" t="s">
        <v>864</v>
      </c>
      <c r="B43" s="556">
        <f>B18</f>
        <v>6.9599999999999995E-2</v>
      </c>
      <c r="C43" s="554">
        <f>C33*$B$43</f>
        <v>2319.9999999999995</v>
      </c>
      <c r="D43" s="554">
        <f t="shared" ref="D43:J43" si="11">D33*$B$43</f>
        <v>2899.9999999999995</v>
      </c>
      <c r="E43" s="554">
        <f t="shared" si="11"/>
        <v>3480.0000000000005</v>
      </c>
      <c r="F43" s="554">
        <f t="shared" si="11"/>
        <v>4060</v>
      </c>
      <c r="G43" s="554">
        <f t="shared" si="11"/>
        <v>4640</v>
      </c>
      <c r="H43" s="554">
        <f t="shared" si="11"/>
        <v>6960.0000000000009</v>
      </c>
      <c r="I43" s="554">
        <f t="shared" si="11"/>
        <v>9280</v>
      </c>
      <c r="J43" s="555">
        <f t="shared" si="11"/>
        <v>11600</v>
      </c>
    </row>
    <row r="44" spans="1:10" s="289" customFormat="1" ht="20.100000000000001" customHeight="1" thickBot="1">
      <c r="A44" s="1517" t="s">
        <v>865</v>
      </c>
      <c r="B44" s="1518"/>
      <c r="C44" s="557">
        <f>SUM(C41:C43)</f>
        <v>11820</v>
      </c>
      <c r="D44" s="557">
        <f t="shared" ref="D44:J44" si="12">SUM(D41:D43)</f>
        <v>14775</v>
      </c>
      <c r="E44" s="557">
        <f t="shared" si="12"/>
        <v>17730.000000000004</v>
      </c>
      <c r="F44" s="557">
        <f t="shared" si="12"/>
        <v>20685</v>
      </c>
      <c r="G44" s="557">
        <f t="shared" si="12"/>
        <v>23640</v>
      </c>
      <c r="H44" s="557">
        <f t="shared" si="12"/>
        <v>35460.000000000007</v>
      </c>
      <c r="I44" s="557">
        <f t="shared" si="12"/>
        <v>47280</v>
      </c>
      <c r="J44" s="558">
        <f t="shared" si="12"/>
        <v>59100.000000000007</v>
      </c>
    </row>
    <row r="45" spans="1:10" s="289" customFormat="1" ht="28.5" customHeight="1">
      <c r="B45" s="305"/>
      <c r="C45" s="305"/>
    </row>
    <row r="46" spans="1:10" s="289" customFormat="1" ht="65.25" customHeight="1">
      <c r="B46" s="305"/>
      <c r="C46" s="305"/>
    </row>
    <row r="47" spans="1:10" s="289" customFormat="1" ht="20.100000000000001" customHeight="1">
      <c r="C47" s="304"/>
    </row>
    <row r="48" spans="1:10" s="289" customFormat="1" ht="20.100000000000001" customHeight="1">
      <c r="C48" s="304"/>
    </row>
    <row r="49" spans="3:3" s="289" customFormat="1" ht="20.100000000000001" customHeight="1">
      <c r="C49" s="304"/>
    </row>
    <row r="50" spans="3:3" s="289" customFormat="1" ht="20.100000000000001" customHeight="1">
      <c r="C50" s="304"/>
    </row>
    <row r="51" spans="3:3" s="289" customFormat="1" ht="20.100000000000001" customHeight="1">
      <c r="C51" s="304"/>
    </row>
    <row r="52" spans="3:3" s="289" customFormat="1" ht="20.100000000000001" customHeight="1">
      <c r="C52" s="304"/>
    </row>
    <row r="53" spans="3:3" s="289" customFormat="1" ht="20.100000000000001" customHeight="1">
      <c r="C53" s="304"/>
    </row>
    <row r="54" spans="3:3" s="289" customFormat="1" ht="20.100000000000001" customHeight="1">
      <c r="C54" s="304"/>
    </row>
    <row r="55" spans="3:3" s="289" customFormat="1" ht="20.100000000000001" customHeight="1">
      <c r="C55" s="304"/>
    </row>
    <row r="56" spans="3:3" s="289" customFormat="1" ht="20.100000000000001" customHeight="1">
      <c r="C56" s="304"/>
    </row>
    <row r="57" spans="3:3" s="289" customFormat="1" ht="20.100000000000001" customHeight="1">
      <c r="C57" s="304"/>
    </row>
    <row r="58" spans="3:3" s="289" customFormat="1" ht="20.100000000000001" customHeight="1">
      <c r="C58" s="304"/>
    </row>
    <row r="59" spans="3:3" s="289" customFormat="1" ht="20.100000000000001" customHeight="1">
      <c r="C59" s="304"/>
    </row>
    <row r="60" spans="3:3" s="289" customFormat="1" ht="20.100000000000001" customHeight="1">
      <c r="C60" s="304"/>
    </row>
    <row r="61" spans="3:3" s="289" customFormat="1" ht="20.100000000000001" customHeight="1">
      <c r="C61" s="304"/>
    </row>
    <row r="62" spans="3:3" s="289" customFormat="1" ht="20.100000000000001" customHeight="1">
      <c r="C62" s="304"/>
    </row>
    <row r="63" spans="3:3" s="289" customFormat="1" ht="20.100000000000001" customHeight="1">
      <c r="C63" s="304"/>
    </row>
    <row r="64" spans="3:3" s="289" customFormat="1" ht="20.100000000000001" customHeight="1">
      <c r="C64" s="304"/>
    </row>
    <row r="65" spans="3:3" s="289" customFormat="1" ht="20.100000000000001" customHeight="1">
      <c r="C65" s="304"/>
    </row>
    <row r="66" spans="3:3" s="289" customFormat="1" ht="20.100000000000001" customHeight="1">
      <c r="C66" s="304"/>
    </row>
    <row r="67" spans="3:3" s="289" customFormat="1" ht="20.100000000000001" customHeight="1">
      <c r="C67" s="304"/>
    </row>
    <row r="68" spans="3:3" s="289" customFormat="1" ht="20.100000000000001" customHeight="1">
      <c r="C68" s="304"/>
    </row>
    <row r="69" spans="3:3" s="289" customFormat="1" ht="20.100000000000001" customHeight="1">
      <c r="C69" s="304"/>
    </row>
    <row r="70" spans="3:3" s="289" customFormat="1" ht="20.100000000000001" customHeight="1">
      <c r="C70" s="304"/>
    </row>
    <row r="71" spans="3:3" s="289" customFormat="1" ht="20.100000000000001" customHeight="1">
      <c r="C71" s="304"/>
    </row>
    <row r="72" spans="3:3" s="289" customFormat="1" ht="20.100000000000001" customHeight="1">
      <c r="C72" s="304"/>
    </row>
    <row r="73" spans="3:3" s="289" customFormat="1" ht="20.100000000000001" customHeight="1">
      <c r="C73" s="304"/>
    </row>
    <row r="74" spans="3:3" s="289" customFormat="1" ht="20.100000000000001" customHeight="1">
      <c r="C74" s="304"/>
    </row>
    <row r="75" spans="3:3" s="289" customFormat="1" ht="20.100000000000001" customHeight="1">
      <c r="C75" s="304"/>
    </row>
    <row r="76" spans="3:3" s="289" customFormat="1" ht="20.100000000000001" customHeight="1">
      <c r="C76" s="304"/>
    </row>
    <row r="77" spans="3:3" s="289" customFormat="1" ht="20.100000000000001" customHeight="1">
      <c r="C77" s="304"/>
    </row>
    <row r="78" spans="3:3" s="289" customFormat="1" ht="20.100000000000001" customHeight="1">
      <c r="C78" s="304"/>
    </row>
    <row r="79" spans="3:3" s="289" customFormat="1" ht="20.100000000000001" customHeight="1">
      <c r="C79" s="304"/>
    </row>
    <row r="80" spans="3:3" s="289" customFormat="1" ht="20.100000000000001" customHeight="1">
      <c r="C80" s="304"/>
    </row>
    <row r="81" spans="3:3" s="289" customFormat="1" ht="20.100000000000001" customHeight="1">
      <c r="C81" s="304"/>
    </row>
    <row r="82" spans="3:3" s="289" customFormat="1" ht="20.100000000000001" customHeight="1">
      <c r="C82" s="304"/>
    </row>
    <row r="83" spans="3:3" s="289" customFormat="1" ht="20.100000000000001" customHeight="1">
      <c r="C83" s="304"/>
    </row>
    <row r="84" spans="3:3" s="289" customFormat="1" ht="20.100000000000001" customHeight="1">
      <c r="C84" s="304"/>
    </row>
    <row r="85" spans="3:3" s="289" customFormat="1" ht="20.100000000000001" customHeight="1">
      <c r="C85" s="304"/>
    </row>
    <row r="86" spans="3:3" s="289" customFormat="1" ht="20.100000000000001" customHeight="1">
      <c r="C86" s="304"/>
    </row>
    <row r="87" spans="3:3" s="289" customFormat="1" ht="20.100000000000001" customHeight="1">
      <c r="C87" s="304"/>
    </row>
    <row r="88" spans="3:3" s="289" customFormat="1" ht="20.100000000000001" customHeight="1">
      <c r="C88" s="304"/>
    </row>
    <row r="89" spans="3:3" s="289" customFormat="1" ht="20.100000000000001" customHeight="1">
      <c r="C89" s="304"/>
    </row>
    <row r="90" spans="3:3" s="289" customFormat="1" ht="20.100000000000001" customHeight="1">
      <c r="C90" s="304"/>
    </row>
    <row r="91" spans="3:3" s="289" customFormat="1" ht="20.100000000000001" customHeight="1">
      <c r="C91" s="304"/>
    </row>
    <row r="92" spans="3:3" s="289" customFormat="1" ht="20.100000000000001" customHeight="1">
      <c r="C92" s="304"/>
    </row>
    <row r="93" spans="3:3" s="289" customFormat="1" ht="20.100000000000001" customHeight="1">
      <c r="C93" s="304"/>
    </row>
    <row r="94" spans="3:3" s="289" customFormat="1" ht="20.100000000000001" customHeight="1">
      <c r="C94" s="304"/>
    </row>
    <row r="95" spans="3:3" s="289" customFormat="1" ht="20.100000000000001" customHeight="1">
      <c r="C95" s="304"/>
    </row>
    <row r="96" spans="3:3" s="289" customFormat="1" ht="20.100000000000001" customHeight="1">
      <c r="C96" s="304"/>
    </row>
    <row r="97" spans="3:3" s="289" customFormat="1" ht="20.100000000000001" customHeight="1">
      <c r="C97" s="304"/>
    </row>
    <row r="98" spans="3:3" s="289" customFormat="1" ht="20.100000000000001" customHeight="1">
      <c r="C98" s="304"/>
    </row>
    <row r="99" spans="3:3" s="289" customFormat="1" ht="20.100000000000001" customHeight="1">
      <c r="C99" s="304"/>
    </row>
    <row r="100" spans="3:3" s="289" customFormat="1" ht="20.100000000000001" customHeight="1">
      <c r="C100" s="304"/>
    </row>
    <row r="101" spans="3:3" s="289" customFormat="1" ht="20.100000000000001" customHeight="1">
      <c r="C101" s="304"/>
    </row>
    <row r="102" spans="3:3" s="289" customFormat="1" ht="20.100000000000001" customHeight="1">
      <c r="C102" s="304"/>
    </row>
    <row r="103" spans="3:3" s="289" customFormat="1" ht="20.100000000000001" customHeight="1">
      <c r="C103" s="304"/>
    </row>
    <row r="104" spans="3:3" s="289" customFormat="1" ht="20.100000000000001" customHeight="1">
      <c r="C104" s="304"/>
    </row>
    <row r="105" spans="3:3" s="289" customFormat="1" ht="20.100000000000001" customHeight="1">
      <c r="C105" s="304"/>
    </row>
    <row r="106" spans="3:3" s="289" customFormat="1" ht="20.100000000000001" customHeight="1">
      <c r="C106" s="304"/>
    </row>
    <row r="107" spans="3:3" s="289" customFormat="1" ht="20.100000000000001" customHeight="1">
      <c r="C107" s="304"/>
    </row>
    <row r="108" spans="3:3" s="289" customFormat="1" ht="20.100000000000001" customHeight="1">
      <c r="C108" s="304"/>
    </row>
    <row r="109" spans="3:3" s="289" customFormat="1" ht="20.100000000000001" customHeight="1">
      <c r="C109" s="304"/>
    </row>
    <row r="110" spans="3:3" s="289" customFormat="1" ht="20.100000000000001" customHeight="1">
      <c r="C110" s="304"/>
    </row>
    <row r="111" spans="3:3" s="289" customFormat="1" ht="20.100000000000001" customHeight="1">
      <c r="C111" s="304"/>
    </row>
    <row r="112" spans="3:3" s="289" customFormat="1" ht="20.100000000000001" customHeight="1">
      <c r="C112" s="304"/>
    </row>
    <row r="113" spans="3:3" s="289" customFormat="1" ht="20.100000000000001" customHeight="1">
      <c r="C113" s="304"/>
    </row>
    <row r="114" spans="3:3" s="289" customFormat="1" ht="20.100000000000001" customHeight="1">
      <c r="C114" s="304"/>
    </row>
    <row r="115" spans="3:3" s="289" customFormat="1" ht="20.100000000000001" customHeight="1">
      <c r="C115" s="304"/>
    </row>
    <row r="116" spans="3:3" s="289" customFormat="1" ht="20.100000000000001" customHeight="1">
      <c r="C116" s="304"/>
    </row>
    <row r="117" spans="3:3" s="289" customFormat="1" ht="20.100000000000001" customHeight="1">
      <c r="C117" s="304"/>
    </row>
    <row r="118" spans="3:3" s="289" customFormat="1" ht="20.100000000000001" customHeight="1">
      <c r="C118" s="304"/>
    </row>
    <row r="119" spans="3:3" s="289" customFormat="1" ht="20.100000000000001" customHeight="1">
      <c r="C119" s="304"/>
    </row>
    <row r="120" spans="3:3" s="289" customFormat="1" ht="20.100000000000001" customHeight="1">
      <c r="C120" s="304"/>
    </row>
    <row r="121" spans="3:3" s="289" customFormat="1" ht="20.100000000000001" customHeight="1">
      <c r="C121" s="304"/>
    </row>
    <row r="122" spans="3:3" s="289" customFormat="1" ht="20.100000000000001" customHeight="1">
      <c r="C122" s="304"/>
    </row>
    <row r="123" spans="3:3" s="289" customFormat="1" ht="20.100000000000001" customHeight="1">
      <c r="C123" s="304"/>
    </row>
    <row r="124" spans="3:3" s="289" customFormat="1" ht="20.100000000000001" customHeight="1">
      <c r="C124" s="304"/>
    </row>
    <row r="125" spans="3:3" s="289" customFormat="1" ht="20.100000000000001" customHeight="1">
      <c r="C125" s="304"/>
    </row>
    <row r="126" spans="3:3" s="289" customFormat="1" ht="20.100000000000001" customHeight="1">
      <c r="C126" s="304"/>
    </row>
    <row r="127" spans="3:3" s="289" customFormat="1" ht="20.100000000000001" customHeight="1">
      <c r="C127" s="304"/>
    </row>
    <row r="128" spans="3:3" s="289" customFormat="1" ht="20.100000000000001" customHeight="1">
      <c r="C128" s="304"/>
    </row>
    <row r="129" spans="3:3" s="289" customFormat="1" ht="20.100000000000001" customHeight="1">
      <c r="C129" s="304"/>
    </row>
    <row r="130" spans="3:3" s="289" customFormat="1" ht="20.100000000000001" customHeight="1">
      <c r="C130" s="304"/>
    </row>
    <row r="131" spans="3:3" s="289" customFormat="1" ht="20.100000000000001" customHeight="1">
      <c r="C131" s="304"/>
    </row>
    <row r="132" spans="3:3" s="289" customFormat="1" ht="20.100000000000001" customHeight="1">
      <c r="C132" s="304"/>
    </row>
    <row r="133" spans="3:3" s="289" customFormat="1" ht="20.100000000000001" customHeight="1">
      <c r="C133" s="304"/>
    </row>
    <row r="134" spans="3:3" s="289" customFormat="1" ht="20.100000000000001" customHeight="1">
      <c r="C134" s="304"/>
    </row>
    <row r="135" spans="3:3" s="289" customFormat="1" ht="20.100000000000001" customHeight="1">
      <c r="C135" s="304"/>
    </row>
    <row r="136" spans="3:3" s="289" customFormat="1" ht="20.100000000000001" customHeight="1">
      <c r="C136" s="304"/>
    </row>
    <row r="137" spans="3:3" s="289" customFormat="1" ht="20.100000000000001" customHeight="1">
      <c r="C137" s="304"/>
    </row>
    <row r="138" spans="3:3" s="289" customFormat="1" ht="20.100000000000001" customHeight="1">
      <c r="C138" s="304"/>
    </row>
    <row r="139" spans="3:3" s="289" customFormat="1" ht="20.100000000000001" customHeight="1">
      <c r="C139" s="304"/>
    </row>
    <row r="140" spans="3:3" s="289" customFormat="1" ht="20.100000000000001" customHeight="1">
      <c r="C140" s="304"/>
    </row>
    <row r="141" spans="3:3" s="289" customFormat="1" ht="20.100000000000001" customHeight="1">
      <c r="C141" s="304"/>
    </row>
    <row r="142" spans="3:3" s="289" customFormat="1" ht="20.100000000000001" customHeight="1">
      <c r="C142" s="304"/>
    </row>
    <row r="143" spans="3:3" s="289" customFormat="1" ht="20.100000000000001" customHeight="1">
      <c r="C143" s="304"/>
    </row>
    <row r="144" spans="3:3" s="289" customFormat="1" ht="20.100000000000001" customHeight="1">
      <c r="C144" s="304"/>
    </row>
    <row r="145" spans="3:3" s="289" customFormat="1" ht="20.100000000000001" customHeight="1">
      <c r="C145" s="304"/>
    </row>
    <row r="146" spans="3:3" s="289" customFormat="1" ht="20.100000000000001" customHeight="1">
      <c r="C146" s="304"/>
    </row>
    <row r="147" spans="3:3" s="289" customFormat="1" ht="20.100000000000001" customHeight="1">
      <c r="C147" s="304"/>
    </row>
    <row r="148" spans="3:3" s="289" customFormat="1" ht="20.100000000000001" customHeight="1">
      <c r="C148" s="304"/>
    </row>
    <row r="149" spans="3:3" s="289" customFormat="1" ht="20.100000000000001" customHeight="1">
      <c r="C149" s="304"/>
    </row>
    <row r="150" spans="3:3" s="289" customFormat="1" ht="20.100000000000001" customHeight="1">
      <c r="C150" s="304"/>
    </row>
    <row r="151" spans="3:3" s="289" customFormat="1" ht="20.100000000000001" customHeight="1">
      <c r="C151" s="304"/>
    </row>
    <row r="152" spans="3:3" s="289" customFormat="1" ht="20.100000000000001" customHeight="1">
      <c r="C152" s="304"/>
    </row>
    <row r="153" spans="3:3" s="289" customFormat="1" ht="20.100000000000001" customHeight="1">
      <c r="C153" s="304"/>
    </row>
    <row r="154" spans="3:3" s="289" customFormat="1" ht="20.100000000000001" customHeight="1">
      <c r="C154" s="304"/>
    </row>
    <row r="155" spans="3:3" s="289" customFormat="1" ht="20.100000000000001" customHeight="1">
      <c r="C155" s="304"/>
    </row>
  </sheetData>
  <sheetProtection algorithmName="SHA-512" hashValue="P8NCEBEzoP8c+OpPbtZxeaa9sRSAmU/qJaMwi8+v0QGy+z5gxuqyjZ2wdQ+Gqtg2tjMFaPxm+ecvSQiff5JoUA==" saltValue="hXY5TxAmN+mFxJtQrsOiog==" spinCount="100000" sheet="1" formatCells="0" formatColumns="0" formatRows="0" insertColumns="0" insertRows="0" insertHyperlinks="0" deleteColumns="0" deleteRows="0" sort="0" autoFilter="0" pivotTables="0"/>
  <mergeCells count="31">
    <mergeCell ref="A11:B11"/>
    <mergeCell ref="A12:B12"/>
    <mergeCell ref="A13:B13"/>
    <mergeCell ref="A5:C5"/>
    <mergeCell ref="A6:C6"/>
    <mergeCell ref="A7:C7"/>
    <mergeCell ref="A8:C8"/>
    <mergeCell ref="D5:J5"/>
    <mergeCell ref="D6:J6"/>
    <mergeCell ref="D7:J7"/>
    <mergeCell ref="D8:J8"/>
    <mergeCell ref="A10:J10"/>
    <mergeCell ref="A15:B15"/>
    <mergeCell ref="A19:B19"/>
    <mergeCell ref="A23:B23"/>
    <mergeCell ref="A28:B28"/>
    <mergeCell ref="A31:J31"/>
    <mergeCell ref="A29:B29"/>
    <mergeCell ref="A1:B3"/>
    <mergeCell ref="C1:J1"/>
    <mergeCell ref="C2:J2"/>
    <mergeCell ref="C3:F3"/>
    <mergeCell ref="G3:J3"/>
    <mergeCell ref="A40:J40"/>
    <mergeCell ref="A44:B44"/>
    <mergeCell ref="A32:B32"/>
    <mergeCell ref="A33:B33"/>
    <mergeCell ref="A34:B34"/>
    <mergeCell ref="A37:J37"/>
    <mergeCell ref="A38:J38"/>
    <mergeCell ref="A36:J36"/>
  </mergeCells>
  <hyperlinks>
    <hyperlink ref="K1" location="ins" display="Instructivo" xr:uid="{00000000-0004-0000-1800-000000000000}"/>
  </hyperlinks>
  <printOptions horizontalCentered="1"/>
  <pageMargins left="0" right="0" top="0" bottom="0" header="0" footer="0"/>
  <pageSetup scale="90" fitToHeight="0" orientation="landscape"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1">
    <tabColor theme="7" tint="0.39997558519241921"/>
    <pageSetUpPr fitToPage="1"/>
  </sheetPr>
  <dimension ref="A1:G121"/>
  <sheetViews>
    <sheetView showGridLines="0" zoomScaleNormal="100" workbookViewId="0">
      <selection activeCell="D19" sqref="D19"/>
    </sheetView>
  </sheetViews>
  <sheetFormatPr defaultColWidth="18.83203125" defaultRowHeight="18" customHeight="1"/>
  <cols>
    <col min="1" max="1" width="18.5" style="309" customWidth="1"/>
    <col min="2" max="16384" width="18.83203125" style="309"/>
  </cols>
  <sheetData>
    <row r="1" spans="1:7" ht="18" customHeight="1">
      <c r="A1" s="1271"/>
      <c r="B1" s="1560"/>
      <c r="C1" s="1274" t="s">
        <v>0</v>
      </c>
      <c r="D1" s="1275"/>
      <c r="E1" s="1275"/>
      <c r="F1" s="1276"/>
      <c r="G1" s="366" t="s">
        <v>104</v>
      </c>
    </row>
    <row r="2" spans="1:7" ht="18" customHeight="1">
      <c r="A2" s="1272"/>
      <c r="B2" s="1561"/>
      <c r="C2" s="1557" t="s">
        <v>866</v>
      </c>
      <c r="D2" s="1558"/>
      <c r="E2" s="1558"/>
      <c r="F2" s="1559"/>
    </row>
    <row r="3" spans="1:7" ht="20.25" customHeight="1" thickBot="1">
      <c r="A3" s="1273"/>
      <c r="B3" s="1562"/>
      <c r="C3" s="1083" t="s">
        <v>2</v>
      </c>
      <c r="D3" s="1108"/>
      <c r="E3" s="1082" t="s">
        <v>3</v>
      </c>
      <c r="F3" s="1123"/>
    </row>
    <row r="4" spans="1:7" ht="18" customHeight="1" thickBot="1">
      <c r="A4" s="257"/>
      <c r="B4" s="70"/>
      <c r="C4" s="70"/>
      <c r="D4" s="70"/>
      <c r="E4" s="70"/>
      <c r="F4" s="70"/>
    </row>
    <row r="5" spans="1:7" ht="18" customHeight="1" thickBot="1">
      <c r="A5" s="272" t="s">
        <v>697</v>
      </c>
      <c r="B5" s="1464">
        <v>2022</v>
      </c>
      <c r="C5" s="1465"/>
      <c r="D5" s="1465"/>
      <c r="E5" s="1465"/>
      <c r="F5" s="1466"/>
    </row>
    <row r="6" spans="1:7" ht="28.5" customHeight="1" thickBot="1">
      <c r="A6" s="329" t="s">
        <v>867</v>
      </c>
      <c r="B6" s="1464" t="s">
        <v>868</v>
      </c>
      <c r="C6" s="1465"/>
      <c r="D6" s="1465"/>
      <c r="E6" s="1465"/>
      <c r="F6" s="1466"/>
    </row>
    <row r="7" spans="1:7" ht="18" customHeight="1" thickBot="1">
      <c r="A7" s="257"/>
      <c r="B7" s="70"/>
      <c r="C7" s="70"/>
      <c r="D7" s="70"/>
      <c r="E7" s="70"/>
      <c r="F7" s="70"/>
    </row>
    <row r="8" spans="1:7" ht="30" customHeight="1" thickBot="1">
      <c r="A8" s="1566" t="s">
        <v>869</v>
      </c>
      <c r="B8" s="1567"/>
      <c r="C8" s="1567"/>
      <c r="D8" s="1567"/>
      <c r="E8" s="1567"/>
      <c r="F8" s="1568"/>
    </row>
    <row r="9" spans="1:7" ht="18" customHeight="1" thickBot="1"/>
    <row r="10" spans="1:7" ht="18" customHeight="1">
      <c r="A10" s="1563" t="s">
        <v>870</v>
      </c>
      <c r="B10" s="1564"/>
      <c r="C10" s="1564"/>
      <c r="D10" s="1564"/>
      <c r="E10" s="1564"/>
      <c r="F10" s="1565"/>
    </row>
    <row r="11" spans="1:7" ht="44.25" customHeight="1">
      <c r="A11" s="310" t="s">
        <v>871</v>
      </c>
      <c r="B11" s="311" t="s">
        <v>872</v>
      </c>
      <c r="C11" s="311" t="s">
        <v>873</v>
      </c>
      <c r="D11" s="311" t="s">
        <v>874</v>
      </c>
      <c r="E11" s="311" t="s">
        <v>875</v>
      </c>
      <c r="F11" s="312" t="s">
        <v>876</v>
      </c>
    </row>
    <row r="12" spans="1:7" ht="18" customHeight="1">
      <c r="A12" s="313" t="s">
        <v>877</v>
      </c>
      <c r="B12" s="559">
        <v>908526</v>
      </c>
      <c r="C12" s="559">
        <f>B12*1.0726</f>
        <v>974484.98759999999</v>
      </c>
      <c r="D12" s="560">
        <f>C12*1.67</f>
        <v>1627389.9292919999</v>
      </c>
      <c r="E12" s="560">
        <f>D12/21</f>
        <v>77494.758537714282</v>
      </c>
      <c r="F12" s="561">
        <f>E12/8.8</f>
        <v>8806.2225611038957</v>
      </c>
    </row>
    <row r="13" spans="1:7" ht="18" customHeight="1">
      <c r="A13" s="313" t="s">
        <v>878</v>
      </c>
      <c r="B13" s="559">
        <v>956878</v>
      </c>
      <c r="C13" s="559">
        <f t="shared" ref="C13:C76" si="0">B13*1.0726</f>
        <v>1026347.3428</v>
      </c>
      <c r="D13" s="560">
        <f t="shared" ref="D13:D76" si="1">C13*1.67</f>
        <v>1714000.0624759998</v>
      </c>
      <c r="E13" s="560">
        <f>D13/21</f>
        <v>81619.050594095228</v>
      </c>
      <c r="F13" s="561">
        <f>E13/8.8</f>
        <v>9274.8921129653663</v>
      </c>
    </row>
    <row r="14" spans="1:7" ht="18" customHeight="1">
      <c r="A14" s="313" t="s">
        <v>879</v>
      </c>
      <c r="B14" s="559">
        <v>1047282</v>
      </c>
      <c r="C14" s="559">
        <f t="shared" si="0"/>
        <v>1123314.6732000001</v>
      </c>
      <c r="D14" s="560">
        <f t="shared" si="1"/>
        <v>1875935.504244</v>
      </c>
      <c r="E14" s="560">
        <f>D14/21</f>
        <v>89330.262106857146</v>
      </c>
      <c r="F14" s="561">
        <f>E14/8.8</f>
        <v>10151.166148506492</v>
      </c>
    </row>
    <row r="15" spans="1:7" ht="18" customHeight="1">
      <c r="A15" s="313" t="s">
        <v>880</v>
      </c>
      <c r="B15" s="559">
        <v>1109674</v>
      </c>
      <c r="C15" s="559">
        <f t="shared" si="0"/>
        <v>1190236.3324</v>
      </c>
      <c r="D15" s="560">
        <f t="shared" si="1"/>
        <v>1987694.6751079999</v>
      </c>
      <c r="E15" s="560">
        <f t="shared" ref="E15:E74" si="2">D15/21</f>
        <v>94652.127386095235</v>
      </c>
      <c r="F15" s="561">
        <f t="shared" ref="F15:F74" si="3">E15/8.8</f>
        <v>10755.92356660173</v>
      </c>
    </row>
    <row r="16" spans="1:7" ht="18" customHeight="1">
      <c r="A16" s="313" t="s">
        <v>881</v>
      </c>
      <c r="B16" s="559">
        <v>1180463</v>
      </c>
      <c r="C16" s="559">
        <f t="shared" si="0"/>
        <v>1266164.6137999999</v>
      </c>
      <c r="D16" s="560">
        <f t="shared" si="1"/>
        <v>2114494.9050459997</v>
      </c>
      <c r="E16" s="560">
        <f t="shared" si="2"/>
        <v>100690.23357361903</v>
      </c>
      <c r="F16" s="561">
        <f t="shared" si="3"/>
        <v>11442.071997002162</v>
      </c>
    </row>
    <row r="17" spans="1:6" ht="18" customHeight="1">
      <c r="A17" s="313" t="s">
        <v>882</v>
      </c>
      <c r="B17" s="559">
        <v>1297465</v>
      </c>
      <c r="C17" s="559">
        <f t="shared" si="0"/>
        <v>1391660.959</v>
      </c>
      <c r="D17" s="560">
        <f t="shared" si="1"/>
        <v>2324073.8015299998</v>
      </c>
      <c r="E17" s="560">
        <f t="shared" si="2"/>
        <v>110670.18102523808</v>
      </c>
      <c r="F17" s="561">
        <f t="shared" si="3"/>
        <v>12576.156934686145</v>
      </c>
    </row>
    <row r="18" spans="1:6" ht="18" customHeight="1">
      <c r="A18" s="313" t="s">
        <v>883</v>
      </c>
      <c r="B18" s="559">
        <v>1400462</v>
      </c>
      <c r="C18" s="559">
        <f t="shared" si="0"/>
        <v>1502135.5412000001</v>
      </c>
      <c r="D18" s="560">
        <f t="shared" si="1"/>
        <v>2508566.3538040002</v>
      </c>
      <c r="E18" s="560">
        <f t="shared" si="2"/>
        <v>119455.54065733335</v>
      </c>
      <c r="F18" s="561">
        <f t="shared" si="3"/>
        <v>13574.493256515152</v>
      </c>
    </row>
    <row r="19" spans="1:6" ht="18" customHeight="1">
      <c r="A19" s="313" t="s">
        <v>884</v>
      </c>
      <c r="B19" s="559">
        <v>1503729</v>
      </c>
      <c r="C19" s="559">
        <f t="shared" si="0"/>
        <v>1612899.7254000001</v>
      </c>
      <c r="D19" s="560">
        <f t="shared" si="1"/>
        <v>2693542.5414180001</v>
      </c>
      <c r="E19" s="560">
        <f t="shared" si="2"/>
        <v>128263.93054371429</v>
      </c>
      <c r="F19" s="561">
        <f t="shared" si="3"/>
        <v>14575.446652694805</v>
      </c>
    </row>
    <row r="20" spans="1:6" ht="18" customHeight="1">
      <c r="A20" s="313" t="s">
        <v>885</v>
      </c>
      <c r="B20" s="559">
        <v>1552338</v>
      </c>
      <c r="C20" s="559">
        <f t="shared" si="0"/>
        <v>1665037.7387999999</v>
      </c>
      <c r="D20" s="560">
        <f t="shared" si="1"/>
        <v>2780613.0237959996</v>
      </c>
      <c r="E20" s="560">
        <f t="shared" si="2"/>
        <v>132410.14399028569</v>
      </c>
      <c r="F20" s="561">
        <f t="shared" si="3"/>
        <v>15046.607271623374</v>
      </c>
    </row>
    <row r="21" spans="1:6" ht="18" customHeight="1">
      <c r="A21" s="313" t="s">
        <v>886</v>
      </c>
      <c r="B21" s="559">
        <v>1586345</v>
      </c>
      <c r="C21" s="559">
        <f t="shared" si="0"/>
        <v>1701513.6469999999</v>
      </c>
      <c r="D21" s="560">
        <f t="shared" si="1"/>
        <v>2841527.7904899996</v>
      </c>
      <c r="E21" s="560">
        <f t="shared" si="2"/>
        <v>135310.84716619045</v>
      </c>
      <c r="F21" s="561">
        <f t="shared" si="3"/>
        <v>15376.23263252164</v>
      </c>
    </row>
    <row r="22" spans="1:6" ht="18" customHeight="1">
      <c r="A22" s="313" t="s">
        <v>887</v>
      </c>
      <c r="B22" s="559">
        <v>1635651</v>
      </c>
      <c r="C22" s="559">
        <f t="shared" si="0"/>
        <v>1754399.2626</v>
      </c>
      <c r="D22" s="560">
        <f t="shared" si="1"/>
        <v>2929846.7685420001</v>
      </c>
      <c r="E22" s="560">
        <f t="shared" si="2"/>
        <v>139516.51278771428</v>
      </c>
      <c r="F22" s="561">
        <f t="shared" si="3"/>
        <v>15854.149180422077</v>
      </c>
    </row>
    <row r="23" spans="1:6" ht="18" customHeight="1">
      <c r="A23" s="313" t="s">
        <v>888</v>
      </c>
      <c r="B23" s="559">
        <v>1708377</v>
      </c>
      <c r="C23" s="559">
        <f t="shared" si="0"/>
        <v>1832405.1702000001</v>
      </c>
      <c r="D23" s="560">
        <f t="shared" si="1"/>
        <v>3060116.634234</v>
      </c>
      <c r="E23" s="560">
        <f t="shared" si="2"/>
        <v>145719.83972542858</v>
      </c>
      <c r="F23" s="561">
        <f t="shared" si="3"/>
        <v>16559.072696071427</v>
      </c>
    </row>
    <row r="24" spans="1:6" ht="18" customHeight="1">
      <c r="A24" s="313" t="s">
        <v>889</v>
      </c>
      <c r="B24" s="559">
        <v>1744455</v>
      </c>
      <c r="C24" s="559">
        <f t="shared" si="0"/>
        <v>1871102.433</v>
      </c>
      <c r="D24" s="560">
        <f t="shared" si="1"/>
        <v>3124741.06311</v>
      </c>
      <c r="E24" s="560">
        <f t="shared" si="2"/>
        <v>148797.19348142858</v>
      </c>
      <c r="F24" s="561">
        <f t="shared" si="3"/>
        <v>16908.771986525975</v>
      </c>
    </row>
    <row r="25" spans="1:6" ht="18" customHeight="1">
      <c r="A25" s="313" t="s">
        <v>890</v>
      </c>
      <c r="B25" s="559">
        <v>1787727</v>
      </c>
      <c r="C25" s="559">
        <f t="shared" si="0"/>
        <v>1917515.9802000001</v>
      </c>
      <c r="D25" s="560">
        <f t="shared" si="1"/>
        <v>3202251.6869339999</v>
      </c>
      <c r="E25" s="560">
        <f t="shared" si="2"/>
        <v>152488.17556828572</v>
      </c>
      <c r="F25" s="561">
        <f t="shared" si="3"/>
        <v>17328.201769123374</v>
      </c>
    </row>
    <row r="26" spans="1:6" ht="18" customHeight="1">
      <c r="A26" s="313" t="s">
        <v>891</v>
      </c>
      <c r="B26" s="559">
        <v>1833842</v>
      </c>
      <c r="C26" s="559">
        <f t="shared" si="0"/>
        <v>1966978.9291999999</v>
      </c>
      <c r="D26" s="560">
        <f t="shared" si="1"/>
        <v>3284854.8117639995</v>
      </c>
      <c r="E26" s="560">
        <f t="shared" si="2"/>
        <v>156421.65770304759</v>
      </c>
      <c r="F26" s="561">
        <f t="shared" si="3"/>
        <v>17775.188375346315</v>
      </c>
    </row>
    <row r="27" spans="1:6" ht="18" customHeight="1">
      <c r="A27" s="313" t="s">
        <v>892</v>
      </c>
      <c r="B27" s="559">
        <v>1890818</v>
      </c>
      <c r="C27" s="559">
        <f t="shared" si="0"/>
        <v>2028091.3868</v>
      </c>
      <c r="D27" s="560">
        <f t="shared" si="1"/>
        <v>3386912.6159560001</v>
      </c>
      <c r="E27" s="560">
        <f t="shared" si="2"/>
        <v>161281.55314076191</v>
      </c>
      <c r="F27" s="561">
        <f t="shared" si="3"/>
        <v>18327.449220541126</v>
      </c>
    </row>
    <row r="28" spans="1:6" ht="18" customHeight="1">
      <c r="A28" s="313" t="s">
        <v>893</v>
      </c>
      <c r="B28" s="559">
        <v>1970395</v>
      </c>
      <c r="C28" s="559">
        <f t="shared" si="0"/>
        <v>2113445.6770000001</v>
      </c>
      <c r="D28" s="560">
        <f t="shared" si="1"/>
        <v>3529454.2805900001</v>
      </c>
      <c r="E28" s="560">
        <f t="shared" si="2"/>
        <v>168069.25145666668</v>
      </c>
      <c r="F28" s="561">
        <f t="shared" si="3"/>
        <v>19098.77857462121</v>
      </c>
    </row>
    <row r="29" spans="1:6" ht="18" customHeight="1">
      <c r="A29" s="313" t="s">
        <v>894</v>
      </c>
      <c r="B29" s="559">
        <v>2090953</v>
      </c>
      <c r="C29" s="559">
        <f t="shared" si="0"/>
        <v>2242756.1878</v>
      </c>
      <c r="D29" s="560">
        <f t="shared" si="1"/>
        <v>3745402.8336259997</v>
      </c>
      <c r="E29" s="560">
        <f t="shared" si="2"/>
        <v>178352.51588695237</v>
      </c>
      <c r="F29" s="561">
        <f t="shared" si="3"/>
        <v>20267.331350790042</v>
      </c>
    </row>
    <row r="30" spans="1:6" ht="18" customHeight="1">
      <c r="A30" s="313" t="s">
        <v>895</v>
      </c>
      <c r="B30" s="559">
        <v>2308791</v>
      </c>
      <c r="C30" s="559">
        <f t="shared" si="0"/>
        <v>2476409.2266000002</v>
      </c>
      <c r="D30" s="560">
        <f t="shared" si="1"/>
        <v>4135603.4084220002</v>
      </c>
      <c r="E30" s="560">
        <f t="shared" si="2"/>
        <v>196933.49563914287</v>
      </c>
      <c r="F30" s="561">
        <f t="shared" si="3"/>
        <v>22378.806322629869</v>
      </c>
    </row>
    <row r="31" spans="1:6" ht="18" customHeight="1">
      <c r="A31" s="313" t="s">
        <v>896</v>
      </c>
      <c r="B31" s="559">
        <v>2518224</v>
      </c>
      <c r="C31" s="559">
        <f t="shared" si="0"/>
        <v>2701047.0624000002</v>
      </c>
      <c r="D31" s="560">
        <f t="shared" si="1"/>
        <v>4510748.5942080002</v>
      </c>
      <c r="E31" s="560">
        <f t="shared" si="2"/>
        <v>214797.55210514288</v>
      </c>
      <c r="F31" s="561">
        <f t="shared" si="3"/>
        <v>24408.812739220779</v>
      </c>
    </row>
    <row r="32" spans="1:6" ht="18" customHeight="1">
      <c r="A32" s="313" t="s">
        <v>897</v>
      </c>
      <c r="B32" s="559">
        <v>2792944</v>
      </c>
      <c r="C32" s="559">
        <f t="shared" si="0"/>
        <v>2995711.7344</v>
      </c>
      <c r="D32" s="560">
        <f t="shared" si="1"/>
        <v>5002838.5964479996</v>
      </c>
      <c r="E32" s="560">
        <f t="shared" si="2"/>
        <v>238230.40935466666</v>
      </c>
      <c r="F32" s="561">
        <f t="shared" si="3"/>
        <v>27071.637426666664</v>
      </c>
    </row>
    <row r="33" spans="1:6" ht="18" customHeight="1">
      <c r="A33" s="313" t="s">
        <v>898</v>
      </c>
      <c r="B33" s="559">
        <v>3038369</v>
      </c>
      <c r="C33" s="559">
        <f t="shared" si="0"/>
        <v>3258954.5893999999</v>
      </c>
      <c r="D33" s="560">
        <f t="shared" si="1"/>
        <v>5442454.1642979998</v>
      </c>
      <c r="E33" s="560">
        <f t="shared" si="2"/>
        <v>259164.48401419047</v>
      </c>
      <c r="F33" s="561">
        <f t="shared" si="3"/>
        <v>29450.509547067097</v>
      </c>
    </row>
    <row r="34" spans="1:6" ht="18" customHeight="1">
      <c r="A34" s="314" t="s">
        <v>899</v>
      </c>
      <c r="B34" s="562">
        <v>928983</v>
      </c>
      <c r="C34" s="559">
        <f t="shared" si="0"/>
        <v>996427.16579999996</v>
      </c>
      <c r="D34" s="560">
        <f t="shared" si="1"/>
        <v>1664033.3668859999</v>
      </c>
      <c r="E34" s="560">
        <f t="shared" si="2"/>
        <v>79239.684137428572</v>
      </c>
      <c r="F34" s="561">
        <f t="shared" si="3"/>
        <v>9004.5095610714288</v>
      </c>
    </row>
    <row r="35" spans="1:6" ht="18" customHeight="1">
      <c r="A35" s="314" t="s">
        <v>900</v>
      </c>
      <c r="B35" s="562">
        <v>932377</v>
      </c>
      <c r="C35" s="559">
        <f t="shared" si="0"/>
        <v>1000067.5702</v>
      </c>
      <c r="D35" s="560">
        <f t="shared" si="1"/>
        <v>1670112.8422339999</v>
      </c>
      <c r="E35" s="560">
        <f t="shared" si="2"/>
        <v>79529.18296352381</v>
      </c>
      <c r="F35" s="561">
        <f t="shared" si="3"/>
        <v>9037.4071549458877</v>
      </c>
    </row>
    <row r="36" spans="1:6" ht="18" customHeight="1">
      <c r="A36" s="314" t="s">
        <v>901</v>
      </c>
      <c r="B36" s="562">
        <v>1047282</v>
      </c>
      <c r="C36" s="559">
        <f t="shared" si="0"/>
        <v>1123314.6732000001</v>
      </c>
      <c r="D36" s="560">
        <f t="shared" si="1"/>
        <v>1875935.504244</v>
      </c>
      <c r="E36" s="560">
        <f t="shared" si="2"/>
        <v>89330.262106857146</v>
      </c>
      <c r="F36" s="561">
        <f t="shared" si="3"/>
        <v>10151.166148506492</v>
      </c>
    </row>
    <row r="37" spans="1:6" ht="18" customHeight="1">
      <c r="A37" s="314" t="s">
        <v>902</v>
      </c>
      <c r="B37" s="562">
        <v>1109674</v>
      </c>
      <c r="C37" s="559">
        <f t="shared" si="0"/>
        <v>1190236.3324</v>
      </c>
      <c r="D37" s="560">
        <f t="shared" si="1"/>
        <v>1987694.6751079999</v>
      </c>
      <c r="E37" s="560">
        <f t="shared" si="2"/>
        <v>94652.127386095235</v>
      </c>
      <c r="F37" s="561">
        <f t="shared" si="3"/>
        <v>10755.92356660173</v>
      </c>
    </row>
    <row r="38" spans="1:6" ht="18" customHeight="1">
      <c r="A38" s="314" t="s">
        <v>903</v>
      </c>
      <c r="B38" s="562">
        <v>1180463</v>
      </c>
      <c r="C38" s="559">
        <f t="shared" si="0"/>
        <v>1266164.6137999999</v>
      </c>
      <c r="D38" s="560">
        <f t="shared" si="1"/>
        <v>2114494.9050459997</v>
      </c>
      <c r="E38" s="560">
        <f t="shared" si="2"/>
        <v>100690.23357361903</v>
      </c>
      <c r="F38" s="561">
        <f t="shared" si="3"/>
        <v>11442.071997002162</v>
      </c>
    </row>
    <row r="39" spans="1:6" ht="18" customHeight="1">
      <c r="A39" s="314" t="s">
        <v>904</v>
      </c>
      <c r="B39" s="562">
        <v>1420773</v>
      </c>
      <c r="C39" s="559">
        <f t="shared" si="0"/>
        <v>1523921.1198</v>
      </c>
      <c r="D39" s="560">
        <f t="shared" si="1"/>
        <v>2544948.2700660001</v>
      </c>
      <c r="E39" s="560">
        <f t="shared" si="2"/>
        <v>121188.01286028571</v>
      </c>
      <c r="F39" s="561">
        <f t="shared" si="3"/>
        <v>13771.365097759739</v>
      </c>
    </row>
    <row r="40" spans="1:6" ht="18" customHeight="1">
      <c r="A40" s="314" t="s">
        <v>905</v>
      </c>
      <c r="B40" s="562">
        <v>1513964</v>
      </c>
      <c r="C40" s="559">
        <f t="shared" si="0"/>
        <v>1623877.7864000001</v>
      </c>
      <c r="D40" s="560">
        <f t="shared" si="1"/>
        <v>2711875.9032880003</v>
      </c>
      <c r="E40" s="560">
        <f t="shared" si="2"/>
        <v>129136.94777561906</v>
      </c>
      <c r="F40" s="561">
        <f t="shared" si="3"/>
        <v>14674.653156320346</v>
      </c>
    </row>
    <row r="41" spans="1:6" ht="18" customHeight="1">
      <c r="A41" s="314" t="s">
        <v>906</v>
      </c>
      <c r="B41" s="562">
        <v>1552338</v>
      </c>
      <c r="C41" s="559">
        <f t="shared" si="0"/>
        <v>1665037.7387999999</v>
      </c>
      <c r="D41" s="560">
        <f t="shared" si="1"/>
        <v>2780613.0237959996</v>
      </c>
      <c r="E41" s="560">
        <f t="shared" si="2"/>
        <v>132410.14399028569</v>
      </c>
      <c r="F41" s="561">
        <f t="shared" si="3"/>
        <v>15046.607271623374</v>
      </c>
    </row>
    <row r="42" spans="1:6" ht="18" customHeight="1">
      <c r="A42" s="314" t="s">
        <v>907</v>
      </c>
      <c r="B42" s="562">
        <v>1708377</v>
      </c>
      <c r="C42" s="559">
        <f t="shared" si="0"/>
        <v>1832405.1702000001</v>
      </c>
      <c r="D42" s="560">
        <f t="shared" si="1"/>
        <v>3060116.634234</v>
      </c>
      <c r="E42" s="560">
        <f t="shared" si="2"/>
        <v>145719.83972542858</v>
      </c>
      <c r="F42" s="561">
        <f t="shared" si="3"/>
        <v>16559.072696071427</v>
      </c>
    </row>
    <row r="43" spans="1:6" ht="18" customHeight="1">
      <c r="A43" s="314" t="s">
        <v>908</v>
      </c>
      <c r="B43" s="562">
        <v>1787727</v>
      </c>
      <c r="C43" s="559">
        <f t="shared" si="0"/>
        <v>1917515.9802000001</v>
      </c>
      <c r="D43" s="560">
        <f t="shared" si="1"/>
        <v>3202251.6869339999</v>
      </c>
      <c r="E43" s="560">
        <f t="shared" si="2"/>
        <v>152488.17556828572</v>
      </c>
      <c r="F43" s="561">
        <f t="shared" si="3"/>
        <v>17328.201769123374</v>
      </c>
    </row>
    <row r="44" spans="1:6" ht="18" customHeight="1">
      <c r="A44" s="314" t="s">
        <v>909</v>
      </c>
      <c r="B44" s="562">
        <v>1884669</v>
      </c>
      <c r="C44" s="559">
        <f t="shared" si="0"/>
        <v>2021495.9694000001</v>
      </c>
      <c r="D44" s="560">
        <f t="shared" si="1"/>
        <v>3375898.268898</v>
      </c>
      <c r="E44" s="560">
        <f t="shared" si="2"/>
        <v>160757.06042371428</v>
      </c>
      <c r="F44" s="561">
        <f t="shared" si="3"/>
        <v>18267.847775422077</v>
      </c>
    </row>
    <row r="45" spans="1:6" ht="18" customHeight="1">
      <c r="A45" s="314" t="s">
        <v>910</v>
      </c>
      <c r="B45" s="562">
        <v>1998523</v>
      </c>
      <c r="C45" s="559">
        <f t="shared" si="0"/>
        <v>2143615.7697999999</v>
      </c>
      <c r="D45" s="560">
        <f t="shared" si="1"/>
        <v>3579838.3355659996</v>
      </c>
      <c r="E45" s="560">
        <f t="shared" si="2"/>
        <v>170468.4921698095</v>
      </c>
      <c r="F45" s="561">
        <f t="shared" si="3"/>
        <v>19371.419564751079</v>
      </c>
    </row>
    <row r="46" spans="1:6" ht="18" customHeight="1">
      <c r="A46" s="314" t="s">
        <v>911</v>
      </c>
      <c r="B46" s="562">
        <v>2131262</v>
      </c>
      <c r="C46" s="559">
        <f t="shared" si="0"/>
        <v>2285991.6211999999</v>
      </c>
      <c r="D46" s="560">
        <f t="shared" si="1"/>
        <v>3817606.0074039996</v>
      </c>
      <c r="E46" s="560">
        <f t="shared" si="2"/>
        <v>181790.76225733332</v>
      </c>
      <c r="F46" s="561">
        <f t="shared" si="3"/>
        <v>20658.041165606057</v>
      </c>
    </row>
    <row r="47" spans="1:6" ht="18" customHeight="1">
      <c r="A47" s="314" t="s">
        <v>912</v>
      </c>
      <c r="B47" s="562">
        <v>2209108</v>
      </c>
      <c r="C47" s="559">
        <f t="shared" si="0"/>
        <v>2369489.2407999998</v>
      </c>
      <c r="D47" s="560">
        <f t="shared" si="1"/>
        <v>3957047.0321359993</v>
      </c>
      <c r="E47" s="560">
        <f t="shared" si="2"/>
        <v>188430.81105409522</v>
      </c>
      <c r="F47" s="561">
        <f t="shared" si="3"/>
        <v>21412.592165238093</v>
      </c>
    </row>
    <row r="48" spans="1:6" ht="18" customHeight="1">
      <c r="A48" s="314" t="s">
        <v>913</v>
      </c>
      <c r="B48" s="562">
        <v>2308791</v>
      </c>
      <c r="C48" s="559">
        <f t="shared" si="0"/>
        <v>2476409.2266000002</v>
      </c>
      <c r="D48" s="560">
        <f t="shared" si="1"/>
        <v>4135603.4084220002</v>
      </c>
      <c r="E48" s="560">
        <f t="shared" si="2"/>
        <v>196933.49563914287</v>
      </c>
      <c r="F48" s="561">
        <f t="shared" si="3"/>
        <v>22378.806322629869</v>
      </c>
    </row>
    <row r="49" spans="1:6" ht="18" customHeight="1">
      <c r="A49" s="314" t="s">
        <v>914</v>
      </c>
      <c r="B49" s="562">
        <v>2608619</v>
      </c>
      <c r="C49" s="559">
        <f t="shared" si="0"/>
        <v>2798004.7393999998</v>
      </c>
      <c r="D49" s="560">
        <f t="shared" si="1"/>
        <v>4672667.9147979999</v>
      </c>
      <c r="E49" s="560">
        <f t="shared" si="2"/>
        <v>222507.99594276189</v>
      </c>
      <c r="F49" s="561">
        <f t="shared" si="3"/>
        <v>25284.999538950211</v>
      </c>
    </row>
    <row r="50" spans="1:6" ht="18" customHeight="1">
      <c r="A50" s="314" t="s">
        <v>915</v>
      </c>
      <c r="B50" s="562">
        <v>2792588</v>
      </c>
      <c r="C50" s="559">
        <f t="shared" si="0"/>
        <v>2995329.8887999998</v>
      </c>
      <c r="D50" s="560">
        <f t="shared" si="1"/>
        <v>5002200.9142959993</v>
      </c>
      <c r="E50" s="560">
        <f t="shared" si="2"/>
        <v>238200.04353790474</v>
      </c>
      <c r="F50" s="561">
        <f t="shared" si="3"/>
        <v>27068.186765670991</v>
      </c>
    </row>
    <row r="51" spans="1:6" ht="18" customHeight="1">
      <c r="A51" s="314" t="s">
        <v>916</v>
      </c>
      <c r="B51" s="562">
        <v>3068818</v>
      </c>
      <c r="C51" s="559">
        <f t="shared" si="0"/>
        <v>3291614.1867999998</v>
      </c>
      <c r="D51" s="560">
        <f t="shared" si="1"/>
        <v>5496995.6919559995</v>
      </c>
      <c r="E51" s="560">
        <f t="shared" si="2"/>
        <v>261761.69961695236</v>
      </c>
      <c r="F51" s="561">
        <f t="shared" si="3"/>
        <v>29745.647683744584</v>
      </c>
    </row>
    <row r="52" spans="1:6" ht="18" customHeight="1">
      <c r="A52" s="314" t="s">
        <v>917</v>
      </c>
      <c r="B52" s="562">
        <v>1998523</v>
      </c>
      <c r="C52" s="559">
        <f t="shared" si="0"/>
        <v>2143615.7697999999</v>
      </c>
      <c r="D52" s="560">
        <f t="shared" si="1"/>
        <v>3579838.3355659996</v>
      </c>
      <c r="E52" s="560">
        <f t="shared" si="2"/>
        <v>170468.4921698095</v>
      </c>
      <c r="F52" s="561">
        <f t="shared" si="3"/>
        <v>19371.419564751079</v>
      </c>
    </row>
    <row r="53" spans="1:6" ht="18" customHeight="1">
      <c r="A53" s="314" t="s">
        <v>918</v>
      </c>
      <c r="B53" s="562">
        <v>2209108</v>
      </c>
      <c r="C53" s="559">
        <f t="shared" si="0"/>
        <v>2369489.2407999998</v>
      </c>
      <c r="D53" s="560">
        <f t="shared" si="1"/>
        <v>3957047.0321359993</v>
      </c>
      <c r="E53" s="560">
        <f t="shared" si="2"/>
        <v>188430.81105409522</v>
      </c>
      <c r="F53" s="561">
        <f t="shared" si="3"/>
        <v>21412.592165238093</v>
      </c>
    </row>
    <row r="54" spans="1:6" ht="18" customHeight="1">
      <c r="A54" s="314" t="s">
        <v>919</v>
      </c>
      <c r="B54" s="562">
        <v>2308791</v>
      </c>
      <c r="C54" s="559">
        <f t="shared" si="0"/>
        <v>2476409.2266000002</v>
      </c>
      <c r="D54" s="560">
        <f t="shared" si="1"/>
        <v>4135603.4084220002</v>
      </c>
      <c r="E54" s="560">
        <f t="shared" si="2"/>
        <v>196933.49563914287</v>
      </c>
      <c r="F54" s="561">
        <f t="shared" si="3"/>
        <v>22378.806322629869</v>
      </c>
    </row>
    <row r="55" spans="1:6" ht="18" customHeight="1">
      <c r="A55" s="314" t="s">
        <v>920</v>
      </c>
      <c r="B55" s="562">
        <v>2431110</v>
      </c>
      <c r="C55" s="559">
        <f t="shared" si="0"/>
        <v>2607608.5860000001</v>
      </c>
      <c r="D55" s="560">
        <f t="shared" si="1"/>
        <v>4354706.3386199996</v>
      </c>
      <c r="E55" s="560">
        <f t="shared" si="2"/>
        <v>207366.96850571426</v>
      </c>
      <c r="F55" s="561">
        <f t="shared" si="3"/>
        <v>23564.428239285709</v>
      </c>
    </row>
    <row r="56" spans="1:6" ht="18" customHeight="1">
      <c r="A56" s="314" t="s">
        <v>921</v>
      </c>
      <c r="B56" s="562">
        <v>2571653</v>
      </c>
      <c r="C56" s="559">
        <f t="shared" si="0"/>
        <v>2758355.0077999998</v>
      </c>
      <c r="D56" s="560">
        <f t="shared" si="1"/>
        <v>4606452.8630259996</v>
      </c>
      <c r="E56" s="560">
        <f t="shared" si="2"/>
        <v>219354.89823933333</v>
      </c>
      <c r="F56" s="561">
        <f t="shared" si="3"/>
        <v>24926.692981742421</v>
      </c>
    </row>
    <row r="57" spans="1:6" ht="18" customHeight="1">
      <c r="A57" s="314" t="s">
        <v>922</v>
      </c>
      <c r="B57" s="562">
        <v>2661201</v>
      </c>
      <c r="C57" s="559">
        <f t="shared" si="0"/>
        <v>2854404.1926000002</v>
      </c>
      <c r="D57" s="560">
        <f t="shared" si="1"/>
        <v>4766855.0016419999</v>
      </c>
      <c r="E57" s="560">
        <f t="shared" si="2"/>
        <v>226993.0953162857</v>
      </c>
      <c r="F57" s="561">
        <f t="shared" si="3"/>
        <v>25794.669922305191</v>
      </c>
    </row>
    <row r="58" spans="1:6" ht="18" customHeight="1">
      <c r="A58" s="314" t="s">
        <v>923</v>
      </c>
      <c r="B58" s="562">
        <v>2792944</v>
      </c>
      <c r="C58" s="559">
        <f t="shared" si="0"/>
        <v>2995711.7344</v>
      </c>
      <c r="D58" s="560">
        <f t="shared" si="1"/>
        <v>5002838.5964479996</v>
      </c>
      <c r="E58" s="560">
        <f t="shared" si="2"/>
        <v>238230.40935466666</v>
      </c>
      <c r="F58" s="561">
        <f t="shared" si="3"/>
        <v>27071.637426666664</v>
      </c>
    </row>
    <row r="59" spans="1:6" ht="18" customHeight="1">
      <c r="A59" s="314" t="s">
        <v>924</v>
      </c>
      <c r="B59" s="562">
        <v>2931810</v>
      </c>
      <c r="C59" s="559">
        <f t="shared" si="0"/>
        <v>3144659.406</v>
      </c>
      <c r="D59" s="560">
        <f t="shared" si="1"/>
        <v>5251581.2080199998</v>
      </c>
      <c r="E59" s="560">
        <f t="shared" si="2"/>
        <v>250075.29561999999</v>
      </c>
      <c r="F59" s="561">
        <f t="shared" si="3"/>
        <v>28417.647229545451</v>
      </c>
    </row>
    <row r="60" spans="1:6" ht="18" customHeight="1">
      <c r="A60" s="314" t="s">
        <v>925</v>
      </c>
      <c r="B60" s="562">
        <v>3058011</v>
      </c>
      <c r="C60" s="559">
        <f t="shared" si="0"/>
        <v>3280022.5986000001</v>
      </c>
      <c r="D60" s="560">
        <f t="shared" si="1"/>
        <v>5477637.739662</v>
      </c>
      <c r="E60" s="560">
        <f t="shared" si="2"/>
        <v>260839.89236485714</v>
      </c>
      <c r="F60" s="561">
        <f t="shared" si="3"/>
        <v>29640.896859642853</v>
      </c>
    </row>
    <row r="61" spans="1:6" ht="18" customHeight="1">
      <c r="A61" s="314" t="s">
        <v>926</v>
      </c>
      <c r="B61" s="562">
        <v>3162357</v>
      </c>
      <c r="C61" s="559">
        <f t="shared" si="0"/>
        <v>3391944.1181999999</v>
      </c>
      <c r="D61" s="560">
        <f t="shared" si="1"/>
        <v>5664546.6773939999</v>
      </c>
      <c r="E61" s="560">
        <f t="shared" si="2"/>
        <v>269740.31797114282</v>
      </c>
      <c r="F61" s="561">
        <f t="shared" si="3"/>
        <v>30652.308860357138</v>
      </c>
    </row>
    <row r="62" spans="1:6" ht="18" customHeight="1">
      <c r="A62" s="314" t="s">
        <v>927</v>
      </c>
      <c r="B62" s="562">
        <v>3295498</v>
      </c>
      <c r="C62" s="559">
        <f t="shared" si="0"/>
        <v>3534751.1548000001</v>
      </c>
      <c r="D62" s="560">
        <f t="shared" si="1"/>
        <v>5903034.4285159996</v>
      </c>
      <c r="E62" s="560">
        <f t="shared" si="2"/>
        <v>281096.87754838093</v>
      </c>
      <c r="F62" s="561">
        <f t="shared" si="3"/>
        <v>31942.826994134193</v>
      </c>
    </row>
    <row r="63" spans="1:6" ht="18" customHeight="1">
      <c r="A63" s="314" t="s">
        <v>928</v>
      </c>
      <c r="B63" s="562">
        <v>3496349</v>
      </c>
      <c r="C63" s="559">
        <f t="shared" si="0"/>
        <v>3750183.9374000002</v>
      </c>
      <c r="D63" s="560">
        <f t="shared" si="1"/>
        <v>6262807.175458</v>
      </c>
      <c r="E63" s="560">
        <f t="shared" si="2"/>
        <v>298228.91311704763</v>
      </c>
      <c r="F63" s="561">
        <f t="shared" si="3"/>
        <v>33889.649217846316</v>
      </c>
    </row>
    <row r="64" spans="1:6" ht="18" customHeight="1">
      <c r="A64" s="314" t="s">
        <v>929</v>
      </c>
      <c r="B64" s="562">
        <v>3788145</v>
      </c>
      <c r="C64" s="559">
        <f t="shared" si="0"/>
        <v>4063164.327</v>
      </c>
      <c r="D64" s="560">
        <f t="shared" si="1"/>
        <v>6785484.4260900002</v>
      </c>
      <c r="E64" s="560">
        <f t="shared" si="2"/>
        <v>323118.3060042857</v>
      </c>
      <c r="F64" s="561">
        <f t="shared" si="3"/>
        <v>36717.989318668828</v>
      </c>
    </row>
    <row r="65" spans="1:6" ht="18" customHeight="1">
      <c r="A65" s="314" t="s">
        <v>930</v>
      </c>
      <c r="B65" s="562">
        <v>4053845</v>
      </c>
      <c r="C65" s="559">
        <f t="shared" si="0"/>
        <v>4348154.1469999999</v>
      </c>
      <c r="D65" s="560">
        <f t="shared" si="1"/>
        <v>7261417.4254899994</v>
      </c>
      <c r="E65" s="560">
        <f t="shared" si="2"/>
        <v>345781.78216619045</v>
      </c>
      <c r="F65" s="561">
        <f t="shared" si="3"/>
        <v>39293.384337067095</v>
      </c>
    </row>
    <row r="66" spans="1:6" ht="18" customHeight="1">
      <c r="A66" s="314" t="s">
        <v>931</v>
      </c>
      <c r="B66" s="562">
        <v>4481948</v>
      </c>
      <c r="C66" s="559">
        <f t="shared" si="0"/>
        <v>4807337.4248000002</v>
      </c>
      <c r="D66" s="560">
        <f t="shared" si="1"/>
        <v>8028253.4994160002</v>
      </c>
      <c r="E66" s="560">
        <f t="shared" si="2"/>
        <v>382297.78568647621</v>
      </c>
      <c r="F66" s="561">
        <f t="shared" si="3"/>
        <v>43442.93019164502</v>
      </c>
    </row>
    <row r="67" spans="1:6" ht="18" customHeight="1">
      <c r="A67" s="314" t="s">
        <v>932</v>
      </c>
      <c r="B67" s="562">
        <v>4832174</v>
      </c>
      <c r="C67" s="559">
        <f t="shared" si="0"/>
        <v>5182989.8323999997</v>
      </c>
      <c r="D67" s="560">
        <f t="shared" si="1"/>
        <v>8655593.0201079994</v>
      </c>
      <c r="E67" s="560">
        <f t="shared" si="2"/>
        <v>412171.09619561903</v>
      </c>
      <c r="F67" s="561">
        <f t="shared" si="3"/>
        <v>46837.624567683975</v>
      </c>
    </row>
    <row r="68" spans="1:6" ht="18" customHeight="1">
      <c r="A68" s="314" t="s">
        <v>933</v>
      </c>
      <c r="B68" s="562">
        <v>5082586</v>
      </c>
      <c r="C68" s="559">
        <f t="shared" si="0"/>
        <v>5451581.7435999997</v>
      </c>
      <c r="D68" s="560">
        <f t="shared" si="1"/>
        <v>9104141.5118119996</v>
      </c>
      <c r="E68" s="560">
        <f t="shared" si="2"/>
        <v>433530.5481815238</v>
      </c>
      <c r="F68" s="561">
        <f t="shared" si="3"/>
        <v>49264.835020627703</v>
      </c>
    </row>
    <row r="69" spans="1:6" ht="18" customHeight="1">
      <c r="A69" s="314" t="s">
        <v>934</v>
      </c>
      <c r="B69" s="562">
        <v>5473690</v>
      </c>
      <c r="C69" s="559">
        <f t="shared" si="0"/>
        <v>5871079.8940000003</v>
      </c>
      <c r="D69" s="560">
        <f t="shared" si="1"/>
        <v>9804703.4229799993</v>
      </c>
      <c r="E69" s="560">
        <f t="shared" si="2"/>
        <v>466890.63918952376</v>
      </c>
      <c r="F69" s="561">
        <f t="shared" si="3"/>
        <v>53055.754453354966</v>
      </c>
    </row>
    <row r="70" spans="1:6" ht="18" customHeight="1">
      <c r="A70" s="314" t="s">
        <v>935</v>
      </c>
      <c r="B70" s="562">
        <v>5887794</v>
      </c>
      <c r="C70" s="559">
        <f t="shared" si="0"/>
        <v>6315247.8443999998</v>
      </c>
      <c r="D70" s="560">
        <f t="shared" si="1"/>
        <v>10546463.900147999</v>
      </c>
      <c r="E70" s="560">
        <f t="shared" si="2"/>
        <v>502212.5666737142</v>
      </c>
      <c r="F70" s="561">
        <f t="shared" si="3"/>
        <v>57069.609849285698</v>
      </c>
    </row>
    <row r="71" spans="1:6" ht="18" customHeight="1">
      <c r="A71" s="314" t="s">
        <v>936</v>
      </c>
      <c r="B71" s="562">
        <v>6338071</v>
      </c>
      <c r="C71" s="559">
        <f t="shared" si="0"/>
        <v>6798214.9545999998</v>
      </c>
      <c r="D71" s="560">
        <f t="shared" si="1"/>
        <v>11353018.974181999</v>
      </c>
      <c r="E71" s="560">
        <f t="shared" si="2"/>
        <v>540619.95115152374</v>
      </c>
      <c r="F71" s="561">
        <f t="shared" si="3"/>
        <v>61434.08535812769</v>
      </c>
    </row>
    <row r="72" spans="1:6" ht="18" customHeight="1">
      <c r="A72" s="314" t="s">
        <v>937</v>
      </c>
      <c r="B72" s="562">
        <v>6755337</v>
      </c>
      <c r="C72" s="559">
        <f t="shared" si="0"/>
        <v>7245774.4661999997</v>
      </c>
      <c r="D72" s="560">
        <f t="shared" si="1"/>
        <v>12100443.358553998</v>
      </c>
      <c r="E72" s="560">
        <f t="shared" si="2"/>
        <v>576211.58850257134</v>
      </c>
      <c r="F72" s="561">
        <f t="shared" si="3"/>
        <v>65478.58960256492</v>
      </c>
    </row>
    <row r="73" spans="1:6" ht="18" customHeight="1">
      <c r="A73" s="314" t="s">
        <v>938</v>
      </c>
      <c r="B73" s="562">
        <v>7265579</v>
      </c>
      <c r="C73" s="559">
        <f t="shared" si="0"/>
        <v>7793060.0354000004</v>
      </c>
      <c r="D73" s="560">
        <f t="shared" si="1"/>
        <v>13014410.259118</v>
      </c>
      <c r="E73" s="560">
        <f t="shared" si="2"/>
        <v>619733.82186276186</v>
      </c>
      <c r="F73" s="561">
        <f t="shared" si="3"/>
        <v>70424.2979389502</v>
      </c>
    </row>
    <row r="74" spans="1:6" ht="18" customHeight="1">
      <c r="A74" s="314" t="s">
        <v>939</v>
      </c>
      <c r="B74" s="562">
        <v>7676941</v>
      </c>
      <c r="C74" s="559">
        <f t="shared" si="0"/>
        <v>8234286.9166000001</v>
      </c>
      <c r="D74" s="560">
        <f t="shared" si="1"/>
        <v>13751259.150721999</v>
      </c>
      <c r="E74" s="560">
        <f t="shared" si="2"/>
        <v>654821.86432009516</v>
      </c>
      <c r="F74" s="561">
        <f t="shared" si="3"/>
        <v>74411.575490919902</v>
      </c>
    </row>
    <row r="75" spans="1:6" ht="18" customHeight="1">
      <c r="A75" s="314" t="s">
        <v>940</v>
      </c>
      <c r="B75" s="562">
        <v>8278300</v>
      </c>
      <c r="C75" s="559">
        <f t="shared" si="0"/>
        <v>8879304.5800000001</v>
      </c>
      <c r="D75" s="560">
        <f t="shared" si="1"/>
        <v>14828438.648599999</v>
      </c>
      <c r="E75" s="560">
        <f t="shared" ref="E75:E121" si="4">D75/21</f>
        <v>706116.12612380949</v>
      </c>
      <c r="F75" s="561">
        <f t="shared" ref="F75:F121" si="5">E75/8.8</f>
        <v>80240.468877705614</v>
      </c>
    </row>
    <row r="76" spans="1:6" ht="18" customHeight="1">
      <c r="A76" s="314" t="s">
        <v>941</v>
      </c>
      <c r="B76" s="562">
        <v>3310192</v>
      </c>
      <c r="C76" s="559">
        <f t="shared" si="0"/>
        <v>3550511.9391999999</v>
      </c>
      <c r="D76" s="560">
        <f t="shared" si="1"/>
        <v>5929354.9384639999</v>
      </c>
      <c r="E76" s="560">
        <f t="shared" si="4"/>
        <v>282350.23516495235</v>
      </c>
      <c r="F76" s="561">
        <f t="shared" si="5"/>
        <v>32085.253996017309</v>
      </c>
    </row>
    <row r="77" spans="1:6" ht="18" customHeight="1">
      <c r="A77" s="314" t="s">
        <v>942</v>
      </c>
      <c r="B77" s="562">
        <v>3579600</v>
      </c>
      <c r="C77" s="559">
        <f t="shared" ref="C77:C121" si="6">B77*1.0726</f>
        <v>3839478.96</v>
      </c>
      <c r="D77" s="560">
        <f t="shared" ref="D77:D121" si="7">C77*1.67</f>
        <v>6411929.8631999996</v>
      </c>
      <c r="E77" s="560">
        <f t="shared" si="4"/>
        <v>305329.99348571425</v>
      </c>
      <c r="F77" s="561">
        <f t="shared" si="5"/>
        <v>34696.590168831164</v>
      </c>
    </row>
    <row r="78" spans="1:6" ht="18" customHeight="1">
      <c r="A78" s="314" t="s">
        <v>943</v>
      </c>
      <c r="B78" s="562">
        <v>3906492</v>
      </c>
      <c r="C78" s="559">
        <f t="shared" si="6"/>
        <v>4190103.3191999998</v>
      </c>
      <c r="D78" s="560">
        <f t="shared" si="7"/>
        <v>6997472.5430639992</v>
      </c>
      <c r="E78" s="560">
        <f t="shared" si="4"/>
        <v>333212.97824114282</v>
      </c>
      <c r="F78" s="561">
        <f t="shared" si="5"/>
        <v>37865.111163766225</v>
      </c>
    </row>
    <row r="79" spans="1:6" ht="18" customHeight="1">
      <c r="A79" s="314" t="s">
        <v>944</v>
      </c>
      <c r="B79" s="562">
        <v>4446049</v>
      </c>
      <c r="C79" s="559">
        <f t="shared" si="6"/>
        <v>4768832.1573999999</v>
      </c>
      <c r="D79" s="560">
        <f t="shared" si="7"/>
        <v>7963949.7028579991</v>
      </c>
      <c r="E79" s="560">
        <f t="shared" si="4"/>
        <v>379235.70013609517</v>
      </c>
      <c r="F79" s="561">
        <f t="shared" si="5"/>
        <v>43094.965924556265</v>
      </c>
    </row>
    <row r="80" spans="1:6" ht="18" customHeight="1">
      <c r="A80" s="314" t="s">
        <v>945</v>
      </c>
      <c r="B80" s="562">
        <v>4560188</v>
      </c>
      <c r="C80" s="559">
        <f t="shared" si="6"/>
        <v>4891257.6487999996</v>
      </c>
      <c r="D80" s="560">
        <f t="shared" si="7"/>
        <v>8168400.2734959992</v>
      </c>
      <c r="E80" s="560">
        <f t="shared" si="4"/>
        <v>388971.4415950476</v>
      </c>
      <c r="F80" s="561">
        <f t="shared" si="5"/>
        <v>44201.300181255407</v>
      </c>
    </row>
    <row r="81" spans="1:6" ht="18" customHeight="1">
      <c r="A81" s="314" t="s">
        <v>946</v>
      </c>
      <c r="B81" s="562">
        <v>5163475</v>
      </c>
      <c r="C81" s="559">
        <f t="shared" si="6"/>
        <v>5538343.2850000001</v>
      </c>
      <c r="D81" s="560">
        <f t="shared" si="7"/>
        <v>9249033.2859499995</v>
      </c>
      <c r="E81" s="560">
        <f t="shared" si="4"/>
        <v>440430.1564738095</v>
      </c>
      <c r="F81" s="561">
        <f t="shared" si="5"/>
        <v>50048.881417478347</v>
      </c>
    </row>
    <row r="82" spans="1:6" ht="18" customHeight="1">
      <c r="A82" s="314" t="s">
        <v>947</v>
      </c>
      <c r="B82" s="562">
        <v>5764758</v>
      </c>
      <c r="C82" s="559">
        <f t="shared" si="6"/>
        <v>6183279.4308000002</v>
      </c>
      <c r="D82" s="560">
        <f t="shared" si="7"/>
        <v>10326076.649436001</v>
      </c>
      <c r="E82" s="560">
        <f t="shared" si="4"/>
        <v>491717.93568742863</v>
      </c>
      <c r="F82" s="561">
        <f t="shared" si="5"/>
        <v>55877.038146298706</v>
      </c>
    </row>
    <row r="83" spans="1:6" ht="18" customHeight="1">
      <c r="A83" s="314" t="s">
        <v>948</v>
      </c>
      <c r="B83" s="562">
        <v>6308715</v>
      </c>
      <c r="C83" s="559">
        <f t="shared" si="6"/>
        <v>6766727.7089999998</v>
      </c>
      <c r="D83" s="560">
        <f t="shared" si="7"/>
        <v>11300435.27403</v>
      </c>
      <c r="E83" s="560">
        <f t="shared" si="4"/>
        <v>538115.96542999998</v>
      </c>
      <c r="F83" s="561">
        <f t="shared" si="5"/>
        <v>61149.54152613636</v>
      </c>
    </row>
    <row r="84" spans="1:6" ht="18" customHeight="1">
      <c r="A84" s="314" t="s">
        <v>949</v>
      </c>
      <c r="B84" s="562">
        <v>6630024</v>
      </c>
      <c r="C84" s="559">
        <f t="shared" si="6"/>
        <v>7111363.7423999999</v>
      </c>
      <c r="D84" s="560">
        <f t="shared" si="7"/>
        <v>11875977.449808</v>
      </c>
      <c r="E84" s="560">
        <f t="shared" si="4"/>
        <v>565522.73570514284</v>
      </c>
      <c r="F84" s="561">
        <f t="shared" si="5"/>
        <v>64263.947239220775</v>
      </c>
    </row>
    <row r="85" spans="1:6" ht="18" customHeight="1">
      <c r="A85" s="314" t="s">
        <v>950</v>
      </c>
      <c r="B85" s="562">
        <v>6894384</v>
      </c>
      <c r="C85" s="559">
        <f t="shared" si="6"/>
        <v>7394916.2784000002</v>
      </c>
      <c r="D85" s="560">
        <f t="shared" si="7"/>
        <v>12349510.184928</v>
      </c>
      <c r="E85" s="560">
        <f t="shared" si="4"/>
        <v>588071.91356799996</v>
      </c>
      <c r="F85" s="561">
        <f t="shared" si="5"/>
        <v>66826.353814545451</v>
      </c>
    </row>
    <row r="86" spans="1:6" ht="18" customHeight="1">
      <c r="A86" s="314" t="s">
        <v>951</v>
      </c>
      <c r="B86" s="562">
        <v>7249221</v>
      </c>
      <c r="C86" s="559">
        <f t="shared" si="6"/>
        <v>7775514.4446</v>
      </c>
      <c r="D86" s="560">
        <f t="shared" si="7"/>
        <v>12985109.122482</v>
      </c>
      <c r="E86" s="560">
        <f t="shared" si="4"/>
        <v>618338.52964199998</v>
      </c>
      <c r="F86" s="561">
        <f t="shared" si="5"/>
        <v>70265.742004772721</v>
      </c>
    </row>
    <row r="87" spans="1:6" ht="18" customHeight="1">
      <c r="A87" s="314" t="s">
        <v>952</v>
      </c>
      <c r="B87" s="562">
        <v>7613882</v>
      </c>
      <c r="C87" s="559">
        <f t="shared" si="6"/>
        <v>8166649.8332000002</v>
      </c>
      <c r="D87" s="560">
        <f t="shared" si="7"/>
        <v>13638305.221444</v>
      </c>
      <c r="E87" s="560">
        <f t="shared" si="4"/>
        <v>649443.10578304762</v>
      </c>
      <c r="F87" s="561">
        <f t="shared" si="5"/>
        <v>73800.352929891771</v>
      </c>
    </row>
    <row r="88" spans="1:6" ht="18" customHeight="1">
      <c r="A88" s="314" t="s">
        <v>953</v>
      </c>
      <c r="B88" s="562">
        <v>8347843</v>
      </c>
      <c r="C88" s="559">
        <f t="shared" si="6"/>
        <v>8953896.4017999992</v>
      </c>
      <c r="D88" s="560">
        <f t="shared" si="7"/>
        <v>14953006.991005998</v>
      </c>
      <c r="E88" s="560">
        <f t="shared" si="4"/>
        <v>712047.95195266663</v>
      </c>
      <c r="F88" s="561">
        <f t="shared" si="5"/>
        <v>80914.539994621198</v>
      </c>
    </row>
    <row r="89" spans="1:6" ht="18" customHeight="1">
      <c r="A89" s="314" t="s">
        <v>954</v>
      </c>
      <c r="B89" s="562">
        <v>8811600</v>
      </c>
      <c r="C89" s="559">
        <f t="shared" si="6"/>
        <v>9451322.1600000001</v>
      </c>
      <c r="D89" s="560">
        <f t="shared" si="7"/>
        <v>15783708.007199999</v>
      </c>
      <c r="E89" s="560">
        <f t="shared" si="4"/>
        <v>751605.14319999993</v>
      </c>
      <c r="F89" s="561">
        <f t="shared" si="5"/>
        <v>85409.675363636343</v>
      </c>
    </row>
    <row r="90" spans="1:6" ht="18" customHeight="1">
      <c r="A90" s="314" t="s">
        <v>955</v>
      </c>
      <c r="B90" s="562">
        <v>8992884</v>
      </c>
      <c r="C90" s="559">
        <f t="shared" si="6"/>
        <v>9645767.3783999998</v>
      </c>
      <c r="D90" s="560">
        <f t="shared" si="7"/>
        <v>16108431.521927999</v>
      </c>
      <c r="E90" s="560">
        <f t="shared" si="4"/>
        <v>767068.16771085712</v>
      </c>
      <c r="F90" s="561">
        <f t="shared" si="5"/>
        <v>87166.837239870118</v>
      </c>
    </row>
    <row r="91" spans="1:6" ht="18" customHeight="1">
      <c r="A91" s="314" t="s">
        <v>956</v>
      </c>
      <c r="B91" s="562">
        <v>9881584</v>
      </c>
      <c r="C91" s="559">
        <f t="shared" si="6"/>
        <v>10598986.998400001</v>
      </c>
      <c r="D91" s="560">
        <f t="shared" si="7"/>
        <v>17700308.287328001</v>
      </c>
      <c r="E91" s="560">
        <f t="shared" si="4"/>
        <v>842871.82320609526</v>
      </c>
      <c r="F91" s="561">
        <f t="shared" si="5"/>
        <v>95780.889000692638</v>
      </c>
    </row>
    <row r="92" spans="1:6" ht="18" customHeight="1">
      <c r="A92" s="314" t="s">
        <v>957</v>
      </c>
      <c r="B92" s="562">
        <v>10917438</v>
      </c>
      <c r="C92" s="559">
        <f t="shared" si="6"/>
        <v>11710043.9988</v>
      </c>
      <c r="D92" s="560">
        <f t="shared" si="7"/>
        <v>19555773.477995999</v>
      </c>
      <c r="E92" s="560">
        <f t="shared" si="4"/>
        <v>931227.30847599998</v>
      </c>
      <c r="F92" s="561">
        <f t="shared" si="5"/>
        <v>105821.2850540909</v>
      </c>
    </row>
    <row r="93" spans="1:6" ht="18" customHeight="1">
      <c r="A93" s="314" t="s">
        <v>958</v>
      </c>
      <c r="B93" s="562">
        <v>11850174</v>
      </c>
      <c r="C93" s="559">
        <f t="shared" si="6"/>
        <v>12710496.6324</v>
      </c>
      <c r="D93" s="560">
        <f t="shared" si="7"/>
        <v>21226529.376107998</v>
      </c>
      <c r="E93" s="560">
        <f t="shared" si="4"/>
        <v>1010787.1131479999</v>
      </c>
      <c r="F93" s="561">
        <f t="shared" si="5"/>
        <v>114862.17194863634</v>
      </c>
    </row>
    <row r="94" spans="1:6" ht="18" customHeight="1">
      <c r="A94" s="314" t="s">
        <v>959</v>
      </c>
      <c r="B94" s="562">
        <v>3391801</v>
      </c>
      <c r="C94" s="559">
        <f t="shared" si="6"/>
        <v>3638045.7525999998</v>
      </c>
      <c r="D94" s="560">
        <f t="shared" si="7"/>
        <v>6075536.4068419989</v>
      </c>
      <c r="E94" s="560">
        <f t="shared" si="4"/>
        <v>289311.25746866659</v>
      </c>
      <c r="F94" s="561">
        <f t="shared" si="5"/>
        <v>32876.27925780302</v>
      </c>
    </row>
    <row r="95" spans="1:6" ht="18" customHeight="1">
      <c r="A95" s="314" t="s">
        <v>960</v>
      </c>
      <c r="B95" s="562">
        <v>3793079</v>
      </c>
      <c r="C95" s="559">
        <f t="shared" si="6"/>
        <v>4068456.5353999999</v>
      </c>
      <c r="D95" s="560">
        <f t="shared" si="7"/>
        <v>6794322.4141179994</v>
      </c>
      <c r="E95" s="560">
        <f t="shared" si="4"/>
        <v>323539.16257704759</v>
      </c>
      <c r="F95" s="561">
        <f t="shared" si="5"/>
        <v>36765.813929209951</v>
      </c>
    </row>
    <row r="96" spans="1:6" ht="18" customHeight="1">
      <c r="A96" s="314" t="s">
        <v>961</v>
      </c>
      <c r="B96" s="562">
        <v>4005169</v>
      </c>
      <c r="C96" s="559">
        <f t="shared" si="6"/>
        <v>4295944.2693999996</v>
      </c>
      <c r="D96" s="560">
        <f t="shared" si="7"/>
        <v>7174226.9298979994</v>
      </c>
      <c r="E96" s="560">
        <f t="shared" si="4"/>
        <v>341629.85380466667</v>
      </c>
      <c r="F96" s="561">
        <f t="shared" si="5"/>
        <v>38821.574295984843</v>
      </c>
    </row>
    <row r="97" spans="1:6" ht="18" customHeight="1">
      <c r="A97" s="314" t="s">
        <v>962</v>
      </c>
      <c r="B97" s="562">
        <v>4256994</v>
      </c>
      <c r="C97" s="559">
        <f t="shared" si="6"/>
        <v>4566051.7643999998</v>
      </c>
      <c r="D97" s="560">
        <f t="shared" si="7"/>
        <v>7625306.446547999</v>
      </c>
      <c r="E97" s="560">
        <f t="shared" si="4"/>
        <v>363109.83078799996</v>
      </c>
      <c r="F97" s="561">
        <f t="shared" si="5"/>
        <v>41262.480771363626</v>
      </c>
    </row>
    <row r="98" spans="1:6" ht="18" customHeight="1">
      <c r="A98" s="314" t="s">
        <v>963</v>
      </c>
      <c r="B98" s="562">
        <v>4366542</v>
      </c>
      <c r="C98" s="559">
        <f t="shared" si="6"/>
        <v>4683552.9491999997</v>
      </c>
      <c r="D98" s="560">
        <f t="shared" si="7"/>
        <v>7821533.4251639992</v>
      </c>
      <c r="E98" s="560">
        <f t="shared" si="4"/>
        <v>372453.97262685711</v>
      </c>
      <c r="F98" s="561">
        <f t="shared" si="5"/>
        <v>42324.315071233759</v>
      </c>
    </row>
    <row r="99" spans="1:6" ht="18" customHeight="1">
      <c r="A99" s="314" t="s">
        <v>964</v>
      </c>
      <c r="B99" s="562">
        <v>4560188</v>
      </c>
      <c r="C99" s="559">
        <f t="shared" si="6"/>
        <v>4891257.6487999996</v>
      </c>
      <c r="D99" s="560">
        <f t="shared" si="7"/>
        <v>8168400.2734959992</v>
      </c>
      <c r="E99" s="560">
        <f t="shared" si="4"/>
        <v>388971.4415950476</v>
      </c>
      <c r="F99" s="561">
        <f t="shared" si="5"/>
        <v>44201.300181255407</v>
      </c>
    </row>
    <row r="100" spans="1:6" ht="18" customHeight="1">
      <c r="A100" s="314" t="s">
        <v>965</v>
      </c>
      <c r="B100" s="562">
        <v>4832864</v>
      </c>
      <c r="C100" s="559">
        <f t="shared" si="6"/>
        <v>5183729.9264000002</v>
      </c>
      <c r="D100" s="560">
        <f t="shared" si="7"/>
        <v>8656828.9770880006</v>
      </c>
      <c r="E100" s="560">
        <f t="shared" si="4"/>
        <v>412229.95128990477</v>
      </c>
      <c r="F100" s="561">
        <f t="shared" si="5"/>
        <v>46844.312646580081</v>
      </c>
    </row>
    <row r="101" spans="1:6" ht="18" customHeight="1">
      <c r="A101" s="314" t="s">
        <v>966</v>
      </c>
      <c r="B101" s="562">
        <v>4939449</v>
      </c>
      <c r="C101" s="559">
        <f t="shared" si="6"/>
        <v>5298052.9973999998</v>
      </c>
      <c r="D101" s="560">
        <f t="shared" si="7"/>
        <v>8847748.5056579988</v>
      </c>
      <c r="E101" s="560">
        <f t="shared" si="4"/>
        <v>421321.35741228564</v>
      </c>
      <c r="F101" s="561">
        <f t="shared" si="5"/>
        <v>47877.426978668816</v>
      </c>
    </row>
    <row r="102" spans="1:6" ht="18" customHeight="1">
      <c r="A102" s="314" t="s">
        <v>967</v>
      </c>
      <c r="B102" s="562">
        <v>5122535</v>
      </c>
      <c r="C102" s="559">
        <f t="shared" si="6"/>
        <v>5494431.0410000002</v>
      </c>
      <c r="D102" s="560">
        <f t="shared" si="7"/>
        <v>9175699.8384700008</v>
      </c>
      <c r="E102" s="560">
        <f t="shared" si="4"/>
        <v>436938.08754619054</v>
      </c>
      <c r="F102" s="561">
        <f t="shared" si="5"/>
        <v>49652.055402976192</v>
      </c>
    </row>
    <row r="103" spans="1:6" ht="18" customHeight="1">
      <c r="A103" s="314" t="s">
        <v>968</v>
      </c>
      <c r="B103" s="562">
        <v>5503067</v>
      </c>
      <c r="C103" s="559">
        <f t="shared" si="6"/>
        <v>5902589.6641999995</v>
      </c>
      <c r="D103" s="560">
        <f t="shared" si="7"/>
        <v>9857324.7392139994</v>
      </c>
      <c r="E103" s="560">
        <f t="shared" si="4"/>
        <v>469396.41615304758</v>
      </c>
      <c r="F103" s="561">
        <f t="shared" si="5"/>
        <v>53340.501835573581</v>
      </c>
    </row>
    <row r="104" spans="1:6" ht="18" customHeight="1">
      <c r="A104" s="314" t="s">
        <v>969</v>
      </c>
      <c r="B104" s="562">
        <v>5588420</v>
      </c>
      <c r="C104" s="559">
        <f t="shared" si="6"/>
        <v>5994139.2920000004</v>
      </c>
      <c r="D104" s="560">
        <f t="shared" si="7"/>
        <v>10010212.61764</v>
      </c>
      <c r="E104" s="560">
        <f t="shared" si="4"/>
        <v>476676.79131619044</v>
      </c>
      <c r="F104" s="561">
        <f t="shared" si="5"/>
        <v>54167.817195021635</v>
      </c>
    </row>
    <row r="105" spans="1:6" ht="18" customHeight="1">
      <c r="A105" s="314" t="s">
        <v>970</v>
      </c>
      <c r="B105" s="562">
        <v>5764758</v>
      </c>
      <c r="C105" s="559">
        <f t="shared" si="6"/>
        <v>6183279.4308000002</v>
      </c>
      <c r="D105" s="560">
        <f t="shared" si="7"/>
        <v>10326076.649436001</v>
      </c>
      <c r="E105" s="560">
        <f t="shared" si="4"/>
        <v>491717.93568742863</v>
      </c>
      <c r="F105" s="561">
        <f t="shared" si="5"/>
        <v>55877.038146298706</v>
      </c>
    </row>
    <row r="106" spans="1:6" ht="18" customHeight="1">
      <c r="A106" s="314" t="s">
        <v>971</v>
      </c>
      <c r="B106" s="562">
        <v>6014317</v>
      </c>
      <c r="C106" s="559">
        <f t="shared" si="6"/>
        <v>6450956.4141999995</v>
      </c>
      <c r="D106" s="560">
        <f t="shared" si="7"/>
        <v>10773097.211714</v>
      </c>
      <c r="E106" s="560">
        <f t="shared" si="4"/>
        <v>513004.62912923808</v>
      </c>
      <c r="F106" s="561">
        <f t="shared" si="5"/>
        <v>58295.98058286796</v>
      </c>
    </row>
    <row r="107" spans="1:6" ht="18" customHeight="1">
      <c r="A107" s="314" t="s">
        <v>972</v>
      </c>
      <c r="B107" s="562">
        <v>6338312</v>
      </c>
      <c r="C107" s="559">
        <f t="shared" si="6"/>
        <v>6798473.4512</v>
      </c>
      <c r="D107" s="560">
        <f t="shared" si="7"/>
        <v>11353450.663503999</v>
      </c>
      <c r="E107" s="560">
        <f t="shared" si="4"/>
        <v>540640.50778590469</v>
      </c>
      <c r="F107" s="561">
        <f t="shared" si="5"/>
        <v>61436.421339307344</v>
      </c>
    </row>
    <row r="108" spans="1:6" ht="18" customHeight="1">
      <c r="A108" s="314" t="s">
        <v>973</v>
      </c>
      <c r="B108" s="562">
        <v>6470179</v>
      </c>
      <c r="C108" s="559">
        <f t="shared" si="6"/>
        <v>6939913.9954000004</v>
      </c>
      <c r="D108" s="560">
        <f t="shared" si="7"/>
        <v>11589656.372318</v>
      </c>
      <c r="E108" s="560">
        <f t="shared" si="4"/>
        <v>551888.39868180954</v>
      </c>
      <c r="F108" s="561">
        <f t="shared" si="5"/>
        <v>62714.59075929653</v>
      </c>
    </row>
    <row r="109" spans="1:6" ht="18" customHeight="1">
      <c r="A109" s="314" t="s">
        <v>974</v>
      </c>
      <c r="B109" s="562">
        <v>6559643</v>
      </c>
      <c r="C109" s="559">
        <f t="shared" si="6"/>
        <v>7035873.0817999998</v>
      </c>
      <c r="D109" s="560">
        <f t="shared" si="7"/>
        <v>11749908.046605999</v>
      </c>
      <c r="E109" s="560">
        <f t="shared" si="4"/>
        <v>559519.43079076183</v>
      </c>
      <c r="F109" s="561">
        <f t="shared" si="5"/>
        <v>63581.753498950202</v>
      </c>
    </row>
    <row r="110" spans="1:6" ht="18" customHeight="1">
      <c r="A110" s="314" t="s">
        <v>975</v>
      </c>
      <c r="B110" s="562">
        <v>6918321</v>
      </c>
      <c r="C110" s="559">
        <f t="shared" si="6"/>
        <v>7420591.1046000002</v>
      </c>
      <c r="D110" s="560">
        <f t="shared" si="7"/>
        <v>12392387.144681999</v>
      </c>
      <c r="E110" s="560">
        <f t="shared" si="4"/>
        <v>590113.67355628568</v>
      </c>
      <c r="F110" s="561">
        <f t="shared" si="5"/>
        <v>67058.371995032459</v>
      </c>
    </row>
    <row r="111" spans="1:6" ht="18" customHeight="1">
      <c r="A111" s="314" t="s">
        <v>976</v>
      </c>
      <c r="B111" s="562">
        <v>7492779</v>
      </c>
      <c r="C111" s="559">
        <f t="shared" si="6"/>
        <v>8036754.7554000001</v>
      </c>
      <c r="D111" s="560">
        <f t="shared" si="7"/>
        <v>13421380.441517999</v>
      </c>
      <c r="E111" s="560">
        <f t="shared" si="4"/>
        <v>639113.35435799998</v>
      </c>
      <c r="F111" s="561">
        <f t="shared" si="5"/>
        <v>72626.517540681816</v>
      </c>
    </row>
    <row r="112" spans="1:6" ht="18" customHeight="1">
      <c r="A112" s="314" t="s">
        <v>977</v>
      </c>
      <c r="B112" s="562">
        <v>8068525</v>
      </c>
      <c r="C112" s="559">
        <f t="shared" si="6"/>
        <v>8654299.9149999991</v>
      </c>
      <c r="D112" s="560">
        <f t="shared" si="7"/>
        <v>14452680.858049998</v>
      </c>
      <c r="E112" s="560">
        <f t="shared" si="4"/>
        <v>688222.89800238085</v>
      </c>
      <c r="F112" s="561">
        <f t="shared" si="5"/>
        <v>78207.147500270541</v>
      </c>
    </row>
    <row r="113" spans="1:6" ht="18" customHeight="1">
      <c r="A113" s="314" t="s">
        <v>978</v>
      </c>
      <c r="B113" s="562">
        <v>8872530</v>
      </c>
      <c r="C113" s="559">
        <f t="shared" si="6"/>
        <v>9516675.6779999994</v>
      </c>
      <c r="D113" s="560">
        <f t="shared" si="7"/>
        <v>15892848.382259998</v>
      </c>
      <c r="E113" s="560">
        <f t="shared" si="4"/>
        <v>756802.3039171428</v>
      </c>
      <c r="F113" s="561">
        <f t="shared" si="5"/>
        <v>86000.261808766227</v>
      </c>
    </row>
    <row r="114" spans="1:6" ht="18" customHeight="1">
      <c r="A114" s="314" t="s">
        <v>979</v>
      </c>
      <c r="B114" s="562">
        <v>8994052</v>
      </c>
      <c r="C114" s="559">
        <f t="shared" si="6"/>
        <v>9647020.1752000004</v>
      </c>
      <c r="D114" s="560">
        <f t="shared" si="7"/>
        <v>16110523.692584001</v>
      </c>
      <c r="E114" s="560">
        <f t="shared" si="4"/>
        <v>767167.79488495237</v>
      </c>
      <c r="F114" s="561">
        <f t="shared" si="5"/>
        <v>87178.158509653673</v>
      </c>
    </row>
    <row r="115" spans="1:6" ht="18" customHeight="1">
      <c r="A115" s="314" t="s">
        <v>980</v>
      </c>
      <c r="B115" s="562">
        <v>9952423</v>
      </c>
      <c r="C115" s="559">
        <f t="shared" si="6"/>
        <v>10674968.9098</v>
      </c>
      <c r="D115" s="560">
        <f t="shared" si="7"/>
        <v>17827198.079365999</v>
      </c>
      <c r="E115" s="560">
        <f t="shared" si="4"/>
        <v>848914.19425552373</v>
      </c>
      <c r="F115" s="561">
        <f t="shared" si="5"/>
        <v>96467.522074491324</v>
      </c>
    </row>
    <row r="116" spans="1:6" ht="18" customHeight="1">
      <c r="A116" s="314" t="s">
        <v>981</v>
      </c>
      <c r="B116" s="562">
        <v>10931156</v>
      </c>
      <c r="C116" s="559">
        <f t="shared" si="6"/>
        <v>11724757.9256</v>
      </c>
      <c r="D116" s="560">
        <f t="shared" si="7"/>
        <v>19580345.735751998</v>
      </c>
      <c r="E116" s="560">
        <f t="shared" si="4"/>
        <v>932397.41598819033</v>
      </c>
      <c r="F116" s="561">
        <f t="shared" si="5"/>
        <v>105954.25181683981</v>
      </c>
    </row>
    <row r="117" spans="1:6" ht="18" customHeight="1">
      <c r="A117" s="314" t="s">
        <v>982</v>
      </c>
      <c r="B117" s="562">
        <v>11795368</v>
      </c>
      <c r="C117" s="559">
        <f t="shared" si="6"/>
        <v>12651711.716800001</v>
      </c>
      <c r="D117" s="560">
        <f t="shared" si="7"/>
        <v>21128358.567056</v>
      </c>
      <c r="E117" s="560">
        <f t="shared" si="4"/>
        <v>1006112.3127169524</v>
      </c>
      <c r="F117" s="561">
        <f t="shared" si="5"/>
        <v>114330.9446269264</v>
      </c>
    </row>
    <row r="118" spans="1:6" ht="18" customHeight="1">
      <c r="A118" s="314" t="s">
        <v>983</v>
      </c>
      <c r="B118" s="562">
        <v>12718013</v>
      </c>
      <c r="C118" s="559">
        <f t="shared" si="6"/>
        <v>13641340.743799999</v>
      </c>
      <c r="D118" s="560">
        <f t="shared" si="7"/>
        <v>22781039.042145997</v>
      </c>
      <c r="E118" s="560">
        <f t="shared" si="4"/>
        <v>1084811.3829593332</v>
      </c>
      <c r="F118" s="561">
        <f t="shared" si="5"/>
        <v>123274.02079083331</v>
      </c>
    </row>
    <row r="119" spans="1:6" ht="18" customHeight="1">
      <c r="A119" s="314" t="s">
        <v>984</v>
      </c>
      <c r="B119" s="562">
        <v>13379348</v>
      </c>
      <c r="C119" s="559">
        <f t="shared" si="6"/>
        <v>14350688.664799999</v>
      </c>
      <c r="D119" s="560">
        <f t="shared" si="7"/>
        <v>23965650.070215996</v>
      </c>
      <c r="E119" s="560">
        <f t="shared" si="4"/>
        <v>1141221.4319150473</v>
      </c>
      <c r="F119" s="561">
        <f t="shared" si="5"/>
        <v>129684.25362670992</v>
      </c>
    </row>
    <row r="120" spans="1:6" ht="18" customHeight="1">
      <c r="A120" s="314" t="s">
        <v>985</v>
      </c>
      <c r="B120" s="562">
        <v>14042684</v>
      </c>
      <c r="C120" s="559">
        <f t="shared" si="6"/>
        <v>15062182.8584</v>
      </c>
      <c r="D120" s="560">
        <f t="shared" si="7"/>
        <v>25153845.373528</v>
      </c>
      <c r="E120" s="560">
        <f t="shared" si="4"/>
        <v>1197802.1606441904</v>
      </c>
      <c r="F120" s="561">
        <f t="shared" si="5"/>
        <v>136113.88189138527</v>
      </c>
    </row>
    <row r="121" spans="1:6" ht="18" customHeight="1" thickBot="1">
      <c r="A121" s="315" t="s">
        <v>986</v>
      </c>
      <c r="B121" s="563">
        <v>14825106</v>
      </c>
      <c r="C121" s="564">
        <f t="shared" si="6"/>
        <v>15901408.695599999</v>
      </c>
      <c r="D121" s="565">
        <f t="shared" si="7"/>
        <v>26555352.521651998</v>
      </c>
      <c r="E121" s="565">
        <f t="shared" si="4"/>
        <v>1264540.5962691428</v>
      </c>
      <c r="F121" s="566">
        <f t="shared" si="5"/>
        <v>143697.79503058441</v>
      </c>
    </row>
  </sheetData>
  <sheetProtection algorithmName="SHA-512" hashValue="MmzzAnqUudJCrSB/KfsI2f7MAZp80wKuE8bTLSujLDFUD/vuQcH6qsJDkyE9eWWQ8yntCu6E8XZVFEwG6H29Zg==" saltValue="35v+USPawNVwwGvziGBUzA==" spinCount="100000" sheet="1" formatCells="0" formatColumns="0" formatRows="0" insertColumns="0" insertRows="0" insertHyperlinks="0" deleteColumns="0" deleteRows="0" sort="0" autoFilter="0" pivotTables="0"/>
  <mergeCells count="9">
    <mergeCell ref="C1:F1"/>
    <mergeCell ref="C2:F2"/>
    <mergeCell ref="C3:D3"/>
    <mergeCell ref="A1:B3"/>
    <mergeCell ref="A10:F10"/>
    <mergeCell ref="E3:F3"/>
    <mergeCell ref="B5:F5"/>
    <mergeCell ref="B6:F6"/>
    <mergeCell ref="A8:F8"/>
  </mergeCells>
  <hyperlinks>
    <hyperlink ref="G1" location="ins" display="Instructivo" xr:uid="{00000000-0004-0000-1900-000000000000}"/>
  </hyperlinks>
  <printOptions horizontalCentered="1"/>
  <pageMargins left="0" right="0" top="0" bottom="0" header="0" footer="0"/>
  <pageSetup fitToHeight="0" orientation="landscape"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23">
    <tabColor theme="7" tint="0.39997558519241921"/>
    <pageSetUpPr fitToPage="1"/>
  </sheetPr>
  <dimension ref="A1:F66"/>
  <sheetViews>
    <sheetView showGridLines="0" zoomScaleNormal="100" workbookViewId="0">
      <selection activeCell="G10" sqref="G10"/>
    </sheetView>
  </sheetViews>
  <sheetFormatPr defaultColWidth="13.33203125" defaultRowHeight="20.100000000000001" customHeight="1"/>
  <cols>
    <col min="1" max="1" width="34.1640625" style="316" customWidth="1"/>
    <col min="2" max="2" width="32.83203125" style="316" customWidth="1"/>
    <col min="3" max="3" width="21.33203125" style="316" customWidth="1"/>
    <col min="4" max="4" width="22.83203125" style="316" customWidth="1"/>
    <col min="5" max="5" width="18.33203125" style="316" customWidth="1"/>
    <col min="6" max="238" width="13.33203125" style="316"/>
    <col min="239" max="239" width="2.83203125" style="316" customWidth="1"/>
    <col min="240" max="240" width="85" style="316" customWidth="1"/>
    <col min="241" max="241" width="13.5" style="316" customWidth="1"/>
    <col min="242" max="242" width="21.6640625" style="316" customWidth="1"/>
    <col min="243" max="494" width="13.33203125" style="316"/>
    <col min="495" max="495" width="2.83203125" style="316" customWidth="1"/>
    <col min="496" max="496" width="85" style="316" customWidth="1"/>
    <col min="497" max="497" width="13.5" style="316" customWidth="1"/>
    <col min="498" max="498" width="21.6640625" style="316" customWidth="1"/>
    <col min="499" max="750" width="13.33203125" style="316"/>
    <col min="751" max="751" width="2.83203125" style="316" customWidth="1"/>
    <col min="752" max="752" width="85" style="316" customWidth="1"/>
    <col min="753" max="753" width="13.5" style="316" customWidth="1"/>
    <col min="754" max="754" width="21.6640625" style="316" customWidth="1"/>
    <col min="755" max="1006" width="13.33203125" style="316"/>
    <col min="1007" max="1007" width="2.83203125" style="316" customWidth="1"/>
    <col min="1008" max="1008" width="85" style="316" customWidth="1"/>
    <col min="1009" max="1009" width="13.5" style="316" customWidth="1"/>
    <col min="1010" max="1010" width="21.6640625" style="316" customWidth="1"/>
    <col min="1011" max="1262" width="13.33203125" style="316"/>
    <col min="1263" max="1263" width="2.83203125" style="316" customWidth="1"/>
    <col min="1264" max="1264" width="85" style="316" customWidth="1"/>
    <col min="1265" max="1265" width="13.5" style="316" customWidth="1"/>
    <col min="1266" max="1266" width="21.6640625" style="316" customWidth="1"/>
    <col min="1267" max="1518" width="13.33203125" style="316"/>
    <col min="1519" max="1519" width="2.83203125" style="316" customWidth="1"/>
    <col min="1520" max="1520" width="85" style="316" customWidth="1"/>
    <col min="1521" max="1521" width="13.5" style="316" customWidth="1"/>
    <col min="1522" max="1522" width="21.6640625" style="316" customWidth="1"/>
    <col min="1523" max="1774" width="13.33203125" style="316"/>
    <col min="1775" max="1775" width="2.83203125" style="316" customWidth="1"/>
    <col min="1776" max="1776" width="85" style="316" customWidth="1"/>
    <col min="1777" max="1777" width="13.5" style="316" customWidth="1"/>
    <col min="1778" max="1778" width="21.6640625" style="316" customWidth="1"/>
    <col min="1779" max="2030" width="13.33203125" style="316"/>
    <col min="2031" max="2031" width="2.83203125" style="316" customWidth="1"/>
    <col min="2032" max="2032" width="85" style="316" customWidth="1"/>
    <col min="2033" max="2033" width="13.5" style="316" customWidth="1"/>
    <col min="2034" max="2034" width="21.6640625" style="316" customWidth="1"/>
    <col min="2035" max="2286" width="13.33203125" style="316"/>
    <col min="2287" max="2287" width="2.83203125" style="316" customWidth="1"/>
    <col min="2288" max="2288" width="85" style="316" customWidth="1"/>
    <col min="2289" max="2289" width="13.5" style="316" customWidth="1"/>
    <col min="2290" max="2290" width="21.6640625" style="316" customWidth="1"/>
    <col min="2291" max="2542" width="13.33203125" style="316"/>
    <col min="2543" max="2543" width="2.83203125" style="316" customWidth="1"/>
    <col min="2544" max="2544" width="85" style="316" customWidth="1"/>
    <col min="2545" max="2545" width="13.5" style="316" customWidth="1"/>
    <col min="2546" max="2546" width="21.6640625" style="316" customWidth="1"/>
    <col min="2547" max="2798" width="13.33203125" style="316"/>
    <col min="2799" max="2799" width="2.83203125" style="316" customWidth="1"/>
    <col min="2800" max="2800" width="85" style="316" customWidth="1"/>
    <col min="2801" max="2801" width="13.5" style="316" customWidth="1"/>
    <col min="2802" max="2802" width="21.6640625" style="316" customWidth="1"/>
    <col min="2803" max="3054" width="13.33203125" style="316"/>
    <col min="3055" max="3055" width="2.83203125" style="316" customWidth="1"/>
    <col min="3056" max="3056" width="85" style="316" customWidth="1"/>
    <col min="3057" max="3057" width="13.5" style="316" customWidth="1"/>
    <col min="3058" max="3058" width="21.6640625" style="316" customWidth="1"/>
    <col min="3059" max="3310" width="13.33203125" style="316"/>
    <col min="3311" max="3311" width="2.83203125" style="316" customWidth="1"/>
    <col min="3312" max="3312" width="85" style="316" customWidth="1"/>
    <col min="3313" max="3313" width="13.5" style="316" customWidth="1"/>
    <col min="3314" max="3314" width="21.6640625" style="316" customWidth="1"/>
    <col min="3315" max="3566" width="13.33203125" style="316"/>
    <col min="3567" max="3567" width="2.83203125" style="316" customWidth="1"/>
    <col min="3568" max="3568" width="85" style="316" customWidth="1"/>
    <col min="3569" max="3569" width="13.5" style="316" customWidth="1"/>
    <col min="3570" max="3570" width="21.6640625" style="316" customWidth="1"/>
    <col min="3571" max="3822" width="13.33203125" style="316"/>
    <col min="3823" max="3823" width="2.83203125" style="316" customWidth="1"/>
    <col min="3824" max="3824" width="85" style="316" customWidth="1"/>
    <col min="3825" max="3825" width="13.5" style="316" customWidth="1"/>
    <col min="3826" max="3826" width="21.6640625" style="316" customWidth="1"/>
    <col min="3827" max="4078" width="13.33203125" style="316"/>
    <col min="4079" max="4079" width="2.83203125" style="316" customWidth="1"/>
    <col min="4080" max="4080" width="85" style="316" customWidth="1"/>
    <col min="4081" max="4081" width="13.5" style="316" customWidth="1"/>
    <col min="4082" max="4082" width="21.6640625" style="316" customWidth="1"/>
    <col min="4083" max="4334" width="13.33203125" style="316"/>
    <col min="4335" max="4335" width="2.83203125" style="316" customWidth="1"/>
    <col min="4336" max="4336" width="85" style="316" customWidth="1"/>
    <col min="4337" max="4337" width="13.5" style="316" customWidth="1"/>
    <col min="4338" max="4338" width="21.6640625" style="316" customWidth="1"/>
    <col min="4339" max="4590" width="13.33203125" style="316"/>
    <col min="4591" max="4591" width="2.83203125" style="316" customWidth="1"/>
    <col min="4592" max="4592" width="85" style="316" customWidth="1"/>
    <col min="4593" max="4593" width="13.5" style="316" customWidth="1"/>
    <col min="4594" max="4594" width="21.6640625" style="316" customWidth="1"/>
    <col min="4595" max="4846" width="13.33203125" style="316"/>
    <col min="4847" max="4847" width="2.83203125" style="316" customWidth="1"/>
    <col min="4848" max="4848" width="85" style="316" customWidth="1"/>
    <col min="4849" max="4849" width="13.5" style="316" customWidth="1"/>
    <col min="4850" max="4850" width="21.6640625" style="316" customWidth="1"/>
    <col min="4851" max="5102" width="13.33203125" style="316"/>
    <col min="5103" max="5103" width="2.83203125" style="316" customWidth="1"/>
    <col min="5104" max="5104" width="85" style="316" customWidth="1"/>
    <col min="5105" max="5105" width="13.5" style="316" customWidth="1"/>
    <col min="5106" max="5106" width="21.6640625" style="316" customWidth="1"/>
    <col min="5107" max="5358" width="13.33203125" style="316"/>
    <col min="5359" max="5359" width="2.83203125" style="316" customWidth="1"/>
    <col min="5360" max="5360" width="85" style="316" customWidth="1"/>
    <col min="5361" max="5361" width="13.5" style="316" customWidth="1"/>
    <col min="5362" max="5362" width="21.6640625" style="316" customWidth="1"/>
    <col min="5363" max="5614" width="13.33203125" style="316"/>
    <col min="5615" max="5615" width="2.83203125" style="316" customWidth="1"/>
    <col min="5616" max="5616" width="85" style="316" customWidth="1"/>
    <col min="5617" max="5617" width="13.5" style="316" customWidth="1"/>
    <col min="5618" max="5618" width="21.6640625" style="316" customWidth="1"/>
    <col min="5619" max="5870" width="13.33203125" style="316"/>
    <col min="5871" max="5871" width="2.83203125" style="316" customWidth="1"/>
    <col min="5872" max="5872" width="85" style="316" customWidth="1"/>
    <col min="5873" max="5873" width="13.5" style="316" customWidth="1"/>
    <col min="5874" max="5874" width="21.6640625" style="316" customWidth="1"/>
    <col min="5875" max="6126" width="13.33203125" style="316"/>
    <col min="6127" max="6127" width="2.83203125" style="316" customWidth="1"/>
    <col min="6128" max="6128" width="85" style="316" customWidth="1"/>
    <col min="6129" max="6129" width="13.5" style="316" customWidth="1"/>
    <col min="6130" max="6130" width="21.6640625" style="316" customWidth="1"/>
    <col min="6131" max="6382" width="13.33203125" style="316"/>
    <col min="6383" max="6383" width="2.83203125" style="316" customWidth="1"/>
    <col min="6384" max="6384" width="85" style="316" customWidth="1"/>
    <col min="6385" max="6385" width="13.5" style="316" customWidth="1"/>
    <col min="6386" max="6386" width="21.6640625" style="316" customWidth="1"/>
    <col min="6387" max="6638" width="13.33203125" style="316"/>
    <col min="6639" max="6639" width="2.83203125" style="316" customWidth="1"/>
    <col min="6640" max="6640" width="85" style="316" customWidth="1"/>
    <col min="6641" max="6641" width="13.5" style="316" customWidth="1"/>
    <col min="6642" max="6642" width="21.6640625" style="316" customWidth="1"/>
    <col min="6643" max="6894" width="13.33203125" style="316"/>
    <col min="6895" max="6895" width="2.83203125" style="316" customWidth="1"/>
    <col min="6896" max="6896" width="85" style="316" customWidth="1"/>
    <col min="6897" max="6897" width="13.5" style="316" customWidth="1"/>
    <col min="6898" max="6898" width="21.6640625" style="316" customWidth="1"/>
    <col min="6899" max="7150" width="13.33203125" style="316"/>
    <col min="7151" max="7151" width="2.83203125" style="316" customWidth="1"/>
    <col min="7152" max="7152" width="85" style="316" customWidth="1"/>
    <col min="7153" max="7153" width="13.5" style="316" customWidth="1"/>
    <col min="7154" max="7154" width="21.6640625" style="316" customWidth="1"/>
    <col min="7155" max="7406" width="13.33203125" style="316"/>
    <col min="7407" max="7407" width="2.83203125" style="316" customWidth="1"/>
    <col min="7408" max="7408" width="85" style="316" customWidth="1"/>
    <col min="7409" max="7409" width="13.5" style="316" customWidth="1"/>
    <col min="7410" max="7410" width="21.6640625" style="316" customWidth="1"/>
    <col min="7411" max="7662" width="13.33203125" style="316"/>
    <col min="7663" max="7663" width="2.83203125" style="316" customWidth="1"/>
    <col min="7664" max="7664" width="85" style="316" customWidth="1"/>
    <col min="7665" max="7665" width="13.5" style="316" customWidth="1"/>
    <col min="7666" max="7666" width="21.6640625" style="316" customWidth="1"/>
    <col min="7667" max="7918" width="13.33203125" style="316"/>
    <col min="7919" max="7919" width="2.83203125" style="316" customWidth="1"/>
    <col min="7920" max="7920" width="85" style="316" customWidth="1"/>
    <col min="7921" max="7921" width="13.5" style="316" customWidth="1"/>
    <col min="7922" max="7922" width="21.6640625" style="316" customWidth="1"/>
    <col min="7923" max="8174" width="13.33203125" style="316"/>
    <col min="8175" max="8175" width="2.83203125" style="316" customWidth="1"/>
    <col min="8176" max="8176" width="85" style="316" customWidth="1"/>
    <col min="8177" max="8177" width="13.5" style="316" customWidth="1"/>
    <col min="8178" max="8178" width="21.6640625" style="316" customWidth="1"/>
    <col min="8179" max="8430" width="13.33203125" style="316"/>
    <col min="8431" max="8431" width="2.83203125" style="316" customWidth="1"/>
    <col min="8432" max="8432" width="85" style="316" customWidth="1"/>
    <col min="8433" max="8433" width="13.5" style="316" customWidth="1"/>
    <col min="8434" max="8434" width="21.6640625" style="316" customWidth="1"/>
    <col min="8435" max="8686" width="13.33203125" style="316"/>
    <col min="8687" max="8687" width="2.83203125" style="316" customWidth="1"/>
    <col min="8688" max="8688" width="85" style="316" customWidth="1"/>
    <col min="8689" max="8689" width="13.5" style="316" customWidth="1"/>
    <col min="8690" max="8690" width="21.6640625" style="316" customWidth="1"/>
    <col min="8691" max="8942" width="13.33203125" style="316"/>
    <col min="8943" max="8943" width="2.83203125" style="316" customWidth="1"/>
    <col min="8944" max="8944" width="85" style="316" customWidth="1"/>
    <col min="8945" max="8945" width="13.5" style="316" customWidth="1"/>
    <col min="8946" max="8946" width="21.6640625" style="316" customWidth="1"/>
    <col min="8947" max="9198" width="13.33203125" style="316"/>
    <col min="9199" max="9199" width="2.83203125" style="316" customWidth="1"/>
    <col min="9200" max="9200" width="85" style="316" customWidth="1"/>
    <col min="9201" max="9201" width="13.5" style="316" customWidth="1"/>
    <col min="9202" max="9202" width="21.6640625" style="316" customWidth="1"/>
    <col min="9203" max="9454" width="13.33203125" style="316"/>
    <col min="9455" max="9455" width="2.83203125" style="316" customWidth="1"/>
    <col min="9456" max="9456" width="85" style="316" customWidth="1"/>
    <col min="9457" max="9457" width="13.5" style="316" customWidth="1"/>
    <col min="9458" max="9458" width="21.6640625" style="316" customWidth="1"/>
    <col min="9459" max="9710" width="13.33203125" style="316"/>
    <col min="9711" max="9711" width="2.83203125" style="316" customWidth="1"/>
    <col min="9712" max="9712" width="85" style="316" customWidth="1"/>
    <col min="9713" max="9713" width="13.5" style="316" customWidth="1"/>
    <col min="9714" max="9714" width="21.6640625" style="316" customWidth="1"/>
    <col min="9715" max="9966" width="13.33203125" style="316"/>
    <col min="9967" max="9967" width="2.83203125" style="316" customWidth="1"/>
    <col min="9968" max="9968" width="85" style="316" customWidth="1"/>
    <col min="9969" max="9969" width="13.5" style="316" customWidth="1"/>
    <col min="9970" max="9970" width="21.6640625" style="316" customWidth="1"/>
    <col min="9971" max="10222" width="13.33203125" style="316"/>
    <col min="10223" max="10223" width="2.83203125" style="316" customWidth="1"/>
    <col min="10224" max="10224" width="85" style="316" customWidth="1"/>
    <col min="10225" max="10225" width="13.5" style="316" customWidth="1"/>
    <col min="10226" max="10226" width="21.6640625" style="316" customWidth="1"/>
    <col min="10227" max="10478" width="13.33203125" style="316"/>
    <col min="10479" max="10479" width="2.83203125" style="316" customWidth="1"/>
    <col min="10480" max="10480" width="85" style="316" customWidth="1"/>
    <col min="10481" max="10481" width="13.5" style="316" customWidth="1"/>
    <col min="10482" max="10482" width="21.6640625" style="316" customWidth="1"/>
    <col min="10483" max="10734" width="13.33203125" style="316"/>
    <col min="10735" max="10735" width="2.83203125" style="316" customWidth="1"/>
    <col min="10736" max="10736" width="85" style="316" customWidth="1"/>
    <col min="10737" max="10737" width="13.5" style="316" customWidth="1"/>
    <col min="10738" max="10738" width="21.6640625" style="316" customWidth="1"/>
    <col min="10739" max="10990" width="13.33203125" style="316"/>
    <col min="10991" max="10991" width="2.83203125" style="316" customWidth="1"/>
    <col min="10992" max="10992" width="85" style="316" customWidth="1"/>
    <col min="10993" max="10993" width="13.5" style="316" customWidth="1"/>
    <col min="10994" max="10994" width="21.6640625" style="316" customWidth="1"/>
    <col min="10995" max="11246" width="13.33203125" style="316"/>
    <col min="11247" max="11247" width="2.83203125" style="316" customWidth="1"/>
    <col min="11248" max="11248" width="85" style="316" customWidth="1"/>
    <col min="11249" max="11249" width="13.5" style="316" customWidth="1"/>
    <col min="11250" max="11250" width="21.6640625" style="316" customWidth="1"/>
    <col min="11251" max="11502" width="13.33203125" style="316"/>
    <col min="11503" max="11503" width="2.83203125" style="316" customWidth="1"/>
    <col min="11504" max="11504" width="85" style="316" customWidth="1"/>
    <col min="11505" max="11505" width="13.5" style="316" customWidth="1"/>
    <col min="11506" max="11506" width="21.6640625" style="316" customWidth="1"/>
    <col min="11507" max="11758" width="13.33203125" style="316"/>
    <col min="11759" max="11759" width="2.83203125" style="316" customWidth="1"/>
    <col min="11760" max="11760" width="85" style="316" customWidth="1"/>
    <col min="11761" max="11761" width="13.5" style="316" customWidth="1"/>
    <col min="11762" max="11762" width="21.6640625" style="316" customWidth="1"/>
    <col min="11763" max="12014" width="13.33203125" style="316"/>
    <col min="12015" max="12015" width="2.83203125" style="316" customWidth="1"/>
    <col min="12016" max="12016" width="85" style="316" customWidth="1"/>
    <col min="12017" max="12017" width="13.5" style="316" customWidth="1"/>
    <col min="12018" max="12018" width="21.6640625" style="316" customWidth="1"/>
    <col min="12019" max="12270" width="13.33203125" style="316"/>
    <col min="12271" max="12271" width="2.83203125" style="316" customWidth="1"/>
    <col min="12272" max="12272" width="85" style="316" customWidth="1"/>
    <col min="12273" max="12273" width="13.5" style="316" customWidth="1"/>
    <col min="12274" max="12274" width="21.6640625" style="316" customWidth="1"/>
    <col min="12275" max="12526" width="13.33203125" style="316"/>
    <col min="12527" max="12527" width="2.83203125" style="316" customWidth="1"/>
    <col min="12528" max="12528" width="85" style="316" customWidth="1"/>
    <col min="12529" max="12529" width="13.5" style="316" customWidth="1"/>
    <col min="12530" max="12530" width="21.6640625" style="316" customWidth="1"/>
    <col min="12531" max="12782" width="13.33203125" style="316"/>
    <col min="12783" max="12783" width="2.83203125" style="316" customWidth="1"/>
    <col min="12784" max="12784" width="85" style="316" customWidth="1"/>
    <col min="12785" max="12785" width="13.5" style="316" customWidth="1"/>
    <col min="12786" max="12786" width="21.6640625" style="316" customWidth="1"/>
    <col min="12787" max="13038" width="13.33203125" style="316"/>
    <col min="13039" max="13039" width="2.83203125" style="316" customWidth="1"/>
    <col min="13040" max="13040" width="85" style="316" customWidth="1"/>
    <col min="13041" max="13041" width="13.5" style="316" customWidth="1"/>
    <col min="13042" max="13042" width="21.6640625" style="316" customWidth="1"/>
    <col min="13043" max="13294" width="13.33203125" style="316"/>
    <col min="13295" max="13295" width="2.83203125" style="316" customWidth="1"/>
    <col min="13296" max="13296" width="85" style="316" customWidth="1"/>
    <col min="13297" max="13297" width="13.5" style="316" customWidth="1"/>
    <col min="13298" max="13298" width="21.6640625" style="316" customWidth="1"/>
    <col min="13299" max="13550" width="13.33203125" style="316"/>
    <col min="13551" max="13551" width="2.83203125" style="316" customWidth="1"/>
    <col min="13552" max="13552" width="85" style="316" customWidth="1"/>
    <col min="13553" max="13553" width="13.5" style="316" customWidth="1"/>
    <col min="13554" max="13554" width="21.6640625" style="316" customWidth="1"/>
    <col min="13555" max="13806" width="13.33203125" style="316"/>
    <col min="13807" max="13807" width="2.83203125" style="316" customWidth="1"/>
    <col min="13808" max="13808" width="85" style="316" customWidth="1"/>
    <col min="13809" max="13809" width="13.5" style="316" customWidth="1"/>
    <col min="13810" max="13810" width="21.6640625" style="316" customWidth="1"/>
    <col min="13811" max="14062" width="13.33203125" style="316"/>
    <col min="14063" max="14063" width="2.83203125" style="316" customWidth="1"/>
    <col min="14064" max="14064" width="85" style="316" customWidth="1"/>
    <col min="14065" max="14065" width="13.5" style="316" customWidth="1"/>
    <col min="14066" max="14066" width="21.6640625" style="316" customWidth="1"/>
    <col min="14067" max="14318" width="13.33203125" style="316"/>
    <col min="14319" max="14319" width="2.83203125" style="316" customWidth="1"/>
    <col min="14320" max="14320" width="85" style="316" customWidth="1"/>
    <col min="14321" max="14321" width="13.5" style="316" customWidth="1"/>
    <col min="14322" max="14322" width="21.6640625" style="316" customWidth="1"/>
    <col min="14323" max="14574" width="13.33203125" style="316"/>
    <col min="14575" max="14575" width="2.83203125" style="316" customWidth="1"/>
    <col min="14576" max="14576" width="85" style="316" customWidth="1"/>
    <col min="14577" max="14577" width="13.5" style="316" customWidth="1"/>
    <col min="14578" max="14578" width="21.6640625" style="316" customWidth="1"/>
    <col min="14579" max="14830" width="13.33203125" style="316"/>
    <col min="14831" max="14831" width="2.83203125" style="316" customWidth="1"/>
    <col min="14832" max="14832" width="85" style="316" customWidth="1"/>
    <col min="14833" max="14833" width="13.5" style="316" customWidth="1"/>
    <col min="14834" max="14834" width="21.6640625" style="316" customWidth="1"/>
    <col min="14835" max="15086" width="13.33203125" style="316"/>
    <col min="15087" max="15087" width="2.83203125" style="316" customWidth="1"/>
    <col min="15088" max="15088" width="85" style="316" customWidth="1"/>
    <col min="15089" max="15089" width="13.5" style="316" customWidth="1"/>
    <col min="15090" max="15090" width="21.6640625" style="316" customWidth="1"/>
    <col min="15091" max="15342" width="13.33203125" style="316"/>
    <col min="15343" max="15343" width="2.83203125" style="316" customWidth="1"/>
    <col min="15344" max="15344" width="85" style="316" customWidth="1"/>
    <col min="15345" max="15345" width="13.5" style="316" customWidth="1"/>
    <col min="15346" max="15346" width="21.6640625" style="316" customWidth="1"/>
    <col min="15347" max="15598" width="13.33203125" style="316"/>
    <col min="15599" max="15599" width="2.83203125" style="316" customWidth="1"/>
    <col min="15600" max="15600" width="85" style="316" customWidth="1"/>
    <col min="15601" max="15601" width="13.5" style="316" customWidth="1"/>
    <col min="15602" max="15602" width="21.6640625" style="316" customWidth="1"/>
    <col min="15603" max="15854" width="13.33203125" style="316"/>
    <col min="15855" max="15855" width="2.83203125" style="316" customWidth="1"/>
    <col min="15856" max="15856" width="85" style="316" customWidth="1"/>
    <col min="15857" max="15857" width="13.5" style="316" customWidth="1"/>
    <col min="15858" max="15858" width="21.6640625" style="316" customWidth="1"/>
    <col min="15859" max="16110" width="13.33203125" style="316"/>
    <col min="16111" max="16111" width="2.83203125" style="316" customWidth="1"/>
    <col min="16112" max="16112" width="85" style="316" customWidth="1"/>
    <col min="16113" max="16113" width="13.5" style="316" customWidth="1"/>
    <col min="16114" max="16114" width="21.6640625" style="316" customWidth="1"/>
    <col min="16115" max="16384" width="13.33203125" style="316"/>
  </cols>
  <sheetData>
    <row r="1" spans="1:6" ht="20.100000000000001" customHeight="1">
      <c r="A1" s="1532"/>
      <c r="B1" s="1309" t="s">
        <v>0</v>
      </c>
      <c r="C1" s="1309"/>
      <c r="D1" s="1309"/>
      <c r="E1" s="1310"/>
      <c r="F1" s="366" t="s">
        <v>104</v>
      </c>
    </row>
    <row r="2" spans="1:6" ht="20.100000000000001" customHeight="1">
      <c r="A2" s="1534"/>
      <c r="B2" s="1080" t="s">
        <v>987</v>
      </c>
      <c r="C2" s="1080"/>
      <c r="D2" s="1080"/>
      <c r="E2" s="1081"/>
    </row>
    <row r="3" spans="1:6" ht="20.100000000000001" customHeight="1" thickBot="1">
      <c r="A3" s="1536"/>
      <c r="B3" s="1082" t="s">
        <v>2</v>
      </c>
      <c r="C3" s="1082"/>
      <c r="D3" s="1082" t="s">
        <v>3</v>
      </c>
      <c r="E3" s="1123"/>
    </row>
    <row r="4" spans="1:6" ht="22.5" customHeight="1" thickBot="1">
      <c r="A4" s="1576"/>
      <c r="B4" s="1576"/>
      <c r="C4" s="1576"/>
      <c r="D4" s="1576"/>
    </row>
    <row r="5" spans="1:6" ht="24" customHeight="1" thickBot="1">
      <c r="A5" s="272" t="s">
        <v>697</v>
      </c>
      <c r="B5" s="1464">
        <v>2020</v>
      </c>
      <c r="C5" s="1465"/>
      <c r="D5" s="1466"/>
    </row>
    <row r="6" spans="1:6" ht="24" customHeight="1" thickBot="1">
      <c r="A6" s="272" t="s">
        <v>698</v>
      </c>
      <c r="B6" s="1464" t="s">
        <v>988</v>
      </c>
      <c r="C6" s="1465"/>
      <c r="D6" s="1466"/>
    </row>
    <row r="8" spans="1:6" ht="30.75" customHeight="1">
      <c r="A8" s="1571" t="s">
        <v>989</v>
      </c>
      <c r="B8" s="1571"/>
      <c r="C8" s="1571"/>
      <c r="D8" s="1571"/>
    </row>
    <row r="9" spans="1:6" ht="20.100000000000001" customHeight="1" thickBot="1">
      <c r="A9" s="317"/>
      <c r="B9" s="317"/>
      <c r="C9" s="317"/>
      <c r="D9" s="317"/>
    </row>
    <row r="10" spans="1:6" ht="39" customHeight="1">
      <c r="A10" s="1579" t="s">
        <v>990</v>
      </c>
      <c r="B10" s="1580"/>
      <c r="C10" s="318" t="s">
        <v>991</v>
      </c>
      <c r="D10" s="319" t="s">
        <v>992</v>
      </c>
    </row>
    <row r="11" spans="1:6" ht="20.100000000000001" customHeight="1">
      <c r="A11" s="1574" t="s">
        <v>993</v>
      </c>
      <c r="B11" s="1575"/>
      <c r="C11" s="1572" t="s">
        <v>994</v>
      </c>
      <c r="D11" s="1573" t="s">
        <v>995</v>
      </c>
    </row>
    <row r="12" spans="1:6" ht="20.100000000000001" customHeight="1">
      <c r="A12" s="1574" t="s">
        <v>996</v>
      </c>
      <c r="B12" s="1575"/>
      <c r="C12" s="1572"/>
      <c r="D12" s="1573"/>
    </row>
    <row r="13" spans="1:6" ht="25.5" customHeight="1">
      <c r="A13" s="1574" t="s">
        <v>997</v>
      </c>
      <c r="B13" s="1575"/>
      <c r="C13" s="1572"/>
      <c r="D13" s="1573"/>
    </row>
    <row r="14" spans="1:6" ht="27.75" customHeight="1">
      <c r="A14" s="1574" t="s">
        <v>998</v>
      </c>
      <c r="B14" s="1575"/>
      <c r="C14" s="1572"/>
      <c r="D14" s="1573"/>
    </row>
    <row r="15" spans="1:6" ht="20.100000000000001" customHeight="1">
      <c r="A15" s="1574" t="s">
        <v>999</v>
      </c>
      <c r="B15" s="1575"/>
      <c r="C15" s="1572"/>
      <c r="D15" s="1573"/>
    </row>
    <row r="16" spans="1:6" ht="20.100000000000001" customHeight="1">
      <c r="A16" s="1574" t="s">
        <v>1000</v>
      </c>
      <c r="B16" s="1575"/>
      <c r="C16" s="1572"/>
      <c r="D16" s="1573"/>
    </row>
    <row r="17" spans="1:4" ht="20.100000000000001" customHeight="1">
      <c r="A17" s="1577" t="s">
        <v>1001</v>
      </c>
      <c r="B17" s="1578"/>
      <c r="C17" s="320" t="s">
        <v>991</v>
      </c>
      <c r="D17" s="321" t="s">
        <v>992</v>
      </c>
    </row>
    <row r="18" spans="1:4" ht="20.100000000000001" customHeight="1">
      <c r="A18" s="1574" t="s">
        <v>1002</v>
      </c>
      <c r="B18" s="1575"/>
      <c r="C18" s="1572" t="s">
        <v>1003</v>
      </c>
      <c r="D18" s="1573" t="s">
        <v>995</v>
      </c>
    </row>
    <row r="19" spans="1:4" ht="20.100000000000001" customHeight="1">
      <c r="A19" s="1574" t="s">
        <v>1004</v>
      </c>
      <c r="B19" s="1575"/>
      <c r="C19" s="1572"/>
      <c r="D19" s="1573"/>
    </row>
    <row r="20" spans="1:4" ht="20.100000000000001" customHeight="1">
      <c r="A20" s="1574" t="s">
        <v>1005</v>
      </c>
      <c r="B20" s="1575"/>
      <c r="C20" s="1572"/>
      <c r="D20" s="1573"/>
    </row>
    <row r="21" spans="1:4" ht="52.5" customHeight="1">
      <c r="A21" s="1574" t="s">
        <v>1006</v>
      </c>
      <c r="B21" s="1575"/>
      <c r="C21" s="1572"/>
      <c r="D21" s="1573"/>
    </row>
    <row r="22" spans="1:4" ht="20.100000000000001" customHeight="1">
      <c r="A22" s="1574" t="s">
        <v>1007</v>
      </c>
      <c r="B22" s="1575"/>
      <c r="C22" s="1572"/>
      <c r="D22" s="1573"/>
    </row>
    <row r="23" spans="1:4" ht="20.100000000000001" customHeight="1">
      <c r="A23" s="1574" t="s">
        <v>1008</v>
      </c>
      <c r="B23" s="1575"/>
      <c r="C23" s="1572"/>
      <c r="D23" s="1573"/>
    </row>
    <row r="24" spans="1:4" ht="20.100000000000001" customHeight="1">
      <c r="A24" s="1574" t="s">
        <v>1009</v>
      </c>
      <c r="B24" s="1575"/>
      <c r="C24" s="1572"/>
      <c r="D24" s="1573"/>
    </row>
    <row r="25" spans="1:4" ht="20.100000000000001" customHeight="1">
      <c r="A25" s="1574" t="s">
        <v>1010</v>
      </c>
      <c r="B25" s="1575"/>
      <c r="C25" s="1572"/>
      <c r="D25" s="1573"/>
    </row>
    <row r="26" spans="1:4" ht="30" customHeight="1">
      <c r="A26" s="1577" t="s">
        <v>1011</v>
      </c>
      <c r="B26" s="1578"/>
      <c r="C26" s="320" t="s">
        <v>991</v>
      </c>
      <c r="D26" s="321" t="s">
        <v>992</v>
      </c>
    </row>
    <row r="27" spans="1:4" ht="20.100000000000001" customHeight="1">
      <c r="A27" s="1574" t="s">
        <v>1012</v>
      </c>
      <c r="B27" s="1575"/>
      <c r="C27" s="1572" t="s">
        <v>1003</v>
      </c>
      <c r="D27" s="1573" t="s">
        <v>995</v>
      </c>
    </row>
    <row r="28" spans="1:4" ht="20.100000000000001" customHeight="1">
      <c r="A28" s="1574" t="s">
        <v>1013</v>
      </c>
      <c r="B28" s="1575"/>
      <c r="C28" s="1572"/>
      <c r="D28" s="1573"/>
    </row>
    <row r="29" spans="1:4" ht="27" customHeight="1">
      <c r="A29" s="1574" t="s">
        <v>1014</v>
      </c>
      <c r="B29" s="1575"/>
      <c r="C29" s="1572"/>
      <c r="D29" s="1573"/>
    </row>
    <row r="30" spans="1:4" ht="24.75" customHeight="1">
      <c r="A30" s="1574" t="s">
        <v>1015</v>
      </c>
      <c r="B30" s="1575"/>
      <c r="C30" s="1572"/>
      <c r="D30" s="1573"/>
    </row>
    <row r="31" spans="1:4" ht="26.25" customHeight="1">
      <c r="A31" s="1574" t="s">
        <v>1016</v>
      </c>
      <c r="B31" s="1575"/>
      <c r="C31" s="1572"/>
      <c r="D31" s="1573"/>
    </row>
    <row r="32" spans="1:4" ht="20.100000000000001" customHeight="1">
      <c r="A32" s="1574" t="s">
        <v>1017</v>
      </c>
      <c r="B32" s="1575"/>
      <c r="C32" s="1572"/>
      <c r="D32" s="1573"/>
    </row>
    <row r="33" spans="1:4" ht="24" customHeight="1">
      <c r="A33" s="1581" t="s">
        <v>1018</v>
      </c>
      <c r="B33" s="1582"/>
      <c r="C33" s="320" t="s">
        <v>991</v>
      </c>
      <c r="D33" s="321" t="s">
        <v>992</v>
      </c>
    </row>
    <row r="34" spans="1:4" ht="26.25" customHeight="1">
      <c r="A34" s="1569" t="s">
        <v>1019</v>
      </c>
      <c r="B34" s="1570"/>
      <c r="C34" s="1572" t="s">
        <v>1020</v>
      </c>
      <c r="D34" s="1573" t="s">
        <v>995</v>
      </c>
    </row>
    <row r="35" spans="1:4" ht="27" customHeight="1">
      <c r="A35" s="1569" t="s">
        <v>1021</v>
      </c>
      <c r="B35" s="1570"/>
      <c r="C35" s="1572"/>
      <c r="D35" s="1573"/>
    </row>
    <row r="36" spans="1:4" ht="20.100000000000001" customHeight="1">
      <c r="A36" s="1569" t="s">
        <v>1022</v>
      </c>
      <c r="B36" s="1570"/>
      <c r="C36" s="1572"/>
      <c r="D36" s="1573"/>
    </row>
    <row r="37" spans="1:4" ht="20.100000000000001" customHeight="1">
      <c r="A37" s="1569" t="s">
        <v>1023</v>
      </c>
      <c r="B37" s="1570"/>
      <c r="C37" s="1572"/>
      <c r="D37" s="1573"/>
    </row>
    <row r="38" spans="1:4" ht="29.25" customHeight="1">
      <c r="A38" s="1581" t="s">
        <v>1024</v>
      </c>
      <c r="B38" s="1582"/>
      <c r="C38" s="320" t="s">
        <v>991</v>
      </c>
      <c r="D38" s="1573"/>
    </row>
    <row r="39" spans="1:4" ht="20.100000000000001" customHeight="1">
      <c r="A39" s="1569" t="s">
        <v>1025</v>
      </c>
      <c r="B39" s="1570"/>
      <c r="C39" s="322">
        <v>2500</v>
      </c>
      <c r="D39" s="1573"/>
    </row>
    <row r="40" spans="1:4" ht="20.100000000000001" customHeight="1">
      <c r="A40" s="1581" t="s">
        <v>1026</v>
      </c>
      <c r="B40" s="1582"/>
      <c r="C40" s="320" t="s">
        <v>991</v>
      </c>
      <c r="D40" s="1573"/>
    </row>
    <row r="41" spans="1:4" ht="28.5" customHeight="1">
      <c r="A41" s="1569" t="s">
        <v>1027</v>
      </c>
      <c r="B41" s="1570"/>
      <c r="C41" s="323">
        <v>4500</v>
      </c>
      <c r="D41" s="1573"/>
    </row>
    <row r="42" spans="1:4" ht="26.25" customHeight="1">
      <c r="A42" s="1581" t="s">
        <v>1028</v>
      </c>
      <c r="B42" s="1582"/>
      <c r="C42" s="320" t="s">
        <v>991</v>
      </c>
      <c r="D42" s="1573"/>
    </row>
    <row r="43" spans="1:4" ht="26.25" customHeight="1">
      <c r="A43" s="1569" t="s">
        <v>1029</v>
      </c>
      <c r="B43" s="1570"/>
      <c r="C43" s="1583" t="s">
        <v>1030</v>
      </c>
      <c r="D43" s="1573"/>
    </row>
    <row r="44" spans="1:4" ht="78.75" customHeight="1">
      <c r="A44" s="1569" t="s">
        <v>1031</v>
      </c>
      <c r="B44" s="1570"/>
      <c r="C44" s="1583"/>
      <c r="D44" s="1573"/>
    </row>
    <row r="45" spans="1:4" ht="20.100000000000001" customHeight="1">
      <c r="A45" s="1592" t="s">
        <v>1032</v>
      </c>
      <c r="B45" s="1593"/>
      <c r="C45" s="1593"/>
      <c r="D45" s="1594"/>
    </row>
    <row r="46" spans="1:4" ht="20.100000000000001" customHeight="1">
      <c r="A46" s="1595" t="s">
        <v>1033</v>
      </c>
      <c r="B46" s="1596"/>
      <c r="C46" s="320" t="s">
        <v>991</v>
      </c>
      <c r="D46" s="321" t="s">
        <v>992</v>
      </c>
    </row>
    <row r="47" spans="1:4" ht="178.5" customHeight="1" thickBot="1">
      <c r="A47" s="1597" t="s">
        <v>1034</v>
      </c>
      <c r="B47" s="1598"/>
      <c r="C47" s="324">
        <v>40000</v>
      </c>
      <c r="D47" s="325" t="s">
        <v>1035</v>
      </c>
    </row>
    <row r="48" spans="1:4" ht="20.100000000000001" customHeight="1" thickBot="1">
      <c r="A48" s="326"/>
      <c r="B48" s="326"/>
    </row>
    <row r="49" spans="1:5" ht="20.100000000000001" customHeight="1">
      <c r="A49" s="1599" t="s">
        <v>1036</v>
      </c>
      <c r="B49" s="1600"/>
      <c r="C49" s="1600"/>
      <c r="D49" s="1600"/>
      <c r="E49" s="1601"/>
    </row>
    <row r="50" spans="1:5" ht="20.100000000000001" customHeight="1">
      <c r="A50" s="1588" t="s">
        <v>1037</v>
      </c>
      <c r="B50" s="1589"/>
      <c r="C50" s="571" t="s">
        <v>418</v>
      </c>
      <c r="D50" s="572">
        <v>1.61E-2</v>
      </c>
      <c r="E50" s="573">
        <v>5.62E-2</v>
      </c>
    </row>
    <row r="51" spans="1:5" ht="20.100000000000001" customHeight="1">
      <c r="A51" s="1590" t="s">
        <v>1038</v>
      </c>
      <c r="B51" s="1591"/>
      <c r="C51" s="571">
        <v>2020</v>
      </c>
      <c r="D51" s="571">
        <v>2021</v>
      </c>
      <c r="E51" s="574">
        <v>2022</v>
      </c>
    </row>
    <row r="52" spans="1:5" ht="20.100000000000001" customHeight="1">
      <c r="A52" s="1606" t="s">
        <v>391</v>
      </c>
      <c r="B52" s="1607"/>
      <c r="C52" s="327" t="s">
        <v>1039</v>
      </c>
      <c r="D52" s="327" t="s">
        <v>1039</v>
      </c>
      <c r="E52" s="328" t="s">
        <v>1039</v>
      </c>
    </row>
    <row r="53" spans="1:5" ht="20.100000000000001" customHeight="1">
      <c r="A53" s="1584" t="s">
        <v>1040</v>
      </c>
      <c r="B53" s="1585"/>
      <c r="C53" s="567">
        <v>10000</v>
      </c>
      <c r="D53" s="567">
        <f>ROUND((C53*$D$50)+C53,-2)</f>
        <v>10200</v>
      </c>
      <c r="E53" s="568">
        <f t="shared" ref="E53:E60" si="0">ROUND((D53*$E$50)+D53,-2)</f>
        <v>10800</v>
      </c>
    </row>
    <row r="54" spans="1:5" ht="20.100000000000001" customHeight="1">
      <c r="A54" s="1584" t="s">
        <v>1041</v>
      </c>
      <c r="B54" s="1585"/>
      <c r="C54" s="567">
        <v>12000</v>
      </c>
      <c r="D54" s="567">
        <f t="shared" ref="D54:D64" si="1">ROUND((C54*$D$50)+C54,-2)</f>
        <v>12200</v>
      </c>
      <c r="E54" s="568">
        <f t="shared" si="0"/>
        <v>12900</v>
      </c>
    </row>
    <row r="55" spans="1:5" ht="32.25" customHeight="1">
      <c r="A55" s="1586" t="s">
        <v>1042</v>
      </c>
      <c r="B55" s="1587"/>
      <c r="C55" s="567">
        <v>15000</v>
      </c>
      <c r="D55" s="567">
        <f t="shared" si="1"/>
        <v>15200</v>
      </c>
      <c r="E55" s="568">
        <f t="shared" si="0"/>
        <v>16100</v>
      </c>
    </row>
    <row r="56" spans="1:5" ht="32.25" customHeight="1">
      <c r="A56" s="1586" t="s">
        <v>1043</v>
      </c>
      <c r="B56" s="1587"/>
      <c r="C56" s="567">
        <v>18000</v>
      </c>
      <c r="D56" s="567">
        <f t="shared" si="1"/>
        <v>18300</v>
      </c>
      <c r="E56" s="568">
        <f t="shared" si="0"/>
        <v>19300</v>
      </c>
    </row>
    <row r="57" spans="1:5" ht="20.100000000000001" customHeight="1">
      <c r="A57" s="1584" t="s">
        <v>1044</v>
      </c>
      <c r="B57" s="1585"/>
      <c r="C57" s="567">
        <v>15000</v>
      </c>
      <c r="D57" s="567">
        <f t="shared" si="1"/>
        <v>15200</v>
      </c>
      <c r="E57" s="568">
        <f t="shared" si="0"/>
        <v>16100</v>
      </c>
    </row>
    <row r="58" spans="1:5" ht="20.100000000000001" customHeight="1">
      <c r="A58" s="1584" t="s">
        <v>1045</v>
      </c>
      <c r="B58" s="1585"/>
      <c r="C58" s="567">
        <v>18000</v>
      </c>
      <c r="D58" s="567">
        <f t="shared" si="1"/>
        <v>18300</v>
      </c>
      <c r="E58" s="568">
        <f t="shared" si="0"/>
        <v>19300</v>
      </c>
    </row>
    <row r="59" spans="1:5" ht="33.75" customHeight="1">
      <c r="A59" s="1586" t="s">
        <v>1018</v>
      </c>
      <c r="B59" s="1587"/>
      <c r="C59" s="567">
        <v>8000</v>
      </c>
      <c r="D59" s="567">
        <f t="shared" si="1"/>
        <v>8100</v>
      </c>
      <c r="E59" s="568">
        <f t="shared" si="0"/>
        <v>8600</v>
      </c>
    </row>
    <row r="60" spans="1:5" ht="32.25" customHeight="1">
      <c r="A60" s="1586" t="s">
        <v>1024</v>
      </c>
      <c r="B60" s="1587"/>
      <c r="C60" s="567">
        <v>2500</v>
      </c>
      <c r="D60" s="567">
        <f t="shared" si="1"/>
        <v>2500</v>
      </c>
      <c r="E60" s="568">
        <f t="shared" si="0"/>
        <v>2600</v>
      </c>
    </row>
    <row r="61" spans="1:5" ht="20.100000000000001" customHeight="1">
      <c r="A61" s="1584" t="s">
        <v>1026</v>
      </c>
      <c r="B61" s="1585"/>
      <c r="C61" s="567">
        <v>4500</v>
      </c>
      <c r="D61" s="567">
        <f t="shared" si="1"/>
        <v>4600</v>
      </c>
      <c r="E61" s="568">
        <f t="shared" ref="E61:E64" si="2">ROUND((D61*$E$50)+D61,-2)</f>
        <v>4900</v>
      </c>
    </row>
    <row r="62" spans="1:5" ht="33" customHeight="1">
      <c r="A62" s="1586" t="s">
        <v>1046</v>
      </c>
      <c r="B62" s="1587"/>
      <c r="C62" s="567">
        <v>5000</v>
      </c>
      <c r="D62" s="567">
        <f t="shared" si="1"/>
        <v>5100</v>
      </c>
      <c r="E62" s="568">
        <f t="shared" si="2"/>
        <v>5400</v>
      </c>
    </row>
    <row r="63" spans="1:5" ht="44.25" customHeight="1">
      <c r="A63" s="1586" t="s">
        <v>1047</v>
      </c>
      <c r="B63" s="1587"/>
      <c r="C63" s="567">
        <v>8000</v>
      </c>
      <c r="D63" s="567">
        <f t="shared" si="1"/>
        <v>8100</v>
      </c>
      <c r="E63" s="568">
        <f t="shared" si="2"/>
        <v>8600</v>
      </c>
    </row>
    <row r="64" spans="1:5" ht="20.100000000000001" customHeight="1" thickBot="1">
      <c r="A64" s="1604" t="s">
        <v>1048</v>
      </c>
      <c r="B64" s="1605"/>
      <c r="C64" s="569">
        <v>40000</v>
      </c>
      <c r="D64" s="569">
        <f t="shared" si="1"/>
        <v>40600</v>
      </c>
      <c r="E64" s="570">
        <f t="shared" si="2"/>
        <v>42900</v>
      </c>
    </row>
    <row r="65" spans="1:5" ht="20.100000000000001" customHeight="1" thickBot="1"/>
    <row r="66" spans="1:5" ht="61.5" customHeight="1" thickBot="1">
      <c r="A66" s="915" t="s">
        <v>1049</v>
      </c>
      <c r="B66" s="1602"/>
      <c r="C66" s="1602"/>
      <c r="D66" s="1602"/>
      <c r="E66" s="1603"/>
    </row>
  </sheetData>
  <sheetProtection algorithmName="SHA-512" hashValue="OcNdTD4BkC1ApdWqHeoQ0afgyM79VJwZWOUFm12IMfPv4U8YPrH2cG2Ctn6YA8jEFU9b72RfMlV7XNSlWac0vg==" saltValue="FCj45elV63nz5cbao3fx3g==" spinCount="100000" sheet="1" formatCells="0" formatColumns="0" formatRows="0" insertColumns="0" insertRows="0" insertHyperlinks="0" deleteColumns="0" deleteRows="0" sort="0" autoFilter="0" pivotTables="0"/>
  <mergeCells count="73">
    <mergeCell ref="A49:E49"/>
    <mergeCell ref="A66:E66"/>
    <mergeCell ref="B1:E1"/>
    <mergeCell ref="B2:E2"/>
    <mergeCell ref="D3:E3"/>
    <mergeCell ref="B3:C3"/>
    <mergeCell ref="A62:B62"/>
    <mergeCell ref="A63:B63"/>
    <mergeCell ref="A64:B64"/>
    <mergeCell ref="A57:B57"/>
    <mergeCell ref="A58:B58"/>
    <mergeCell ref="A59:B59"/>
    <mergeCell ref="A60:B60"/>
    <mergeCell ref="A61:B61"/>
    <mergeCell ref="A52:B52"/>
    <mergeCell ref="A53:B53"/>
    <mergeCell ref="A54:B54"/>
    <mergeCell ref="A55:B55"/>
    <mergeCell ref="A56:B56"/>
    <mergeCell ref="A15:B15"/>
    <mergeCell ref="A16:B16"/>
    <mergeCell ref="A26:B26"/>
    <mergeCell ref="A27:B27"/>
    <mergeCell ref="A28:B28"/>
    <mergeCell ref="A50:B50"/>
    <mergeCell ref="A51:B51"/>
    <mergeCell ref="A45:D45"/>
    <mergeCell ref="A40:B40"/>
    <mergeCell ref="A46:B46"/>
    <mergeCell ref="A47:B47"/>
    <mergeCell ref="A41:B41"/>
    <mergeCell ref="A42:B42"/>
    <mergeCell ref="C27:C32"/>
    <mergeCell ref="D27:D32"/>
    <mergeCell ref="C34:C37"/>
    <mergeCell ref="D34:D44"/>
    <mergeCell ref="A29:B29"/>
    <mergeCell ref="A30:B30"/>
    <mergeCell ref="A31:B31"/>
    <mergeCell ref="A32:B32"/>
    <mergeCell ref="A33:B33"/>
    <mergeCell ref="A34:B34"/>
    <mergeCell ref="A35:B35"/>
    <mergeCell ref="A36:B36"/>
    <mergeCell ref="A37:B37"/>
    <mergeCell ref="A38:B38"/>
    <mergeCell ref="A39:B39"/>
    <mergeCell ref="C43:C44"/>
    <mergeCell ref="D18:D25"/>
    <mergeCell ref="A22:B22"/>
    <mergeCell ref="A18:B18"/>
    <mergeCell ref="A19:B19"/>
    <mergeCell ref="A20:B20"/>
    <mergeCell ref="A21:B21"/>
    <mergeCell ref="A23:B23"/>
    <mergeCell ref="A24:B24"/>
    <mergeCell ref="A25:B25"/>
    <mergeCell ref="A43:B43"/>
    <mergeCell ref="A44:B44"/>
    <mergeCell ref="A1:A3"/>
    <mergeCell ref="A8:D8"/>
    <mergeCell ref="C11:C16"/>
    <mergeCell ref="D11:D16"/>
    <mergeCell ref="B5:D5"/>
    <mergeCell ref="B6:D6"/>
    <mergeCell ref="A14:B14"/>
    <mergeCell ref="A4:D4"/>
    <mergeCell ref="A17:B17"/>
    <mergeCell ref="A10:B10"/>
    <mergeCell ref="A11:B11"/>
    <mergeCell ref="A12:B12"/>
    <mergeCell ref="A13:B13"/>
    <mergeCell ref="C18:C25"/>
  </mergeCells>
  <hyperlinks>
    <hyperlink ref="F1" location="ins" display="Instructivo" xr:uid="{00000000-0004-0000-1A00-000000000000}"/>
  </hyperlinks>
  <printOptions horizontalCentered="1"/>
  <pageMargins left="0" right="0" top="0" bottom="0" header="0" footer="0"/>
  <pageSetup fitToHeight="0" orientation="landscape" r:id="rId1"/>
  <drawing r:id="rId2"/>
  <legacy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4">
    <tabColor theme="7" tint="0.39997558519241921"/>
    <pageSetUpPr fitToPage="1"/>
  </sheetPr>
  <dimension ref="A1:H16"/>
  <sheetViews>
    <sheetView showGridLines="0" zoomScaleNormal="100" workbookViewId="0">
      <selection activeCell="D19" sqref="D19"/>
    </sheetView>
  </sheetViews>
  <sheetFormatPr defaultColWidth="12" defaultRowHeight="20.100000000000001" customHeight="1"/>
  <cols>
    <col min="1" max="1" width="37.5" style="74" customWidth="1"/>
    <col min="2" max="2" width="35.5" style="74" customWidth="1"/>
    <col min="3" max="3" width="21" style="74" customWidth="1"/>
    <col min="4" max="246" width="12" style="74"/>
    <col min="247" max="247" width="36.33203125" style="74" customWidth="1"/>
    <col min="248" max="248" width="22.33203125" style="74" customWidth="1"/>
    <col min="249" max="249" width="12" style="74"/>
    <col min="250" max="250" width="14.33203125" style="74" customWidth="1"/>
    <col min="251" max="502" width="12" style="74"/>
    <col min="503" max="503" width="36.33203125" style="74" customWidth="1"/>
    <col min="504" max="504" width="22.33203125" style="74" customWidth="1"/>
    <col min="505" max="505" width="12" style="74"/>
    <col min="506" max="506" width="14.33203125" style="74" customWidth="1"/>
    <col min="507" max="758" width="12" style="74"/>
    <col min="759" max="759" width="36.33203125" style="74" customWidth="1"/>
    <col min="760" max="760" width="22.33203125" style="74" customWidth="1"/>
    <col min="761" max="761" width="12" style="74"/>
    <col min="762" max="762" width="14.33203125" style="74" customWidth="1"/>
    <col min="763" max="1014" width="12" style="74"/>
    <col min="1015" max="1015" width="36.33203125" style="74" customWidth="1"/>
    <col min="1016" max="1016" width="22.33203125" style="74" customWidth="1"/>
    <col min="1017" max="1017" width="12" style="74"/>
    <col min="1018" max="1018" width="14.33203125" style="74" customWidth="1"/>
    <col min="1019" max="1270" width="12" style="74"/>
    <col min="1271" max="1271" width="36.33203125" style="74" customWidth="1"/>
    <col min="1272" max="1272" width="22.33203125" style="74" customWidth="1"/>
    <col min="1273" max="1273" width="12" style="74"/>
    <col min="1274" max="1274" width="14.33203125" style="74" customWidth="1"/>
    <col min="1275" max="1526" width="12" style="74"/>
    <col min="1527" max="1527" width="36.33203125" style="74" customWidth="1"/>
    <col min="1528" max="1528" width="22.33203125" style="74" customWidth="1"/>
    <col min="1529" max="1529" width="12" style="74"/>
    <col min="1530" max="1530" width="14.33203125" style="74" customWidth="1"/>
    <col min="1531" max="1782" width="12" style="74"/>
    <col min="1783" max="1783" width="36.33203125" style="74" customWidth="1"/>
    <col min="1784" max="1784" width="22.33203125" style="74" customWidth="1"/>
    <col min="1785" max="1785" width="12" style="74"/>
    <col min="1786" max="1786" width="14.33203125" style="74" customWidth="1"/>
    <col min="1787" max="2038" width="12" style="74"/>
    <col min="2039" max="2039" width="36.33203125" style="74" customWidth="1"/>
    <col min="2040" max="2040" width="22.33203125" style="74" customWidth="1"/>
    <col min="2041" max="2041" width="12" style="74"/>
    <col min="2042" max="2042" width="14.33203125" style="74" customWidth="1"/>
    <col min="2043" max="2294" width="12" style="74"/>
    <col min="2295" max="2295" width="36.33203125" style="74" customWidth="1"/>
    <col min="2296" max="2296" width="22.33203125" style="74" customWidth="1"/>
    <col min="2297" max="2297" width="12" style="74"/>
    <col min="2298" max="2298" width="14.33203125" style="74" customWidth="1"/>
    <col min="2299" max="2550" width="12" style="74"/>
    <col min="2551" max="2551" width="36.33203125" style="74" customWidth="1"/>
    <col min="2552" max="2552" width="22.33203125" style="74" customWidth="1"/>
    <col min="2553" max="2553" width="12" style="74"/>
    <col min="2554" max="2554" width="14.33203125" style="74" customWidth="1"/>
    <col min="2555" max="2806" width="12" style="74"/>
    <col min="2807" max="2807" width="36.33203125" style="74" customWidth="1"/>
    <col min="2808" max="2808" width="22.33203125" style="74" customWidth="1"/>
    <col min="2809" max="2809" width="12" style="74"/>
    <col min="2810" max="2810" width="14.33203125" style="74" customWidth="1"/>
    <col min="2811" max="3062" width="12" style="74"/>
    <col min="3063" max="3063" width="36.33203125" style="74" customWidth="1"/>
    <col min="3064" max="3064" width="22.33203125" style="74" customWidth="1"/>
    <col min="3065" max="3065" width="12" style="74"/>
    <col min="3066" max="3066" width="14.33203125" style="74" customWidth="1"/>
    <col min="3067" max="3318" width="12" style="74"/>
    <col min="3319" max="3319" width="36.33203125" style="74" customWidth="1"/>
    <col min="3320" max="3320" width="22.33203125" style="74" customWidth="1"/>
    <col min="3321" max="3321" width="12" style="74"/>
    <col min="3322" max="3322" width="14.33203125" style="74" customWidth="1"/>
    <col min="3323" max="3574" width="12" style="74"/>
    <col min="3575" max="3575" width="36.33203125" style="74" customWidth="1"/>
    <col min="3576" max="3576" width="22.33203125" style="74" customWidth="1"/>
    <col min="3577" max="3577" width="12" style="74"/>
    <col min="3578" max="3578" width="14.33203125" style="74" customWidth="1"/>
    <col min="3579" max="3830" width="12" style="74"/>
    <col min="3831" max="3831" width="36.33203125" style="74" customWidth="1"/>
    <col min="3832" max="3832" width="22.33203125" style="74" customWidth="1"/>
    <col min="3833" max="3833" width="12" style="74"/>
    <col min="3834" max="3834" width="14.33203125" style="74" customWidth="1"/>
    <col min="3835" max="4086" width="12" style="74"/>
    <col min="4087" max="4087" width="36.33203125" style="74" customWidth="1"/>
    <col min="4088" max="4088" width="22.33203125" style="74" customWidth="1"/>
    <col min="4089" max="4089" width="12" style="74"/>
    <col min="4090" max="4090" width="14.33203125" style="74" customWidth="1"/>
    <col min="4091" max="4342" width="12" style="74"/>
    <col min="4343" max="4343" width="36.33203125" style="74" customWidth="1"/>
    <col min="4344" max="4344" width="22.33203125" style="74" customWidth="1"/>
    <col min="4345" max="4345" width="12" style="74"/>
    <col min="4346" max="4346" width="14.33203125" style="74" customWidth="1"/>
    <col min="4347" max="4598" width="12" style="74"/>
    <col min="4599" max="4599" width="36.33203125" style="74" customWidth="1"/>
    <col min="4600" max="4600" width="22.33203125" style="74" customWidth="1"/>
    <col min="4601" max="4601" width="12" style="74"/>
    <col min="4602" max="4602" width="14.33203125" style="74" customWidth="1"/>
    <col min="4603" max="4854" width="12" style="74"/>
    <col min="4855" max="4855" width="36.33203125" style="74" customWidth="1"/>
    <col min="4856" max="4856" width="22.33203125" style="74" customWidth="1"/>
    <col min="4857" max="4857" width="12" style="74"/>
    <col min="4858" max="4858" width="14.33203125" style="74" customWidth="1"/>
    <col min="4859" max="5110" width="12" style="74"/>
    <col min="5111" max="5111" width="36.33203125" style="74" customWidth="1"/>
    <col min="5112" max="5112" width="22.33203125" style="74" customWidth="1"/>
    <col min="5113" max="5113" width="12" style="74"/>
    <col min="5114" max="5114" width="14.33203125" style="74" customWidth="1"/>
    <col min="5115" max="5366" width="12" style="74"/>
    <col min="5367" max="5367" width="36.33203125" style="74" customWidth="1"/>
    <col min="5368" max="5368" width="22.33203125" style="74" customWidth="1"/>
    <col min="5369" max="5369" width="12" style="74"/>
    <col min="5370" max="5370" width="14.33203125" style="74" customWidth="1"/>
    <col min="5371" max="5622" width="12" style="74"/>
    <col min="5623" max="5623" width="36.33203125" style="74" customWidth="1"/>
    <col min="5624" max="5624" width="22.33203125" style="74" customWidth="1"/>
    <col min="5625" max="5625" width="12" style="74"/>
    <col min="5626" max="5626" width="14.33203125" style="74" customWidth="1"/>
    <col min="5627" max="5878" width="12" style="74"/>
    <col min="5879" max="5879" width="36.33203125" style="74" customWidth="1"/>
    <col min="5880" max="5880" width="22.33203125" style="74" customWidth="1"/>
    <col min="5881" max="5881" width="12" style="74"/>
    <col min="5882" max="5882" width="14.33203125" style="74" customWidth="1"/>
    <col min="5883" max="6134" width="12" style="74"/>
    <col min="6135" max="6135" width="36.33203125" style="74" customWidth="1"/>
    <col min="6136" max="6136" width="22.33203125" style="74" customWidth="1"/>
    <col min="6137" max="6137" width="12" style="74"/>
    <col min="6138" max="6138" width="14.33203125" style="74" customWidth="1"/>
    <col min="6139" max="6390" width="12" style="74"/>
    <col min="6391" max="6391" width="36.33203125" style="74" customWidth="1"/>
    <col min="6392" max="6392" width="22.33203125" style="74" customWidth="1"/>
    <col min="6393" max="6393" width="12" style="74"/>
    <col min="6394" max="6394" width="14.33203125" style="74" customWidth="1"/>
    <col min="6395" max="6646" width="12" style="74"/>
    <col min="6647" max="6647" width="36.33203125" style="74" customWidth="1"/>
    <col min="6648" max="6648" width="22.33203125" style="74" customWidth="1"/>
    <col min="6649" max="6649" width="12" style="74"/>
    <col min="6650" max="6650" width="14.33203125" style="74" customWidth="1"/>
    <col min="6651" max="6902" width="12" style="74"/>
    <col min="6903" max="6903" width="36.33203125" style="74" customWidth="1"/>
    <col min="6904" max="6904" width="22.33203125" style="74" customWidth="1"/>
    <col min="6905" max="6905" width="12" style="74"/>
    <col min="6906" max="6906" width="14.33203125" style="74" customWidth="1"/>
    <col min="6907" max="7158" width="12" style="74"/>
    <col min="7159" max="7159" width="36.33203125" style="74" customWidth="1"/>
    <col min="7160" max="7160" width="22.33203125" style="74" customWidth="1"/>
    <col min="7161" max="7161" width="12" style="74"/>
    <col min="7162" max="7162" width="14.33203125" style="74" customWidth="1"/>
    <col min="7163" max="7414" width="12" style="74"/>
    <col min="7415" max="7415" width="36.33203125" style="74" customWidth="1"/>
    <col min="7416" max="7416" width="22.33203125" style="74" customWidth="1"/>
    <col min="7417" max="7417" width="12" style="74"/>
    <col min="7418" max="7418" width="14.33203125" style="74" customWidth="1"/>
    <col min="7419" max="7670" width="12" style="74"/>
    <col min="7671" max="7671" width="36.33203125" style="74" customWidth="1"/>
    <col min="7672" max="7672" width="22.33203125" style="74" customWidth="1"/>
    <col min="7673" max="7673" width="12" style="74"/>
    <col min="7674" max="7674" width="14.33203125" style="74" customWidth="1"/>
    <col min="7675" max="7926" width="12" style="74"/>
    <col min="7927" max="7927" width="36.33203125" style="74" customWidth="1"/>
    <col min="7928" max="7928" width="22.33203125" style="74" customWidth="1"/>
    <col min="7929" max="7929" width="12" style="74"/>
    <col min="7930" max="7930" width="14.33203125" style="74" customWidth="1"/>
    <col min="7931" max="8182" width="12" style="74"/>
    <col min="8183" max="8183" width="36.33203125" style="74" customWidth="1"/>
    <col min="8184" max="8184" width="22.33203125" style="74" customWidth="1"/>
    <col min="8185" max="8185" width="12" style="74"/>
    <col min="8186" max="8186" width="14.33203125" style="74" customWidth="1"/>
    <col min="8187" max="8438" width="12" style="74"/>
    <col min="8439" max="8439" width="36.33203125" style="74" customWidth="1"/>
    <col min="8440" max="8440" width="22.33203125" style="74" customWidth="1"/>
    <col min="8441" max="8441" width="12" style="74"/>
    <col min="8442" max="8442" width="14.33203125" style="74" customWidth="1"/>
    <col min="8443" max="8694" width="12" style="74"/>
    <col min="8695" max="8695" width="36.33203125" style="74" customWidth="1"/>
    <col min="8696" max="8696" width="22.33203125" style="74" customWidth="1"/>
    <col min="8697" max="8697" width="12" style="74"/>
    <col min="8698" max="8698" width="14.33203125" style="74" customWidth="1"/>
    <col min="8699" max="8950" width="12" style="74"/>
    <col min="8951" max="8951" width="36.33203125" style="74" customWidth="1"/>
    <col min="8952" max="8952" width="22.33203125" style="74" customWidth="1"/>
    <col min="8953" max="8953" width="12" style="74"/>
    <col min="8954" max="8954" width="14.33203125" style="74" customWidth="1"/>
    <col min="8955" max="9206" width="12" style="74"/>
    <col min="9207" max="9207" width="36.33203125" style="74" customWidth="1"/>
    <col min="9208" max="9208" width="22.33203125" style="74" customWidth="1"/>
    <col min="9209" max="9209" width="12" style="74"/>
    <col min="9210" max="9210" width="14.33203125" style="74" customWidth="1"/>
    <col min="9211" max="9462" width="12" style="74"/>
    <col min="9463" max="9463" width="36.33203125" style="74" customWidth="1"/>
    <col min="9464" max="9464" width="22.33203125" style="74" customWidth="1"/>
    <col min="9465" max="9465" width="12" style="74"/>
    <col min="9466" max="9466" width="14.33203125" style="74" customWidth="1"/>
    <col min="9467" max="9718" width="12" style="74"/>
    <col min="9719" max="9719" width="36.33203125" style="74" customWidth="1"/>
    <col min="9720" max="9720" width="22.33203125" style="74" customWidth="1"/>
    <col min="9721" max="9721" width="12" style="74"/>
    <col min="9722" max="9722" width="14.33203125" style="74" customWidth="1"/>
    <col min="9723" max="9974" width="12" style="74"/>
    <col min="9975" max="9975" width="36.33203125" style="74" customWidth="1"/>
    <col min="9976" max="9976" width="22.33203125" style="74" customWidth="1"/>
    <col min="9977" max="9977" width="12" style="74"/>
    <col min="9978" max="9978" width="14.33203125" style="74" customWidth="1"/>
    <col min="9979" max="10230" width="12" style="74"/>
    <col min="10231" max="10231" width="36.33203125" style="74" customWidth="1"/>
    <col min="10232" max="10232" width="22.33203125" style="74" customWidth="1"/>
    <col min="10233" max="10233" width="12" style="74"/>
    <col min="10234" max="10234" width="14.33203125" style="74" customWidth="1"/>
    <col min="10235" max="10486" width="12" style="74"/>
    <col min="10487" max="10487" width="36.33203125" style="74" customWidth="1"/>
    <col min="10488" max="10488" width="22.33203125" style="74" customWidth="1"/>
    <col min="10489" max="10489" width="12" style="74"/>
    <col min="10490" max="10490" width="14.33203125" style="74" customWidth="1"/>
    <col min="10491" max="10742" width="12" style="74"/>
    <col min="10743" max="10743" width="36.33203125" style="74" customWidth="1"/>
    <col min="10744" max="10744" width="22.33203125" style="74" customWidth="1"/>
    <col min="10745" max="10745" width="12" style="74"/>
    <col min="10746" max="10746" width="14.33203125" style="74" customWidth="1"/>
    <col min="10747" max="10998" width="12" style="74"/>
    <col min="10999" max="10999" width="36.33203125" style="74" customWidth="1"/>
    <col min="11000" max="11000" width="22.33203125" style="74" customWidth="1"/>
    <col min="11001" max="11001" width="12" style="74"/>
    <col min="11002" max="11002" width="14.33203125" style="74" customWidth="1"/>
    <col min="11003" max="11254" width="12" style="74"/>
    <col min="11255" max="11255" width="36.33203125" style="74" customWidth="1"/>
    <col min="11256" max="11256" width="22.33203125" style="74" customWidth="1"/>
    <col min="11257" max="11257" width="12" style="74"/>
    <col min="11258" max="11258" width="14.33203125" style="74" customWidth="1"/>
    <col min="11259" max="11510" width="12" style="74"/>
    <col min="11511" max="11511" width="36.33203125" style="74" customWidth="1"/>
    <col min="11512" max="11512" width="22.33203125" style="74" customWidth="1"/>
    <col min="11513" max="11513" width="12" style="74"/>
    <col min="11514" max="11514" width="14.33203125" style="74" customWidth="1"/>
    <col min="11515" max="11766" width="12" style="74"/>
    <col min="11767" max="11767" width="36.33203125" style="74" customWidth="1"/>
    <col min="11768" max="11768" width="22.33203125" style="74" customWidth="1"/>
    <col min="11769" max="11769" width="12" style="74"/>
    <col min="11770" max="11770" width="14.33203125" style="74" customWidth="1"/>
    <col min="11771" max="12022" width="12" style="74"/>
    <col min="12023" max="12023" width="36.33203125" style="74" customWidth="1"/>
    <col min="12024" max="12024" width="22.33203125" style="74" customWidth="1"/>
    <col min="12025" max="12025" width="12" style="74"/>
    <col min="12026" max="12026" width="14.33203125" style="74" customWidth="1"/>
    <col min="12027" max="12278" width="12" style="74"/>
    <col min="12279" max="12279" width="36.33203125" style="74" customWidth="1"/>
    <col min="12280" max="12280" width="22.33203125" style="74" customWidth="1"/>
    <col min="12281" max="12281" width="12" style="74"/>
    <col min="12282" max="12282" width="14.33203125" style="74" customWidth="1"/>
    <col min="12283" max="12534" width="12" style="74"/>
    <col min="12535" max="12535" width="36.33203125" style="74" customWidth="1"/>
    <col min="12536" max="12536" width="22.33203125" style="74" customWidth="1"/>
    <col min="12537" max="12537" width="12" style="74"/>
    <col min="12538" max="12538" width="14.33203125" style="74" customWidth="1"/>
    <col min="12539" max="12790" width="12" style="74"/>
    <col min="12791" max="12791" width="36.33203125" style="74" customWidth="1"/>
    <col min="12792" max="12792" width="22.33203125" style="74" customWidth="1"/>
    <col min="12793" max="12793" width="12" style="74"/>
    <col min="12794" max="12794" width="14.33203125" style="74" customWidth="1"/>
    <col min="12795" max="13046" width="12" style="74"/>
    <col min="13047" max="13047" width="36.33203125" style="74" customWidth="1"/>
    <col min="13048" max="13048" width="22.33203125" style="74" customWidth="1"/>
    <col min="13049" max="13049" width="12" style="74"/>
    <col min="13050" max="13050" width="14.33203125" style="74" customWidth="1"/>
    <col min="13051" max="13302" width="12" style="74"/>
    <col min="13303" max="13303" width="36.33203125" style="74" customWidth="1"/>
    <col min="13304" max="13304" width="22.33203125" style="74" customWidth="1"/>
    <col min="13305" max="13305" width="12" style="74"/>
    <col min="13306" max="13306" width="14.33203125" style="74" customWidth="1"/>
    <col min="13307" max="13558" width="12" style="74"/>
    <col min="13559" max="13559" width="36.33203125" style="74" customWidth="1"/>
    <col min="13560" max="13560" width="22.33203125" style="74" customWidth="1"/>
    <col min="13561" max="13561" width="12" style="74"/>
    <col min="13562" max="13562" width="14.33203125" style="74" customWidth="1"/>
    <col min="13563" max="13814" width="12" style="74"/>
    <col min="13815" max="13815" width="36.33203125" style="74" customWidth="1"/>
    <col min="13816" max="13816" width="22.33203125" style="74" customWidth="1"/>
    <col min="13817" max="13817" width="12" style="74"/>
    <col min="13818" max="13818" width="14.33203125" style="74" customWidth="1"/>
    <col min="13819" max="14070" width="12" style="74"/>
    <col min="14071" max="14071" width="36.33203125" style="74" customWidth="1"/>
    <col min="14072" max="14072" width="22.33203125" style="74" customWidth="1"/>
    <col min="14073" max="14073" width="12" style="74"/>
    <col min="14074" max="14074" width="14.33203125" style="74" customWidth="1"/>
    <col min="14075" max="14326" width="12" style="74"/>
    <col min="14327" max="14327" width="36.33203125" style="74" customWidth="1"/>
    <col min="14328" max="14328" width="22.33203125" style="74" customWidth="1"/>
    <col min="14329" max="14329" width="12" style="74"/>
    <col min="14330" max="14330" width="14.33203125" style="74" customWidth="1"/>
    <col min="14331" max="14582" width="12" style="74"/>
    <col min="14583" max="14583" width="36.33203125" style="74" customWidth="1"/>
    <col min="14584" max="14584" width="22.33203125" style="74" customWidth="1"/>
    <col min="14585" max="14585" width="12" style="74"/>
    <col min="14586" max="14586" width="14.33203125" style="74" customWidth="1"/>
    <col min="14587" max="14838" width="12" style="74"/>
    <col min="14839" max="14839" width="36.33203125" style="74" customWidth="1"/>
    <col min="14840" max="14840" width="22.33203125" style="74" customWidth="1"/>
    <col min="14841" max="14841" width="12" style="74"/>
    <col min="14842" max="14842" width="14.33203125" style="74" customWidth="1"/>
    <col min="14843" max="15094" width="12" style="74"/>
    <col min="15095" max="15095" width="36.33203125" style="74" customWidth="1"/>
    <col min="15096" max="15096" width="22.33203125" style="74" customWidth="1"/>
    <col min="15097" max="15097" width="12" style="74"/>
    <col min="15098" max="15098" width="14.33203125" style="74" customWidth="1"/>
    <col min="15099" max="15350" width="12" style="74"/>
    <col min="15351" max="15351" width="36.33203125" style="74" customWidth="1"/>
    <col min="15352" max="15352" width="22.33203125" style="74" customWidth="1"/>
    <col min="15353" max="15353" width="12" style="74"/>
    <col min="15354" max="15354" width="14.33203125" style="74" customWidth="1"/>
    <col min="15355" max="15606" width="12" style="74"/>
    <col min="15607" max="15607" width="36.33203125" style="74" customWidth="1"/>
    <col min="15608" max="15608" width="22.33203125" style="74" customWidth="1"/>
    <col min="15609" max="15609" width="12" style="74"/>
    <col min="15610" max="15610" width="14.33203125" style="74" customWidth="1"/>
    <col min="15611" max="15862" width="12" style="74"/>
    <col min="15863" max="15863" width="36.33203125" style="74" customWidth="1"/>
    <col min="15864" max="15864" width="22.33203125" style="74" customWidth="1"/>
    <col min="15865" max="15865" width="12" style="74"/>
    <col min="15866" max="15866" width="14.33203125" style="74" customWidth="1"/>
    <col min="15867" max="16118" width="12" style="74"/>
    <col min="16119" max="16119" width="36.33203125" style="74" customWidth="1"/>
    <col min="16120" max="16120" width="22.33203125" style="74" customWidth="1"/>
    <col min="16121" max="16121" width="12" style="74"/>
    <col min="16122" max="16122" width="14.33203125" style="74" customWidth="1"/>
    <col min="16123" max="16384" width="12" style="74"/>
  </cols>
  <sheetData>
    <row r="1" spans="1:8" ht="20.100000000000001" customHeight="1">
      <c r="A1" s="1188"/>
      <c r="B1" s="1309" t="s">
        <v>0</v>
      </c>
      <c r="C1" s="1310"/>
      <c r="D1" s="366" t="s">
        <v>104</v>
      </c>
      <c r="E1" s="65"/>
    </row>
    <row r="2" spans="1:8" ht="20.100000000000001" customHeight="1">
      <c r="A2" s="1190"/>
      <c r="B2" s="1080" t="s">
        <v>1050</v>
      </c>
      <c r="C2" s="1081"/>
    </row>
    <row r="3" spans="1:8" ht="20.100000000000001" customHeight="1" thickBot="1">
      <c r="A3" s="1192"/>
      <c r="B3" s="819" t="s">
        <v>2</v>
      </c>
      <c r="C3" s="818" t="s">
        <v>3</v>
      </c>
    </row>
    <row r="4" spans="1:8" ht="20.100000000000001" customHeight="1" thickBot="1">
      <c r="A4" s="271"/>
      <c r="B4" s="271"/>
      <c r="C4" s="271"/>
    </row>
    <row r="5" spans="1:8" ht="20.100000000000001" customHeight="1" thickBot="1">
      <c r="A5" s="272" t="s">
        <v>697</v>
      </c>
      <c r="B5" s="1464">
        <v>2022</v>
      </c>
      <c r="C5" s="1466"/>
    </row>
    <row r="6" spans="1:8" ht="25.9" customHeight="1" thickBot="1">
      <c r="A6" s="329" t="s">
        <v>1051</v>
      </c>
      <c r="B6" s="1464" t="s">
        <v>1052</v>
      </c>
      <c r="C6" s="1466"/>
      <c r="E6" s="330"/>
      <c r="F6" s="330"/>
      <c r="G6" s="330"/>
      <c r="H6" s="330"/>
    </row>
    <row r="7" spans="1:8" ht="25.9" customHeight="1" thickBot="1">
      <c r="A7" s="331"/>
      <c r="B7" s="332"/>
      <c r="C7" s="332"/>
      <c r="E7" s="330"/>
      <c r="F7" s="330"/>
      <c r="G7" s="330"/>
      <c r="H7" s="330"/>
    </row>
    <row r="8" spans="1:8" ht="29.25" customHeight="1">
      <c r="A8" s="1613" t="s">
        <v>816</v>
      </c>
      <c r="B8" s="1614"/>
      <c r="C8" s="293" t="s">
        <v>1053</v>
      </c>
    </row>
    <row r="9" spans="1:8" ht="20.100000000000001" customHeight="1">
      <c r="A9" s="1615" t="s">
        <v>1054</v>
      </c>
      <c r="B9" s="1616"/>
      <c r="C9" s="632">
        <v>59000</v>
      </c>
    </row>
    <row r="10" spans="1:8" ht="20.100000000000001" customHeight="1">
      <c r="A10" s="1615" t="s">
        <v>1055</v>
      </c>
      <c r="B10" s="1616"/>
      <c r="C10" s="632">
        <v>30000</v>
      </c>
    </row>
    <row r="11" spans="1:8" ht="20.100000000000001" customHeight="1">
      <c r="A11" s="1615" t="s">
        <v>1056</v>
      </c>
      <c r="B11" s="1616"/>
      <c r="C11" s="632">
        <v>51999</v>
      </c>
    </row>
    <row r="12" spans="1:8" ht="20.100000000000001" customHeight="1">
      <c r="A12" s="1615" t="s">
        <v>1057</v>
      </c>
      <c r="B12" s="1616"/>
      <c r="C12" s="632">
        <v>47000</v>
      </c>
    </row>
    <row r="13" spans="1:8" ht="20.100000000000001" customHeight="1">
      <c r="A13" s="1615" t="s">
        <v>1058</v>
      </c>
      <c r="B13" s="1616"/>
      <c r="C13" s="632">
        <v>94000</v>
      </c>
    </row>
    <row r="14" spans="1:8" ht="20.100000000000001" customHeight="1" thickBot="1">
      <c r="A14" s="1611" t="s">
        <v>1059</v>
      </c>
      <c r="B14" s="1612"/>
      <c r="C14" s="633">
        <v>78000</v>
      </c>
    </row>
    <row r="15" spans="1:8" ht="20.100000000000001" customHeight="1" thickBot="1">
      <c r="A15" s="286"/>
      <c r="B15" s="286"/>
      <c r="C15" s="286"/>
    </row>
    <row r="16" spans="1:8" ht="54" customHeight="1" thickBot="1">
      <c r="A16" s="1608" t="s">
        <v>1060</v>
      </c>
      <c r="B16" s="1609"/>
      <c r="C16" s="1610"/>
    </row>
  </sheetData>
  <sheetProtection algorithmName="SHA-512" hashValue="IkRg4cH81eY5yW26T23Qx/40nltTNKoifDFcpwQkh5PRFFa7xDXGXmiv3lOnJ/QTgUfxFzmicUDqj1Tt0LojDw==" saltValue="bNB0OcDHWsoN5uPBy1unvQ==" spinCount="100000" sheet="1" formatCells="0" formatColumns="0" formatRows="0" insertColumns="0" insertRows="0" insertHyperlinks="0" deleteColumns="0" deleteRows="0" sort="0" autoFilter="0" pivotTables="0"/>
  <mergeCells count="13">
    <mergeCell ref="A16:C16"/>
    <mergeCell ref="A14:B14"/>
    <mergeCell ref="A1:A3"/>
    <mergeCell ref="B1:C1"/>
    <mergeCell ref="B2:C2"/>
    <mergeCell ref="B5:C5"/>
    <mergeCell ref="B6:C6"/>
    <mergeCell ref="A8:B8"/>
    <mergeCell ref="A9:B9"/>
    <mergeCell ref="A10:B10"/>
    <mergeCell ref="A12:B12"/>
    <mergeCell ref="A13:B13"/>
    <mergeCell ref="A11:B11"/>
  </mergeCells>
  <hyperlinks>
    <hyperlink ref="D1" location="ins" display="Instructivo" xr:uid="{00000000-0004-0000-1B00-000000000000}"/>
  </hyperlinks>
  <printOptions horizontalCentered="1"/>
  <pageMargins left="0" right="0" top="0" bottom="0" header="0" footer="0"/>
  <pageSetup fitToHeight="0" orientation="landscape" horizontalDpi="4294967292" verticalDpi="4294967292" r:id="rId1"/>
  <headerFooter>
    <oddFooter>&amp;R&amp;"Arial,Normal"&amp;K01+000Página &amp;P de &amp;N</oddFooter>
  </headerFooter>
  <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30">
    <tabColor theme="0" tint="-0.249977111117893"/>
    <pageSetUpPr fitToPage="1"/>
  </sheetPr>
  <dimension ref="A1:D17"/>
  <sheetViews>
    <sheetView showGridLines="0" zoomScale="90" zoomScaleNormal="90" workbookViewId="0">
      <selection activeCell="D19" sqref="D19"/>
    </sheetView>
  </sheetViews>
  <sheetFormatPr defaultColWidth="11.5" defaultRowHeight="18" customHeight="1"/>
  <cols>
    <col min="1" max="3" width="28.83203125" style="220" customWidth="1"/>
    <col min="4" max="4" width="15.83203125" style="220" customWidth="1"/>
    <col min="5" max="16384" width="11.5" style="220"/>
  </cols>
  <sheetData>
    <row r="1" spans="1:4" ht="18" customHeight="1">
      <c r="A1" s="1188"/>
      <c r="B1" s="1078" t="s">
        <v>0</v>
      </c>
      <c r="C1" s="1079"/>
      <c r="D1" s="434" t="s">
        <v>104</v>
      </c>
    </row>
    <row r="2" spans="1:4" ht="18" customHeight="1">
      <c r="A2" s="1190"/>
      <c r="B2" s="1618" t="s">
        <v>1061</v>
      </c>
      <c r="C2" s="1619"/>
    </row>
    <row r="3" spans="1:4" ht="21" customHeight="1" thickBot="1">
      <c r="A3" s="1192"/>
      <c r="B3" s="819" t="s">
        <v>2</v>
      </c>
      <c r="C3" s="818" t="s">
        <v>3</v>
      </c>
    </row>
    <row r="4" spans="1:4" ht="18" customHeight="1" thickBot="1"/>
    <row r="5" spans="1:4" ht="18" customHeight="1" thickBot="1">
      <c r="A5" s="629" t="s">
        <v>697</v>
      </c>
      <c r="B5" s="1464">
        <v>2022</v>
      </c>
      <c r="C5" s="1466"/>
    </row>
    <row r="6" spans="1:4" ht="18" customHeight="1" thickBot="1">
      <c r="A6" s="628" t="s">
        <v>1062</v>
      </c>
      <c r="B6" s="1620" t="s">
        <v>1063</v>
      </c>
      <c r="C6" s="1621"/>
    </row>
    <row r="7" spans="1:4" ht="13.5" thickBot="1"/>
    <row r="8" spans="1:4" ht="18" customHeight="1" thickBot="1">
      <c r="A8" s="629" t="s">
        <v>814</v>
      </c>
      <c r="B8" s="1502">
        <v>1000000</v>
      </c>
      <c r="C8" s="1504"/>
    </row>
    <row r="9" spans="1:4" ht="18" customHeight="1" thickBot="1">
      <c r="A9" s="628" t="s">
        <v>1064</v>
      </c>
      <c r="B9" s="1502">
        <v>192367938015</v>
      </c>
      <c r="C9" s="1504"/>
    </row>
    <row r="10" spans="1:4" ht="18" customHeight="1" thickBot="1"/>
    <row r="11" spans="1:4" ht="57.75" customHeight="1" thickBot="1">
      <c r="A11" s="1622" t="s">
        <v>1065</v>
      </c>
      <c r="B11" s="1623"/>
      <c r="C11" s="1624"/>
    </row>
    <row r="12" spans="1:4" ht="18" customHeight="1" thickBot="1"/>
    <row r="13" spans="1:4" ht="18" customHeight="1" thickBot="1">
      <c r="A13" s="1048" t="s">
        <v>1061</v>
      </c>
      <c r="B13" s="1049"/>
      <c r="C13" s="1617"/>
    </row>
    <row r="14" spans="1:4" ht="18" customHeight="1">
      <c r="A14" s="441" t="s">
        <v>1066</v>
      </c>
      <c r="B14" s="442" t="s">
        <v>1067</v>
      </c>
      <c r="C14" s="442" t="s">
        <v>1067</v>
      </c>
    </row>
    <row r="15" spans="1:4" ht="18" customHeight="1">
      <c r="A15" s="432" t="s">
        <v>1068</v>
      </c>
      <c r="B15" s="630">
        <v>1</v>
      </c>
      <c r="C15" s="630">
        <v>45000000</v>
      </c>
    </row>
    <row r="16" spans="1:4" ht="18" customHeight="1">
      <c r="A16" s="432" t="s">
        <v>1069</v>
      </c>
      <c r="B16" s="630">
        <v>45000001</v>
      </c>
      <c r="C16" s="630">
        <v>450000000</v>
      </c>
    </row>
    <row r="17" spans="1:3" ht="18" customHeight="1">
      <c r="A17" s="623" t="s">
        <v>1070</v>
      </c>
      <c r="B17" s="631">
        <v>450000001</v>
      </c>
      <c r="C17" s="631" t="s">
        <v>1071</v>
      </c>
    </row>
  </sheetData>
  <mergeCells count="9">
    <mergeCell ref="A13:C13"/>
    <mergeCell ref="A1:A3"/>
    <mergeCell ref="B1:C1"/>
    <mergeCell ref="B2:C2"/>
    <mergeCell ref="B9:C9"/>
    <mergeCell ref="B5:C5"/>
    <mergeCell ref="B6:C6"/>
    <mergeCell ref="B8:C8"/>
    <mergeCell ref="A11:C11"/>
  </mergeCells>
  <hyperlinks>
    <hyperlink ref="D1" location="ins" display="Instructivo" xr:uid="{00000000-0004-0000-1C00-000000000000}"/>
  </hyperlinks>
  <printOptions horizontalCentered="1"/>
  <pageMargins left="0" right="0" top="0" bottom="0" header="0" footer="0"/>
  <pageSetup fitToHeight="0" orientation="landscape" r:id="rId1"/>
  <drawing r:id="rId2"/>
  <legacy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31">
    <tabColor theme="0" tint="-0.249977111117893"/>
    <pageSetUpPr fitToPage="1"/>
  </sheetPr>
  <dimension ref="A1:D49"/>
  <sheetViews>
    <sheetView showGridLines="0" zoomScale="90" zoomScaleNormal="90" workbookViewId="0">
      <selection activeCell="A22" sqref="A22:E22"/>
    </sheetView>
  </sheetViews>
  <sheetFormatPr defaultColWidth="11.5" defaultRowHeight="18" customHeight="1"/>
  <cols>
    <col min="1" max="1" width="28" style="220" customWidth="1"/>
    <col min="2" max="2" width="17.33203125" style="220" customWidth="1"/>
    <col min="3" max="3" width="154.5" style="220" customWidth="1"/>
    <col min="4" max="4" width="15.83203125" style="220" customWidth="1"/>
    <col min="5" max="16384" width="11.5" style="220"/>
  </cols>
  <sheetData>
    <row r="1" spans="1:4" ht="18" customHeight="1">
      <c r="A1" s="1188"/>
      <c r="B1" s="1078" t="s">
        <v>0</v>
      </c>
      <c r="C1" s="1078"/>
      <c r="D1" s="434" t="s">
        <v>104</v>
      </c>
    </row>
    <row r="2" spans="1:4" ht="18" customHeight="1">
      <c r="A2" s="1190"/>
      <c r="B2" s="1312" t="s">
        <v>1072</v>
      </c>
      <c r="C2" s="1312"/>
    </row>
    <row r="3" spans="1:4" ht="18" customHeight="1" thickBot="1">
      <c r="A3" s="1192"/>
      <c r="B3" s="1083" t="s">
        <v>1073</v>
      </c>
      <c r="C3" s="1108"/>
    </row>
    <row r="4" spans="1:4" ht="18" customHeight="1" thickBot="1"/>
    <row r="5" spans="1:4" ht="18" customHeight="1" thickBot="1">
      <c r="A5" s="1055" t="s">
        <v>1074</v>
      </c>
      <c r="B5" s="1056"/>
      <c r="C5" s="1057"/>
    </row>
    <row r="6" spans="1:4" ht="18" customHeight="1">
      <c r="A6" s="441" t="s">
        <v>1075</v>
      </c>
      <c r="B6" s="442" t="s">
        <v>1076</v>
      </c>
      <c r="C6" s="443" t="s">
        <v>1077</v>
      </c>
    </row>
    <row r="7" spans="1:4" ht="12.75">
      <c r="A7" s="436" t="s">
        <v>1078</v>
      </c>
      <c r="B7" s="453">
        <v>34270</v>
      </c>
      <c r="C7" s="437" t="s">
        <v>1079</v>
      </c>
    </row>
    <row r="8" spans="1:4" ht="12.75">
      <c r="A8" s="436" t="s">
        <v>1080</v>
      </c>
      <c r="B8" s="453">
        <v>37809</v>
      </c>
      <c r="C8" s="437" t="s">
        <v>1081</v>
      </c>
    </row>
    <row r="9" spans="1:4" ht="25.5">
      <c r="A9" s="436" t="s">
        <v>1082</v>
      </c>
      <c r="B9" s="453">
        <v>38201</v>
      </c>
      <c r="C9" s="437" t="s">
        <v>1083</v>
      </c>
    </row>
    <row r="10" spans="1:4" ht="25.5">
      <c r="A10" s="436" t="s">
        <v>1084</v>
      </c>
      <c r="B10" s="453">
        <v>39053</v>
      </c>
      <c r="C10" s="437" t="s">
        <v>1085</v>
      </c>
    </row>
    <row r="11" spans="1:4" ht="25.5">
      <c r="A11" s="436" t="s">
        <v>1086</v>
      </c>
      <c r="B11" s="453">
        <v>39279</v>
      </c>
      <c r="C11" s="437" t="s">
        <v>1087</v>
      </c>
    </row>
    <row r="12" spans="1:4" ht="12.75">
      <c r="A12" s="436" t="s">
        <v>1088</v>
      </c>
      <c r="B12" s="453">
        <v>41628</v>
      </c>
      <c r="C12" s="437" t="s">
        <v>1089</v>
      </c>
    </row>
    <row r="13" spans="1:4" ht="12.75">
      <c r="A13" s="436" t="s">
        <v>1090</v>
      </c>
      <c r="B13" s="453">
        <v>44034</v>
      </c>
      <c r="C13" s="438" t="s">
        <v>1091</v>
      </c>
    </row>
    <row r="14" spans="1:4" ht="12.75">
      <c r="A14" s="436" t="s">
        <v>1092</v>
      </c>
      <c r="B14" s="453">
        <v>40850</v>
      </c>
      <c r="C14" s="438" t="s">
        <v>1093</v>
      </c>
    </row>
    <row r="15" spans="1:4" ht="12.75">
      <c r="A15" s="436" t="s">
        <v>1094</v>
      </c>
      <c r="B15" s="453">
        <v>41472</v>
      </c>
      <c r="C15" s="438" t="s">
        <v>1095</v>
      </c>
    </row>
    <row r="16" spans="1:4" ht="12.75">
      <c r="A16" s="436" t="s">
        <v>1096</v>
      </c>
      <c r="B16" s="453">
        <v>42181</v>
      </c>
      <c r="C16" s="438" t="s">
        <v>1097</v>
      </c>
    </row>
    <row r="17" spans="1:3" ht="38.25">
      <c r="A17" s="436" t="s">
        <v>1098</v>
      </c>
      <c r="B17" s="453">
        <v>44280</v>
      </c>
      <c r="C17" s="438" t="s">
        <v>1099</v>
      </c>
    </row>
    <row r="18" spans="1:3" ht="25.5">
      <c r="A18" s="436" t="s">
        <v>1100</v>
      </c>
      <c r="B18" s="453">
        <v>44299</v>
      </c>
      <c r="C18" s="438" t="s">
        <v>1101</v>
      </c>
    </row>
    <row r="19" spans="1:3" ht="38.25">
      <c r="A19" s="436" t="s">
        <v>1102</v>
      </c>
      <c r="B19" s="453">
        <v>44347</v>
      </c>
      <c r="C19" s="438" t="s">
        <v>1103</v>
      </c>
    </row>
    <row r="20" spans="1:3" ht="39" customHeight="1">
      <c r="A20" s="436" t="s">
        <v>1104</v>
      </c>
      <c r="B20" s="453">
        <v>44369</v>
      </c>
      <c r="C20" s="438" t="s">
        <v>1105</v>
      </c>
    </row>
    <row r="21" spans="1:3" ht="25.5">
      <c r="A21" s="436" t="s">
        <v>1106</v>
      </c>
      <c r="B21" s="453">
        <v>44482</v>
      </c>
      <c r="C21" s="438" t="s">
        <v>1107</v>
      </c>
    </row>
    <row r="22" spans="1:3" ht="25.5">
      <c r="A22" s="436" t="s">
        <v>1108</v>
      </c>
      <c r="B22" s="453">
        <v>44554</v>
      </c>
      <c r="C22" s="438" t="s">
        <v>1109</v>
      </c>
    </row>
    <row r="23" spans="1:3" ht="26.25" thickBot="1">
      <c r="A23" s="439" t="s">
        <v>1110</v>
      </c>
      <c r="B23" s="454">
        <v>44648</v>
      </c>
      <c r="C23" s="440" t="s">
        <v>1111</v>
      </c>
    </row>
    <row r="24" spans="1:3" ht="18" customHeight="1" thickBot="1"/>
    <row r="25" spans="1:3" ht="18" customHeight="1" thickBot="1">
      <c r="A25" s="1055" t="s">
        <v>1112</v>
      </c>
      <c r="B25" s="1056"/>
      <c r="C25" s="1057"/>
    </row>
    <row r="26" spans="1:3" ht="18" customHeight="1">
      <c r="A26" s="1632" t="s">
        <v>1077</v>
      </c>
      <c r="B26" s="1633"/>
      <c r="C26" s="443" t="s">
        <v>1113</v>
      </c>
    </row>
    <row r="27" spans="1:3" ht="39" customHeight="1">
      <c r="A27" s="1628" t="s">
        <v>1114</v>
      </c>
      <c r="B27" s="1629"/>
      <c r="C27" s="444" t="s">
        <v>1115</v>
      </c>
    </row>
    <row r="28" spans="1:3" ht="40.5" customHeight="1">
      <c r="A28" s="1628" t="s">
        <v>1116</v>
      </c>
      <c r="B28" s="1629"/>
      <c r="C28" s="444" t="s">
        <v>1117</v>
      </c>
    </row>
    <row r="29" spans="1:3" ht="38.25" customHeight="1">
      <c r="A29" s="1630" t="s">
        <v>1118</v>
      </c>
      <c r="B29" s="1631"/>
      <c r="C29" s="444" t="s">
        <v>1119</v>
      </c>
    </row>
    <row r="30" spans="1:3" ht="25.5" customHeight="1">
      <c r="A30" s="1628" t="s">
        <v>1120</v>
      </c>
      <c r="B30" s="1629"/>
      <c r="C30" s="444" t="s">
        <v>1121</v>
      </c>
    </row>
    <row r="31" spans="1:3" ht="36.75" customHeight="1" thickBot="1">
      <c r="A31" s="1634" t="s">
        <v>1122</v>
      </c>
      <c r="B31" s="1635"/>
      <c r="C31" s="445" t="s">
        <v>1123</v>
      </c>
    </row>
    <row r="32" spans="1:3" ht="25.5" customHeight="1" thickBot="1">
      <c r="A32" s="1625" t="s">
        <v>1124</v>
      </c>
      <c r="B32" s="1626"/>
      <c r="C32" s="1627"/>
    </row>
    <row r="33" spans="1:3" ht="18" customHeight="1" thickBot="1"/>
    <row r="34" spans="1:3" ht="18" customHeight="1" thickBot="1">
      <c r="A34" s="1048" t="s">
        <v>1125</v>
      </c>
      <c r="B34" s="1049"/>
      <c r="C34" s="1049"/>
    </row>
    <row r="35" spans="1:3" ht="18" customHeight="1">
      <c r="A35" s="441" t="s">
        <v>1126</v>
      </c>
      <c r="B35" s="442" t="s">
        <v>1076</v>
      </c>
      <c r="C35" s="442" t="s">
        <v>1127</v>
      </c>
    </row>
    <row r="36" spans="1:3" ht="34.5" customHeight="1">
      <c r="A36" s="452" t="s">
        <v>1128</v>
      </c>
      <c r="B36" s="435">
        <v>43935</v>
      </c>
      <c r="C36" s="432" t="s">
        <v>1129</v>
      </c>
    </row>
    <row r="37" spans="1:3" ht="54.75" customHeight="1">
      <c r="A37" s="452" t="s">
        <v>1130</v>
      </c>
      <c r="B37" s="435">
        <v>43348</v>
      </c>
      <c r="C37" s="432" t="s">
        <v>1131</v>
      </c>
    </row>
    <row r="38" spans="1:3" ht="54" customHeight="1">
      <c r="A38" s="452" t="s">
        <v>1132</v>
      </c>
      <c r="B38" s="435">
        <v>43634</v>
      </c>
      <c r="C38" s="432" t="s">
        <v>1133</v>
      </c>
    </row>
    <row r="39" spans="1:3" ht="28.5" customHeight="1" thickBot="1">
      <c r="A39" s="447" t="s">
        <v>1134</v>
      </c>
      <c r="B39" s="448">
        <v>44237</v>
      </c>
      <c r="C39" s="449" t="s">
        <v>1135</v>
      </c>
    </row>
    <row r="40" spans="1:3" ht="18" customHeight="1" thickBot="1"/>
    <row r="41" spans="1:3" ht="18" customHeight="1" thickBot="1">
      <c r="A41" s="1055" t="s">
        <v>1136</v>
      </c>
      <c r="B41" s="1056"/>
      <c r="C41" s="1057"/>
    </row>
    <row r="42" spans="1:3" ht="18" customHeight="1">
      <c r="A42" s="441" t="s">
        <v>1137</v>
      </c>
      <c r="B42" s="442" t="s">
        <v>1076</v>
      </c>
      <c r="C42" s="443" t="s">
        <v>1127</v>
      </c>
    </row>
    <row r="43" spans="1:3" ht="18" customHeight="1">
      <c r="A43" s="446" t="s">
        <v>1138</v>
      </c>
      <c r="B43" s="435">
        <v>40940</v>
      </c>
      <c r="C43" s="433" t="s">
        <v>1139</v>
      </c>
    </row>
    <row r="44" spans="1:3" ht="18" customHeight="1">
      <c r="A44" s="446" t="s">
        <v>1140</v>
      </c>
      <c r="B44" s="450" t="s">
        <v>1141</v>
      </c>
      <c r="C44" s="433" t="s">
        <v>1142</v>
      </c>
    </row>
    <row r="45" spans="1:3" ht="18" customHeight="1">
      <c r="A45" s="446" t="s">
        <v>1143</v>
      </c>
      <c r="B45" s="435">
        <v>43514</v>
      </c>
      <c r="C45" s="433" t="s">
        <v>1144</v>
      </c>
    </row>
    <row r="46" spans="1:3" ht="18" customHeight="1">
      <c r="A46" s="446" t="s">
        <v>1145</v>
      </c>
      <c r="B46" s="435">
        <v>43613</v>
      </c>
      <c r="C46" s="433" t="s">
        <v>1146</v>
      </c>
    </row>
    <row r="47" spans="1:3" ht="18" customHeight="1">
      <c r="A47" s="446" t="s">
        <v>1147</v>
      </c>
      <c r="B47" s="435">
        <v>44237</v>
      </c>
      <c r="C47" s="433" t="s">
        <v>1148</v>
      </c>
    </row>
    <row r="48" spans="1:3" ht="18" customHeight="1">
      <c r="A48" s="446" t="s">
        <v>1149</v>
      </c>
      <c r="B48" s="435">
        <v>44312</v>
      </c>
      <c r="C48" s="433" t="s">
        <v>1150</v>
      </c>
    </row>
    <row r="49" spans="1:3" ht="18" customHeight="1" thickBot="1">
      <c r="A49" s="447" t="s">
        <v>1151</v>
      </c>
      <c r="B49" s="448">
        <v>44483</v>
      </c>
      <c r="C49" s="451" t="s">
        <v>1152</v>
      </c>
    </row>
  </sheetData>
  <mergeCells count="15">
    <mergeCell ref="A41:C41"/>
    <mergeCell ref="A25:C25"/>
    <mergeCell ref="A1:A3"/>
    <mergeCell ref="A32:C32"/>
    <mergeCell ref="A30:B30"/>
    <mergeCell ref="A29:B29"/>
    <mergeCell ref="A27:B27"/>
    <mergeCell ref="A34:C34"/>
    <mergeCell ref="B1:C1"/>
    <mergeCell ref="B2:C2"/>
    <mergeCell ref="B3:C3"/>
    <mergeCell ref="A5:C5"/>
    <mergeCell ref="A26:B26"/>
    <mergeCell ref="A31:B31"/>
    <mergeCell ref="A28:B28"/>
  </mergeCells>
  <hyperlinks>
    <hyperlink ref="D1" location="ins" display="Instructivo" xr:uid="{00000000-0004-0000-1D00-000000000000}"/>
    <hyperlink ref="C31" r:id="rId1" xr:uid="{00000000-0004-0000-1D00-000001000000}"/>
    <hyperlink ref="C28" r:id="rId2" xr:uid="{00000000-0004-0000-1D00-000002000000}"/>
    <hyperlink ref="C30" r:id="rId3" xr:uid="{00000000-0004-0000-1D00-000003000000}"/>
    <hyperlink ref="C29" r:id="rId4" xr:uid="{00000000-0004-0000-1D00-000004000000}"/>
    <hyperlink ref="C27" r:id="rId5" xr:uid="{00000000-0004-0000-1D00-000005000000}"/>
  </hyperlinks>
  <printOptions horizontalCentered="1"/>
  <pageMargins left="0" right="0" top="0" bottom="0" header="0" footer="0"/>
  <pageSetup scale="76" fitToHeight="0" orientation="landscape" r:id="rId6"/>
  <drawing r:id="rId7"/>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32">
    <tabColor theme="0" tint="-0.249977111117893"/>
    <pageSetUpPr fitToPage="1"/>
  </sheetPr>
  <dimension ref="A1:E37"/>
  <sheetViews>
    <sheetView showGridLines="0" zoomScale="90" zoomScaleNormal="90" workbookViewId="0">
      <selection activeCell="A22" sqref="A22:E22"/>
    </sheetView>
  </sheetViews>
  <sheetFormatPr defaultColWidth="11.5" defaultRowHeight="18" customHeight="1"/>
  <cols>
    <col min="1" max="1" width="26.6640625" style="220" customWidth="1"/>
    <col min="2" max="2" width="48.6640625" style="220" customWidth="1"/>
    <col min="3" max="3" width="46" style="220" customWidth="1"/>
    <col min="4" max="4" width="16.83203125" style="220" customWidth="1"/>
    <col min="5" max="16384" width="11.5" style="220"/>
  </cols>
  <sheetData>
    <row r="1" spans="1:5" ht="18" customHeight="1">
      <c r="A1" s="1188"/>
      <c r="B1" s="1102" t="s">
        <v>0</v>
      </c>
      <c r="C1" s="1104"/>
      <c r="D1" s="408" t="s">
        <v>104</v>
      </c>
      <c r="E1" s="65"/>
    </row>
    <row r="2" spans="1:5" ht="18" customHeight="1">
      <c r="A2" s="1190"/>
      <c r="B2" s="1618" t="s">
        <v>1153</v>
      </c>
      <c r="C2" s="1619"/>
      <c r="D2" s="408"/>
    </row>
    <row r="3" spans="1:5" ht="18" customHeight="1" thickBot="1">
      <c r="A3" s="1192"/>
      <c r="B3" s="819" t="s">
        <v>2</v>
      </c>
      <c r="C3" s="818" t="s">
        <v>3</v>
      </c>
    </row>
    <row r="4" spans="1:5" ht="18" customHeight="1" thickBot="1"/>
    <row r="5" spans="1:5" ht="18" customHeight="1">
      <c r="A5" s="1636" t="s">
        <v>1154</v>
      </c>
      <c r="B5" s="1637"/>
      <c r="C5" s="1638"/>
    </row>
    <row r="6" spans="1:5" ht="169.5" customHeight="1">
      <c r="A6" s="1639" t="s">
        <v>1155</v>
      </c>
      <c r="B6" s="1640"/>
      <c r="C6" s="1641"/>
    </row>
    <row r="7" spans="1:5" ht="18" customHeight="1" thickBot="1">
      <c r="A7" s="1642" t="s">
        <v>1156</v>
      </c>
      <c r="B7" s="1643"/>
      <c r="C7" s="1644"/>
    </row>
    <row r="8" spans="1:5" ht="18" customHeight="1" thickBot="1">
      <c r="A8" s="428"/>
      <c r="B8" s="431"/>
      <c r="C8" s="431"/>
    </row>
    <row r="9" spans="1:5" ht="18" customHeight="1">
      <c r="A9" s="1636" t="s">
        <v>1157</v>
      </c>
      <c r="B9" s="1637"/>
      <c r="C9" s="1638"/>
    </row>
    <row r="10" spans="1:5" ht="18" customHeight="1">
      <c r="A10" s="1649" t="s">
        <v>1158</v>
      </c>
      <c r="B10" s="1650"/>
      <c r="C10" s="1651"/>
    </row>
    <row r="11" spans="1:5" ht="42" customHeight="1">
      <c r="A11" s="1649" t="s">
        <v>1159</v>
      </c>
      <c r="B11" s="1650"/>
      <c r="C11" s="1651"/>
    </row>
    <row r="12" spans="1:5" ht="31.5" customHeight="1">
      <c r="A12" s="1649" t="s">
        <v>1160</v>
      </c>
      <c r="B12" s="1650"/>
      <c r="C12" s="1651"/>
    </row>
    <row r="13" spans="1:5" ht="114" customHeight="1" thickBot="1">
      <c r="A13" s="1652" t="s">
        <v>1161</v>
      </c>
      <c r="B13" s="1653"/>
      <c r="C13" s="1654"/>
    </row>
    <row r="14" spans="1:5" ht="18" customHeight="1" thickBot="1">
      <c r="A14" s="1640"/>
      <c r="B14" s="1640"/>
      <c r="C14" s="1640"/>
    </row>
    <row r="15" spans="1:5" ht="18" customHeight="1">
      <c r="A15" s="1636" t="s">
        <v>1162</v>
      </c>
      <c r="B15" s="1637"/>
      <c r="C15" s="1638"/>
    </row>
    <row r="16" spans="1:5" ht="62.25" customHeight="1">
      <c r="A16" s="1639" t="s">
        <v>1163</v>
      </c>
      <c r="B16" s="1640"/>
      <c r="C16" s="1641"/>
    </row>
    <row r="17" spans="1:3" ht="18" customHeight="1" thickBot="1">
      <c r="A17" s="1645" t="s">
        <v>1164</v>
      </c>
      <c r="B17" s="1646"/>
      <c r="C17" s="1647"/>
    </row>
    <row r="18" spans="1:3" ht="18" customHeight="1" thickBot="1">
      <c r="A18" s="1640"/>
      <c r="B18" s="1640"/>
      <c r="C18" s="1640"/>
    </row>
    <row r="19" spans="1:3" ht="18" customHeight="1">
      <c r="A19" s="1636" t="s">
        <v>1165</v>
      </c>
      <c r="B19" s="1637"/>
      <c r="C19" s="1638"/>
    </row>
    <row r="20" spans="1:3" ht="28.5" customHeight="1">
      <c r="A20" s="1639" t="s">
        <v>1166</v>
      </c>
      <c r="B20" s="1640"/>
      <c r="C20" s="1641"/>
    </row>
    <row r="21" spans="1:3" ht="28.5" customHeight="1" thickBot="1">
      <c r="A21" s="1642" t="s">
        <v>1167</v>
      </c>
      <c r="B21" s="1643"/>
      <c r="C21" s="1644"/>
    </row>
    <row r="22" spans="1:3" ht="18" customHeight="1" thickBot="1">
      <c r="A22" s="1648"/>
      <c r="B22" s="1640"/>
      <c r="C22" s="1640"/>
    </row>
    <row r="23" spans="1:3" ht="27.75" customHeight="1">
      <c r="A23" s="1636" t="s">
        <v>1168</v>
      </c>
      <c r="B23" s="1637"/>
      <c r="C23" s="1638"/>
    </row>
    <row r="24" spans="1:3" ht="69" customHeight="1" thickBot="1">
      <c r="A24" s="1642" t="s">
        <v>1169</v>
      </c>
      <c r="B24" s="1643"/>
      <c r="C24" s="1644"/>
    </row>
    <row r="25" spans="1:3" ht="18" customHeight="1" thickBot="1">
      <c r="A25" s="1640"/>
      <c r="B25" s="1640"/>
      <c r="C25" s="1640"/>
    </row>
    <row r="26" spans="1:3" ht="26.25" customHeight="1">
      <c r="A26" s="1636" t="s">
        <v>1170</v>
      </c>
      <c r="B26" s="1637"/>
      <c r="C26" s="1638"/>
    </row>
    <row r="27" spans="1:3" ht="96.75" customHeight="1">
      <c r="A27" s="1639" t="s">
        <v>1171</v>
      </c>
      <c r="B27" s="1640"/>
      <c r="C27" s="1641"/>
    </row>
    <row r="28" spans="1:3" ht="36" customHeight="1">
      <c r="A28" s="1639" t="s">
        <v>1172</v>
      </c>
      <c r="B28" s="1640"/>
      <c r="C28" s="1641"/>
    </row>
    <row r="29" spans="1:3" ht="159.75" customHeight="1" thickBot="1">
      <c r="A29" s="1642" t="s">
        <v>1173</v>
      </c>
      <c r="B29" s="1643"/>
      <c r="C29" s="1644"/>
    </row>
    <row r="30" spans="1:3" ht="18" customHeight="1" thickBot="1">
      <c r="A30" s="1640"/>
      <c r="B30" s="1640"/>
      <c r="C30" s="1640"/>
    </row>
    <row r="31" spans="1:3" ht="18" customHeight="1">
      <c r="A31" s="1636" t="s">
        <v>1174</v>
      </c>
      <c r="B31" s="1637"/>
      <c r="C31" s="1638"/>
    </row>
    <row r="32" spans="1:3" ht="72" customHeight="1">
      <c r="A32" s="1639" t="s">
        <v>1175</v>
      </c>
      <c r="B32" s="1640"/>
      <c r="C32" s="1641"/>
    </row>
    <row r="33" spans="1:3" ht="30.75" customHeight="1" thickBot="1">
      <c r="A33" s="1642" t="s">
        <v>1176</v>
      </c>
      <c r="B33" s="1643"/>
      <c r="C33" s="1644"/>
    </row>
    <row r="34" spans="1:3" ht="18" customHeight="1" thickBot="1">
      <c r="A34" s="1640"/>
      <c r="B34" s="1640"/>
      <c r="C34" s="1640"/>
    </row>
    <row r="35" spans="1:3" ht="18" customHeight="1">
      <c r="A35" s="1636" t="s">
        <v>1177</v>
      </c>
      <c r="B35" s="1637"/>
      <c r="C35" s="1638"/>
    </row>
    <row r="36" spans="1:3" ht="180.75" customHeight="1">
      <c r="A36" s="1639" t="s">
        <v>1178</v>
      </c>
      <c r="B36" s="1640"/>
      <c r="C36" s="1641"/>
    </row>
    <row r="37" spans="1:3" ht="120" customHeight="1" thickBot="1">
      <c r="A37" s="1642" t="s">
        <v>1179</v>
      </c>
      <c r="B37" s="1643"/>
      <c r="C37" s="1644"/>
    </row>
  </sheetData>
  <mergeCells count="35">
    <mergeCell ref="A37:C37"/>
    <mergeCell ref="A1:A3"/>
    <mergeCell ref="A21:C21"/>
    <mergeCell ref="A29:C29"/>
    <mergeCell ref="A28:C28"/>
    <mergeCell ref="A9:C9"/>
    <mergeCell ref="A10:C10"/>
    <mergeCell ref="A11:C11"/>
    <mergeCell ref="A12:C12"/>
    <mergeCell ref="A13:C13"/>
    <mergeCell ref="A33:C33"/>
    <mergeCell ref="A34:C34"/>
    <mergeCell ref="A35:C35"/>
    <mergeCell ref="A36:C36"/>
    <mergeCell ref="A24:C24"/>
    <mergeCell ref="A25:C25"/>
    <mergeCell ref="A31:C31"/>
    <mergeCell ref="A32:C32"/>
    <mergeCell ref="A14:C14"/>
    <mergeCell ref="A15:C15"/>
    <mergeCell ref="A16:C16"/>
    <mergeCell ref="A17:C17"/>
    <mergeCell ref="A20:C20"/>
    <mergeCell ref="A22:C22"/>
    <mergeCell ref="A26:C26"/>
    <mergeCell ref="A27:C27"/>
    <mergeCell ref="A30:C30"/>
    <mergeCell ref="A18:C18"/>
    <mergeCell ref="A19:C19"/>
    <mergeCell ref="A23:C23"/>
    <mergeCell ref="B1:C1"/>
    <mergeCell ref="B2:C2"/>
    <mergeCell ref="A5:C5"/>
    <mergeCell ref="A6:C6"/>
    <mergeCell ref="A7:C7"/>
  </mergeCells>
  <hyperlinks>
    <hyperlink ref="D1" location="ins" display="Instructivo" xr:uid="{00000000-0004-0000-1E00-000000000000}"/>
  </hyperlinks>
  <printOptions horizontalCentered="1"/>
  <pageMargins left="0" right="0" top="0" bottom="0" header="0" footer="0"/>
  <pageSetup fitToHeight="0" orientation="landscape" r:id="rId1"/>
  <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3">
    <tabColor theme="0" tint="-0.249977111117893"/>
    <pageSetUpPr fitToPage="1"/>
  </sheetPr>
  <dimension ref="A1:AX292"/>
  <sheetViews>
    <sheetView showGridLines="0" zoomScaleNormal="100" workbookViewId="0">
      <selection activeCell="A22" sqref="A22:E22"/>
    </sheetView>
  </sheetViews>
  <sheetFormatPr defaultColWidth="11.5" defaultRowHeight="18" customHeight="1"/>
  <cols>
    <col min="1" max="1" width="33.1640625" style="221" customWidth="1"/>
    <col min="2" max="2" width="47.1640625" style="221" customWidth="1"/>
    <col min="3" max="3" width="17.33203125" style="221" customWidth="1"/>
    <col min="4" max="4" width="18.6640625" style="221" customWidth="1"/>
    <col min="5" max="5" width="24.83203125" style="229" customWidth="1"/>
    <col min="6" max="6" width="16.83203125" style="220" customWidth="1"/>
    <col min="7" max="50" width="11.5" style="220"/>
    <col min="51" max="16384" width="11.5" style="221"/>
  </cols>
  <sheetData>
    <row r="1" spans="1:7" ht="18" customHeight="1">
      <c r="A1" s="1532"/>
      <c r="B1" s="1078" t="s">
        <v>0</v>
      </c>
      <c r="C1" s="1078"/>
      <c r="D1" s="1078"/>
      <c r="E1" s="1079"/>
      <c r="F1" s="366" t="s">
        <v>104</v>
      </c>
      <c r="G1" s="65"/>
    </row>
    <row r="2" spans="1:7" ht="18" customHeight="1">
      <c r="A2" s="1534"/>
      <c r="B2" s="1312" t="s">
        <v>1180</v>
      </c>
      <c r="C2" s="1312"/>
      <c r="D2" s="1312"/>
      <c r="E2" s="1313"/>
    </row>
    <row r="3" spans="1:7" ht="18" customHeight="1" thickBot="1">
      <c r="A3" s="1536"/>
      <c r="B3" s="1082" t="s">
        <v>2</v>
      </c>
      <c r="C3" s="1082"/>
      <c r="D3" s="1082" t="s">
        <v>3</v>
      </c>
      <c r="E3" s="1123"/>
    </row>
    <row r="4" spans="1:7" ht="18" customHeight="1" thickBot="1">
      <c r="A4" s="220"/>
      <c r="B4" s="220"/>
      <c r="C4" s="220"/>
      <c r="D4" s="220"/>
      <c r="E4" s="222"/>
    </row>
    <row r="5" spans="1:7" s="220" customFormat="1" ht="18" customHeight="1" thickBot="1">
      <c r="A5" s="1055" t="s">
        <v>1181</v>
      </c>
      <c r="B5" s="1056"/>
      <c r="C5" s="1056"/>
      <c r="D5" s="1056"/>
      <c r="E5" s="1057"/>
    </row>
    <row r="6" spans="1:7" s="220" customFormat="1" ht="30.75" customHeight="1" thickBot="1">
      <c r="A6" s="1670" t="s">
        <v>1182</v>
      </c>
      <c r="B6" s="940"/>
      <c r="C6" s="940"/>
      <c r="D6" s="940"/>
      <c r="E6" s="1671"/>
    </row>
    <row r="7" spans="1:7" s="220" customFormat="1" ht="21.95" customHeight="1" thickBot="1">
      <c r="A7" s="1664" t="s">
        <v>1183</v>
      </c>
      <c r="B7" s="1665"/>
      <c r="C7" s="1665"/>
      <c r="D7" s="1666"/>
      <c r="E7" s="230">
        <v>0</v>
      </c>
    </row>
    <row r="8" spans="1:7" s="220" customFormat="1" ht="18" customHeight="1">
      <c r="A8" s="225" t="s">
        <v>391</v>
      </c>
      <c r="B8" s="117" t="s">
        <v>18</v>
      </c>
      <c r="C8" s="117" t="s">
        <v>850</v>
      </c>
      <c r="D8" s="117" t="s">
        <v>1184</v>
      </c>
      <c r="E8" s="231" t="s">
        <v>851</v>
      </c>
    </row>
    <row r="9" spans="1:7" s="220" customFormat="1" ht="18" customHeight="1">
      <c r="A9" s="1667" t="s">
        <v>1185</v>
      </c>
      <c r="B9" s="1668"/>
      <c r="C9" s="1668"/>
      <c r="D9" s="1668"/>
      <c r="E9" s="1669"/>
    </row>
    <row r="10" spans="1:7" s="220" customFormat="1" ht="30.75" customHeight="1">
      <c r="A10" s="232" t="s">
        <v>1186</v>
      </c>
      <c r="B10" s="233" t="s">
        <v>1187</v>
      </c>
      <c r="C10" s="234">
        <v>3.2000000000000001E-2</v>
      </c>
      <c r="D10" s="807"/>
      <c r="E10" s="808">
        <f>IF(D10="SI",C10*$E$7,0)</f>
        <v>0</v>
      </c>
    </row>
    <row r="11" spans="1:7" s="220" customFormat="1" ht="54.75" customHeight="1">
      <c r="A11" s="232" t="s">
        <v>1188</v>
      </c>
      <c r="B11" s="233" t="s">
        <v>1189</v>
      </c>
      <c r="C11" s="234">
        <v>1.15E-2</v>
      </c>
      <c r="D11" s="807"/>
      <c r="E11" s="808">
        <f>IF(D11="SI",C11*$E$7,0)</f>
        <v>0</v>
      </c>
    </row>
    <row r="12" spans="1:7" s="220" customFormat="1" ht="42.75" customHeight="1">
      <c r="A12" s="232" t="s">
        <v>1190</v>
      </c>
      <c r="B12" s="233" t="s">
        <v>1191</v>
      </c>
      <c r="C12" s="234">
        <v>4.0000000000000001E-3</v>
      </c>
      <c r="D12" s="807"/>
      <c r="E12" s="808">
        <f>IF(D12="SI",C12*$E$7,0)</f>
        <v>0</v>
      </c>
    </row>
    <row r="13" spans="1:7" s="220" customFormat="1" ht="54" customHeight="1">
      <c r="A13" s="232" t="s">
        <v>1192</v>
      </c>
      <c r="B13" s="233" t="s">
        <v>1193</v>
      </c>
      <c r="C13" s="234">
        <v>0.05</v>
      </c>
      <c r="D13" s="807"/>
      <c r="E13" s="808">
        <f>IF(D13="SI",C13*$E$7,0)</f>
        <v>0</v>
      </c>
    </row>
    <row r="14" spans="1:7" s="220" customFormat="1" ht="65.25" customHeight="1">
      <c r="A14" s="232" t="s">
        <v>1194</v>
      </c>
      <c r="B14" s="233" t="s">
        <v>1195</v>
      </c>
      <c r="C14" s="235">
        <v>0</v>
      </c>
      <c r="D14" s="807"/>
      <c r="E14" s="808">
        <f>IF(D14="SI",C14*$E$7,0)</f>
        <v>0</v>
      </c>
    </row>
    <row r="15" spans="1:7" s="220" customFormat="1" ht="18" customHeight="1">
      <c r="A15" s="1664" t="s">
        <v>1185</v>
      </c>
      <c r="B15" s="1665"/>
      <c r="C15" s="1665"/>
      <c r="D15" s="1665"/>
      <c r="E15" s="575">
        <f>SUM(E10:E14)</f>
        <v>0</v>
      </c>
    </row>
    <row r="16" spans="1:7" s="220" customFormat="1" ht="18" customHeight="1">
      <c r="A16" s="1667" t="s">
        <v>1196</v>
      </c>
      <c r="B16" s="1668"/>
      <c r="C16" s="1668"/>
      <c r="D16" s="1668"/>
      <c r="E16" s="1669"/>
    </row>
    <row r="17" spans="1:5" s="220" customFormat="1" ht="32.25" customHeight="1">
      <c r="A17" s="236" t="s">
        <v>1186</v>
      </c>
      <c r="B17" s="233" t="s">
        <v>1187</v>
      </c>
      <c r="C17" s="234">
        <v>1.6E-2</v>
      </c>
      <c r="D17" s="807"/>
      <c r="E17" s="808">
        <f t="shared" ref="E17:E22" si="0">IF(D17="SI",C17*$E$7,0)</f>
        <v>0</v>
      </c>
    </row>
    <row r="18" spans="1:5" s="220" customFormat="1" ht="54" customHeight="1">
      <c r="A18" s="236" t="s">
        <v>1188</v>
      </c>
      <c r="B18" s="233" t="s">
        <v>1189</v>
      </c>
      <c r="C18" s="234">
        <v>1.15E-2</v>
      </c>
      <c r="D18" s="807"/>
      <c r="E18" s="808">
        <f t="shared" si="0"/>
        <v>0</v>
      </c>
    </row>
    <row r="19" spans="1:5" s="220" customFormat="1" ht="54" customHeight="1">
      <c r="A19" s="236" t="s">
        <v>1197</v>
      </c>
      <c r="B19" s="233" t="s">
        <v>1198</v>
      </c>
      <c r="C19" s="234">
        <v>4.0000000000000001E-3</v>
      </c>
      <c r="D19" s="807"/>
      <c r="E19" s="808">
        <f t="shared" si="0"/>
        <v>0</v>
      </c>
    </row>
    <row r="20" spans="1:5" s="220" customFormat="1" ht="54" customHeight="1">
      <c r="A20" s="232" t="s">
        <v>1192</v>
      </c>
      <c r="B20" s="233" t="s">
        <v>1193</v>
      </c>
      <c r="C20" s="234">
        <v>0.05</v>
      </c>
      <c r="D20" s="807"/>
      <c r="E20" s="808">
        <f t="shared" si="0"/>
        <v>0</v>
      </c>
    </row>
    <row r="21" spans="1:5" s="220" customFormat="1" ht="69" customHeight="1">
      <c r="A21" s="236" t="s">
        <v>1194</v>
      </c>
      <c r="B21" s="233" t="s">
        <v>1195</v>
      </c>
      <c r="C21" s="235">
        <v>0</v>
      </c>
      <c r="D21" s="807"/>
      <c r="E21" s="808">
        <f t="shared" si="0"/>
        <v>0</v>
      </c>
    </row>
    <row r="22" spans="1:5" s="220" customFormat="1" ht="54" customHeight="1">
      <c r="A22" s="236" t="s">
        <v>1199</v>
      </c>
      <c r="B22" s="233" t="s">
        <v>1200</v>
      </c>
      <c r="C22" s="234">
        <v>4.0000000000000001E-3</v>
      </c>
      <c r="D22" s="807"/>
      <c r="E22" s="808">
        <f t="shared" si="0"/>
        <v>0</v>
      </c>
    </row>
    <row r="23" spans="1:5" s="220" customFormat="1" ht="18" customHeight="1">
      <c r="A23" s="1664" t="s">
        <v>1196</v>
      </c>
      <c r="B23" s="1665"/>
      <c r="C23" s="1665"/>
      <c r="D23" s="1665"/>
      <c r="E23" s="575">
        <f>SUM(E17:E22)</f>
        <v>0</v>
      </c>
    </row>
    <row r="24" spans="1:5" s="220" customFormat="1" ht="18" customHeight="1">
      <c r="A24" s="1667" t="s">
        <v>1201</v>
      </c>
      <c r="B24" s="1668"/>
      <c r="C24" s="1668"/>
      <c r="D24" s="1668"/>
      <c r="E24" s="1669"/>
    </row>
    <row r="25" spans="1:5" s="220" customFormat="1" ht="34.5" customHeight="1">
      <c r="A25" s="236" t="s">
        <v>1186</v>
      </c>
      <c r="B25" s="233" t="s">
        <v>1187</v>
      </c>
      <c r="C25" s="234">
        <v>1.6E-2</v>
      </c>
      <c r="D25" s="807"/>
      <c r="E25" s="808">
        <f t="shared" ref="E25:E34" si="1">IF(D25="SI",C25*$E$7,0)</f>
        <v>0</v>
      </c>
    </row>
    <row r="26" spans="1:5" s="220" customFormat="1" ht="56.25" customHeight="1">
      <c r="A26" s="232" t="s">
        <v>1188</v>
      </c>
      <c r="B26" s="233" t="s">
        <v>1189</v>
      </c>
      <c r="C26" s="234">
        <v>1.15E-2</v>
      </c>
      <c r="D26" s="807"/>
      <c r="E26" s="808">
        <f t="shared" si="1"/>
        <v>0</v>
      </c>
    </row>
    <row r="27" spans="1:5" s="220" customFormat="1" ht="53.25" customHeight="1">
      <c r="A27" s="236" t="s">
        <v>1197</v>
      </c>
      <c r="B27" s="233" t="s">
        <v>1198</v>
      </c>
      <c r="C27" s="234">
        <v>4.0000000000000001E-3</v>
      </c>
      <c r="D27" s="807"/>
      <c r="E27" s="808">
        <f t="shared" si="1"/>
        <v>0</v>
      </c>
    </row>
    <row r="28" spans="1:5" s="220" customFormat="1" ht="52.5" customHeight="1">
      <c r="A28" s="232" t="s">
        <v>1192</v>
      </c>
      <c r="B28" s="233" t="s">
        <v>1193</v>
      </c>
      <c r="C28" s="234">
        <v>0.05</v>
      </c>
      <c r="D28" s="807"/>
      <c r="E28" s="808">
        <f t="shared" si="1"/>
        <v>0</v>
      </c>
    </row>
    <row r="29" spans="1:5" s="220" customFormat="1" ht="57.75" customHeight="1">
      <c r="A29" s="232" t="s">
        <v>1202</v>
      </c>
      <c r="B29" s="233" t="s">
        <v>1203</v>
      </c>
      <c r="C29" s="234">
        <v>0.02</v>
      </c>
      <c r="D29" s="807"/>
      <c r="E29" s="808">
        <f t="shared" si="1"/>
        <v>0</v>
      </c>
    </row>
    <row r="30" spans="1:5" s="220" customFormat="1" ht="50.25" customHeight="1">
      <c r="A30" s="236" t="s">
        <v>1199</v>
      </c>
      <c r="B30" s="233" t="s">
        <v>1200</v>
      </c>
      <c r="C30" s="234">
        <v>4.0000000000000001E-3</v>
      </c>
      <c r="D30" s="807"/>
      <c r="E30" s="808">
        <f t="shared" si="1"/>
        <v>0</v>
      </c>
    </row>
    <row r="31" spans="1:5" s="220" customFormat="1" ht="52.5" customHeight="1">
      <c r="A31" s="236" t="s">
        <v>1204</v>
      </c>
      <c r="B31" s="233" t="s">
        <v>1203</v>
      </c>
      <c r="C31" s="234">
        <v>6.0000000000000001E-3</v>
      </c>
      <c r="D31" s="807"/>
      <c r="E31" s="808">
        <f t="shared" si="1"/>
        <v>0</v>
      </c>
    </row>
    <row r="32" spans="1:5" s="220" customFormat="1" ht="59.25" customHeight="1">
      <c r="A32" s="236" t="s">
        <v>1205</v>
      </c>
      <c r="B32" s="233" t="s">
        <v>1203</v>
      </c>
      <c r="C32" s="234">
        <v>0.01</v>
      </c>
      <c r="D32" s="807"/>
      <c r="E32" s="808">
        <f t="shared" si="1"/>
        <v>0</v>
      </c>
    </row>
    <row r="33" spans="1:5" s="220" customFormat="1" ht="60" customHeight="1">
      <c r="A33" s="236" t="s">
        <v>1206</v>
      </c>
      <c r="B33" s="233" t="s">
        <v>1203</v>
      </c>
      <c r="C33" s="234">
        <v>4.0000000000000001E-3</v>
      </c>
      <c r="D33" s="807"/>
      <c r="E33" s="808">
        <f t="shared" si="1"/>
        <v>0</v>
      </c>
    </row>
    <row r="34" spans="1:5" s="220" customFormat="1" ht="58.5" customHeight="1">
      <c r="A34" s="236" t="s">
        <v>1207</v>
      </c>
      <c r="B34" s="233" t="s">
        <v>1203</v>
      </c>
      <c r="C34" s="235">
        <v>0</v>
      </c>
      <c r="D34" s="807"/>
      <c r="E34" s="808">
        <f t="shared" si="1"/>
        <v>0</v>
      </c>
    </row>
    <row r="35" spans="1:5" s="220" customFormat="1" ht="18" customHeight="1">
      <c r="A35" s="1664" t="s">
        <v>1201</v>
      </c>
      <c r="B35" s="1665"/>
      <c r="C35" s="1665"/>
      <c r="D35" s="1665"/>
      <c r="E35" s="575">
        <f>SUM(E25:E34)</f>
        <v>0</v>
      </c>
    </row>
    <row r="36" spans="1:5" s="220" customFormat="1" ht="18" customHeight="1">
      <c r="A36" s="1667" t="s">
        <v>1208</v>
      </c>
      <c r="B36" s="1668"/>
      <c r="C36" s="1668"/>
      <c r="D36" s="1668"/>
      <c r="E36" s="1669"/>
    </row>
    <row r="37" spans="1:5" s="220" customFormat="1" ht="30" customHeight="1">
      <c r="A37" s="236" t="s">
        <v>1186</v>
      </c>
      <c r="B37" s="233" t="s">
        <v>1187</v>
      </c>
      <c r="C37" s="234">
        <v>1.6E-2</v>
      </c>
      <c r="D37" s="807"/>
      <c r="E37" s="808">
        <f t="shared" ref="E37:E45" si="2">IF(D37="SI",C37*$E$7,0)</f>
        <v>0</v>
      </c>
    </row>
    <row r="38" spans="1:5" s="220" customFormat="1" ht="54" customHeight="1">
      <c r="A38" s="232" t="s">
        <v>1188</v>
      </c>
      <c r="B38" s="233" t="s">
        <v>1189</v>
      </c>
      <c r="C38" s="234">
        <v>1.15E-2</v>
      </c>
      <c r="D38" s="807"/>
      <c r="E38" s="808">
        <f t="shared" si="2"/>
        <v>0</v>
      </c>
    </row>
    <row r="39" spans="1:5" s="220" customFormat="1" ht="57.75" customHeight="1">
      <c r="A39" s="236" t="s">
        <v>1197</v>
      </c>
      <c r="B39" s="233" t="s">
        <v>1198</v>
      </c>
      <c r="C39" s="234">
        <v>4.0000000000000001E-3</v>
      </c>
      <c r="D39" s="807"/>
      <c r="E39" s="808">
        <f t="shared" si="2"/>
        <v>0</v>
      </c>
    </row>
    <row r="40" spans="1:5" s="220" customFormat="1" ht="57" customHeight="1">
      <c r="A40" s="232" t="s">
        <v>1192</v>
      </c>
      <c r="B40" s="233" t="s">
        <v>1193</v>
      </c>
      <c r="C40" s="234">
        <v>0.05</v>
      </c>
      <c r="D40" s="807"/>
      <c r="E40" s="808">
        <f t="shared" si="2"/>
        <v>0</v>
      </c>
    </row>
    <row r="41" spans="1:5" s="220" customFormat="1" ht="61.5" customHeight="1">
      <c r="A41" s="236" t="s">
        <v>1209</v>
      </c>
      <c r="B41" s="233" t="s">
        <v>1203</v>
      </c>
      <c r="C41" s="235">
        <v>0</v>
      </c>
      <c r="D41" s="807"/>
      <c r="E41" s="808">
        <f t="shared" si="2"/>
        <v>0</v>
      </c>
    </row>
    <row r="42" spans="1:5" s="220" customFormat="1" ht="55.5" customHeight="1">
      <c r="A42" s="232" t="s">
        <v>1202</v>
      </c>
      <c r="B42" s="233" t="s">
        <v>1203</v>
      </c>
      <c r="C42" s="235">
        <v>0</v>
      </c>
      <c r="D42" s="807"/>
      <c r="E42" s="808">
        <f t="shared" si="2"/>
        <v>0</v>
      </c>
    </row>
    <row r="43" spans="1:5" s="220" customFormat="1" ht="58.5" customHeight="1">
      <c r="A43" s="232" t="s">
        <v>1210</v>
      </c>
      <c r="B43" s="233" t="s">
        <v>1203</v>
      </c>
      <c r="C43" s="235">
        <v>0</v>
      </c>
      <c r="D43" s="807"/>
      <c r="E43" s="808">
        <f t="shared" si="2"/>
        <v>0</v>
      </c>
    </row>
    <row r="44" spans="1:5" s="220" customFormat="1" ht="60.75" customHeight="1">
      <c r="A44" s="236" t="s">
        <v>1211</v>
      </c>
      <c r="B44" s="233" t="s">
        <v>1203</v>
      </c>
      <c r="C44" s="235">
        <v>0</v>
      </c>
      <c r="D44" s="807"/>
      <c r="E44" s="808">
        <f t="shared" si="2"/>
        <v>0</v>
      </c>
    </row>
    <row r="45" spans="1:5" s="220" customFormat="1" ht="57.75" customHeight="1">
      <c r="A45" s="236" t="s">
        <v>1207</v>
      </c>
      <c r="B45" s="233" t="s">
        <v>1203</v>
      </c>
      <c r="C45" s="235">
        <v>0</v>
      </c>
      <c r="D45" s="807"/>
      <c r="E45" s="808">
        <f t="shared" si="2"/>
        <v>0</v>
      </c>
    </row>
    <row r="46" spans="1:5" s="220" customFormat="1" ht="18" customHeight="1" thickBot="1">
      <c r="A46" s="1676" t="s">
        <v>1208</v>
      </c>
      <c r="B46" s="1677"/>
      <c r="C46" s="1677"/>
      <c r="D46" s="1677"/>
      <c r="E46" s="576">
        <f>SUM(E37:E45)</f>
        <v>0</v>
      </c>
    </row>
    <row r="47" spans="1:5" s="220" customFormat="1" ht="18" customHeight="1">
      <c r="A47" s="1657"/>
      <c r="B47" s="1658"/>
      <c r="C47" s="1658"/>
      <c r="D47" s="1658"/>
      <c r="E47" s="1658"/>
    </row>
    <row r="48" spans="1:5" s="220" customFormat="1" ht="18" customHeight="1" thickBot="1">
      <c r="E48" s="222"/>
    </row>
    <row r="49" spans="1:5" s="220" customFormat="1" ht="18" customHeight="1" thickBot="1">
      <c r="A49" s="1055" t="s">
        <v>1212</v>
      </c>
      <c r="B49" s="1056"/>
      <c r="C49" s="1056"/>
      <c r="D49" s="1056"/>
      <c r="E49" s="1057"/>
    </row>
    <row r="50" spans="1:5" s="220" customFormat="1" ht="29.25" customHeight="1">
      <c r="A50" s="1678" t="s">
        <v>1213</v>
      </c>
      <c r="B50" s="1679"/>
      <c r="C50" s="1679"/>
      <c r="D50" s="1679"/>
      <c r="E50" s="1680"/>
    </row>
    <row r="51" spans="1:5" s="220" customFormat="1" ht="18" customHeight="1">
      <c r="A51" s="1067" t="s">
        <v>391</v>
      </c>
      <c r="B51" s="1068"/>
      <c r="C51" s="1068" t="s">
        <v>18</v>
      </c>
      <c r="D51" s="1068"/>
      <c r="E51" s="1659"/>
    </row>
    <row r="52" spans="1:5" s="220" customFormat="1" ht="28.5" customHeight="1">
      <c r="A52" s="1660" t="s">
        <v>1214</v>
      </c>
      <c r="B52" s="1661"/>
      <c r="C52" s="1655" t="s">
        <v>1215</v>
      </c>
      <c r="D52" s="1655"/>
      <c r="E52" s="1656"/>
    </row>
    <row r="53" spans="1:5" s="220" customFormat="1" ht="27" customHeight="1">
      <c r="A53" s="1662" t="s">
        <v>1216</v>
      </c>
      <c r="B53" s="1663"/>
      <c r="C53" s="1655" t="s">
        <v>1217</v>
      </c>
      <c r="D53" s="1655"/>
      <c r="E53" s="1656"/>
    </row>
    <row r="54" spans="1:5" s="220" customFormat="1" ht="39" customHeight="1">
      <c r="A54" s="1662" t="s">
        <v>1218</v>
      </c>
      <c r="B54" s="1663"/>
      <c r="C54" s="1655" t="s">
        <v>1219</v>
      </c>
      <c r="D54" s="1655"/>
      <c r="E54" s="1656"/>
    </row>
    <row r="55" spans="1:5" s="220" customFormat="1" ht="54.75" customHeight="1">
      <c r="A55" s="1662" t="s">
        <v>1220</v>
      </c>
      <c r="B55" s="1663"/>
      <c r="C55" s="1655" t="s">
        <v>1221</v>
      </c>
      <c r="D55" s="1655"/>
      <c r="E55" s="1656"/>
    </row>
    <row r="56" spans="1:5" s="220" customFormat="1" ht="25.5" customHeight="1">
      <c r="A56" s="1662" t="s">
        <v>1222</v>
      </c>
      <c r="B56" s="1663"/>
      <c r="C56" s="1655" t="s">
        <v>1223</v>
      </c>
      <c r="D56" s="1655"/>
      <c r="E56" s="1656"/>
    </row>
    <row r="57" spans="1:5" s="220" customFormat="1" ht="42.75" customHeight="1">
      <c r="A57" s="1662" t="s">
        <v>1224</v>
      </c>
      <c r="B57" s="1663"/>
      <c r="C57" s="1655" t="s">
        <v>1225</v>
      </c>
      <c r="D57" s="1655"/>
      <c r="E57" s="1656"/>
    </row>
    <row r="58" spans="1:5" s="220" customFormat="1" ht="44.25" customHeight="1">
      <c r="A58" s="1662" t="s">
        <v>1226</v>
      </c>
      <c r="B58" s="1663"/>
      <c r="C58" s="1655" t="s">
        <v>1227</v>
      </c>
      <c r="D58" s="1655"/>
      <c r="E58" s="1656"/>
    </row>
    <row r="59" spans="1:5" s="220" customFormat="1" ht="33" customHeight="1">
      <c r="A59" s="1662" t="s">
        <v>1228</v>
      </c>
      <c r="B59" s="1663"/>
      <c r="C59" s="1655" t="s">
        <v>1229</v>
      </c>
      <c r="D59" s="1655"/>
      <c r="E59" s="1656"/>
    </row>
    <row r="60" spans="1:5" s="220" customFormat="1" ht="54.75" customHeight="1">
      <c r="A60" s="1662" t="s">
        <v>1230</v>
      </c>
      <c r="B60" s="1663"/>
      <c r="C60" s="1655" t="s">
        <v>1231</v>
      </c>
      <c r="D60" s="1655"/>
      <c r="E60" s="1656"/>
    </row>
    <row r="61" spans="1:5" s="220" customFormat="1" ht="32.25" customHeight="1" thickBot="1">
      <c r="A61" s="1674" t="s">
        <v>1232</v>
      </c>
      <c r="B61" s="1675"/>
      <c r="C61" s="1672" t="s">
        <v>1233</v>
      </c>
      <c r="D61" s="1672"/>
      <c r="E61" s="1673"/>
    </row>
    <row r="62" spans="1:5" s="220" customFormat="1" ht="18" customHeight="1">
      <c r="E62" s="222"/>
    </row>
    <row r="63" spans="1:5" s="220" customFormat="1" ht="18" customHeight="1">
      <c r="E63" s="222"/>
    </row>
    <row r="64" spans="1:5" s="220" customFormat="1" ht="18" customHeight="1">
      <c r="E64" s="222"/>
    </row>
    <row r="65" spans="5:5" s="220" customFormat="1" ht="18" customHeight="1">
      <c r="E65" s="222"/>
    </row>
    <row r="66" spans="5:5" s="220" customFormat="1" ht="18" customHeight="1">
      <c r="E66" s="222"/>
    </row>
    <row r="67" spans="5:5" s="220" customFormat="1" ht="18" customHeight="1">
      <c r="E67" s="222"/>
    </row>
    <row r="68" spans="5:5" s="220" customFormat="1" ht="18" customHeight="1">
      <c r="E68" s="222"/>
    </row>
    <row r="69" spans="5:5" s="220" customFormat="1" ht="18" customHeight="1">
      <c r="E69" s="222"/>
    </row>
    <row r="70" spans="5:5" s="220" customFormat="1" ht="18" customHeight="1">
      <c r="E70" s="222"/>
    </row>
    <row r="71" spans="5:5" s="220" customFormat="1" ht="18" customHeight="1">
      <c r="E71" s="222"/>
    </row>
    <row r="72" spans="5:5" s="220" customFormat="1" ht="18" customHeight="1">
      <c r="E72" s="222"/>
    </row>
    <row r="73" spans="5:5" s="220" customFormat="1" ht="18" customHeight="1">
      <c r="E73" s="222"/>
    </row>
    <row r="74" spans="5:5" s="220" customFormat="1" ht="18" customHeight="1">
      <c r="E74" s="222"/>
    </row>
    <row r="75" spans="5:5" s="220" customFormat="1" ht="18" customHeight="1">
      <c r="E75" s="222"/>
    </row>
    <row r="76" spans="5:5" s="220" customFormat="1" ht="18" customHeight="1">
      <c r="E76" s="222"/>
    </row>
    <row r="77" spans="5:5" s="220" customFormat="1" ht="18" customHeight="1">
      <c r="E77" s="222"/>
    </row>
    <row r="78" spans="5:5" s="220" customFormat="1" ht="18" customHeight="1">
      <c r="E78" s="222"/>
    </row>
    <row r="79" spans="5:5" s="220" customFormat="1" ht="18" customHeight="1">
      <c r="E79" s="222"/>
    </row>
    <row r="80" spans="5:5" s="220" customFormat="1" ht="18" customHeight="1">
      <c r="E80" s="222"/>
    </row>
    <row r="81" spans="5:5" s="220" customFormat="1" ht="18" customHeight="1">
      <c r="E81" s="222"/>
    </row>
    <row r="82" spans="5:5" s="220" customFormat="1" ht="18" customHeight="1">
      <c r="E82" s="222"/>
    </row>
    <row r="83" spans="5:5" s="220" customFormat="1" ht="18" customHeight="1">
      <c r="E83" s="222"/>
    </row>
    <row r="84" spans="5:5" s="220" customFormat="1" ht="18" customHeight="1">
      <c r="E84" s="222"/>
    </row>
    <row r="85" spans="5:5" s="220" customFormat="1" ht="18" customHeight="1">
      <c r="E85" s="222"/>
    </row>
    <row r="86" spans="5:5" s="220" customFormat="1" ht="18" customHeight="1">
      <c r="E86" s="222"/>
    </row>
    <row r="87" spans="5:5" s="220" customFormat="1" ht="18" customHeight="1">
      <c r="E87" s="222"/>
    </row>
    <row r="88" spans="5:5" s="220" customFormat="1" ht="18" customHeight="1">
      <c r="E88" s="222"/>
    </row>
    <row r="89" spans="5:5" s="220" customFormat="1" ht="18" customHeight="1">
      <c r="E89" s="222"/>
    </row>
    <row r="90" spans="5:5" s="220" customFormat="1" ht="18" customHeight="1">
      <c r="E90" s="222"/>
    </row>
    <row r="91" spans="5:5" s="220" customFormat="1" ht="18" customHeight="1">
      <c r="E91" s="222"/>
    </row>
    <row r="92" spans="5:5" s="220" customFormat="1" ht="18" customHeight="1">
      <c r="E92" s="222"/>
    </row>
    <row r="93" spans="5:5" s="220" customFormat="1" ht="18" customHeight="1">
      <c r="E93" s="222"/>
    </row>
    <row r="94" spans="5:5" s="220" customFormat="1" ht="18" customHeight="1">
      <c r="E94" s="222"/>
    </row>
    <row r="95" spans="5:5" s="220" customFormat="1" ht="18" customHeight="1">
      <c r="E95" s="222"/>
    </row>
    <row r="96" spans="5:5" s="220" customFormat="1" ht="18" customHeight="1">
      <c r="E96" s="222"/>
    </row>
    <row r="97" spans="5:5" s="220" customFormat="1" ht="18" customHeight="1">
      <c r="E97" s="222"/>
    </row>
    <row r="98" spans="5:5" s="220" customFormat="1" ht="18" customHeight="1">
      <c r="E98" s="222"/>
    </row>
    <row r="99" spans="5:5" s="220" customFormat="1" ht="18" customHeight="1">
      <c r="E99" s="222"/>
    </row>
    <row r="100" spans="5:5" s="220" customFormat="1" ht="18" customHeight="1">
      <c r="E100" s="222"/>
    </row>
    <row r="101" spans="5:5" s="220" customFormat="1" ht="18" customHeight="1">
      <c r="E101" s="222"/>
    </row>
    <row r="102" spans="5:5" s="220" customFormat="1" ht="18" customHeight="1">
      <c r="E102" s="222"/>
    </row>
    <row r="103" spans="5:5" s="220" customFormat="1" ht="18" customHeight="1">
      <c r="E103" s="222"/>
    </row>
    <row r="104" spans="5:5" s="220" customFormat="1" ht="18" customHeight="1">
      <c r="E104" s="222"/>
    </row>
    <row r="105" spans="5:5" s="220" customFormat="1" ht="18" customHeight="1">
      <c r="E105" s="222"/>
    </row>
    <row r="106" spans="5:5" s="220" customFormat="1" ht="18" customHeight="1">
      <c r="E106" s="222"/>
    </row>
    <row r="107" spans="5:5" s="220" customFormat="1" ht="18" customHeight="1">
      <c r="E107" s="222"/>
    </row>
    <row r="108" spans="5:5" s="220" customFormat="1" ht="18" customHeight="1">
      <c r="E108" s="222"/>
    </row>
    <row r="109" spans="5:5" s="220" customFormat="1" ht="18" customHeight="1">
      <c r="E109" s="222"/>
    </row>
    <row r="110" spans="5:5" s="220" customFormat="1" ht="18" customHeight="1">
      <c r="E110" s="222"/>
    </row>
    <row r="111" spans="5:5" s="220" customFormat="1" ht="18" customHeight="1">
      <c r="E111" s="222"/>
    </row>
    <row r="112" spans="5:5" s="220" customFormat="1" ht="18" customHeight="1">
      <c r="E112" s="222"/>
    </row>
    <row r="113" spans="5:5" s="220" customFormat="1" ht="18" customHeight="1">
      <c r="E113" s="222"/>
    </row>
    <row r="114" spans="5:5" s="220" customFormat="1" ht="18" customHeight="1">
      <c r="E114" s="222"/>
    </row>
    <row r="115" spans="5:5" s="220" customFormat="1" ht="18" customHeight="1">
      <c r="E115" s="222"/>
    </row>
    <row r="116" spans="5:5" s="220" customFormat="1" ht="18" customHeight="1">
      <c r="E116" s="222"/>
    </row>
    <row r="117" spans="5:5" s="220" customFormat="1" ht="18" customHeight="1">
      <c r="E117" s="222"/>
    </row>
    <row r="118" spans="5:5" s="220" customFormat="1" ht="18" customHeight="1">
      <c r="E118" s="222"/>
    </row>
    <row r="119" spans="5:5" s="220" customFormat="1" ht="18" customHeight="1">
      <c r="E119" s="222"/>
    </row>
    <row r="120" spans="5:5" s="220" customFormat="1" ht="18" customHeight="1">
      <c r="E120" s="222"/>
    </row>
    <row r="121" spans="5:5" s="220" customFormat="1" ht="18" customHeight="1">
      <c r="E121" s="222"/>
    </row>
    <row r="122" spans="5:5" s="220" customFormat="1" ht="18" customHeight="1">
      <c r="E122" s="222"/>
    </row>
    <row r="123" spans="5:5" s="220" customFormat="1" ht="18" customHeight="1">
      <c r="E123" s="222"/>
    </row>
    <row r="124" spans="5:5" s="220" customFormat="1" ht="18" customHeight="1">
      <c r="E124" s="222"/>
    </row>
    <row r="125" spans="5:5" s="220" customFormat="1" ht="18" customHeight="1">
      <c r="E125" s="222"/>
    </row>
    <row r="126" spans="5:5" s="220" customFormat="1" ht="18" customHeight="1">
      <c r="E126" s="222"/>
    </row>
    <row r="127" spans="5:5" s="220" customFormat="1" ht="18" customHeight="1">
      <c r="E127" s="222"/>
    </row>
    <row r="128" spans="5:5" s="220" customFormat="1" ht="18" customHeight="1">
      <c r="E128" s="222"/>
    </row>
    <row r="129" spans="5:5" s="220" customFormat="1" ht="18" customHeight="1">
      <c r="E129" s="222"/>
    </row>
    <row r="130" spans="5:5" s="220" customFormat="1" ht="18" customHeight="1">
      <c r="E130" s="222"/>
    </row>
    <row r="131" spans="5:5" s="220" customFormat="1" ht="18" customHeight="1">
      <c r="E131" s="222"/>
    </row>
    <row r="132" spans="5:5" s="220" customFormat="1" ht="18" customHeight="1">
      <c r="E132" s="222"/>
    </row>
    <row r="133" spans="5:5" s="220" customFormat="1" ht="18" customHeight="1">
      <c r="E133" s="222"/>
    </row>
    <row r="134" spans="5:5" s="220" customFormat="1" ht="18" customHeight="1">
      <c r="E134" s="222"/>
    </row>
    <row r="135" spans="5:5" s="220" customFormat="1" ht="18" customHeight="1">
      <c r="E135" s="222"/>
    </row>
    <row r="136" spans="5:5" s="220" customFormat="1" ht="18" customHeight="1">
      <c r="E136" s="222"/>
    </row>
    <row r="137" spans="5:5" s="220" customFormat="1" ht="18" customHeight="1">
      <c r="E137" s="222"/>
    </row>
    <row r="138" spans="5:5" s="220" customFormat="1" ht="18" customHeight="1">
      <c r="E138" s="222"/>
    </row>
    <row r="139" spans="5:5" s="220" customFormat="1" ht="18" customHeight="1">
      <c r="E139" s="222"/>
    </row>
    <row r="140" spans="5:5" s="220" customFormat="1" ht="18" customHeight="1">
      <c r="E140" s="222"/>
    </row>
    <row r="141" spans="5:5" s="220" customFormat="1" ht="18" customHeight="1">
      <c r="E141" s="222"/>
    </row>
    <row r="142" spans="5:5" s="220" customFormat="1" ht="18" customHeight="1">
      <c r="E142" s="222"/>
    </row>
    <row r="143" spans="5:5" s="220" customFormat="1" ht="18" customHeight="1">
      <c r="E143" s="222"/>
    </row>
    <row r="144" spans="5:5" s="220" customFormat="1" ht="18" customHeight="1">
      <c r="E144" s="222"/>
    </row>
    <row r="145" spans="5:5" s="220" customFormat="1" ht="18" customHeight="1">
      <c r="E145" s="222"/>
    </row>
    <row r="146" spans="5:5" s="220" customFormat="1" ht="18" customHeight="1">
      <c r="E146" s="222"/>
    </row>
    <row r="147" spans="5:5" s="220" customFormat="1" ht="18" customHeight="1">
      <c r="E147" s="222"/>
    </row>
    <row r="148" spans="5:5" s="220" customFormat="1" ht="18" customHeight="1">
      <c r="E148" s="222"/>
    </row>
    <row r="149" spans="5:5" s="220" customFormat="1" ht="18" customHeight="1">
      <c r="E149" s="222"/>
    </row>
    <row r="150" spans="5:5" s="220" customFormat="1" ht="18" customHeight="1">
      <c r="E150" s="222"/>
    </row>
    <row r="151" spans="5:5" s="220" customFormat="1" ht="18" customHeight="1">
      <c r="E151" s="222"/>
    </row>
    <row r="152" spans="5:5" s="220" customFormat="1" ht="18" customHeight="1">
      <c r="E152" s="222"/>
    </row>
    <row r="153" spans="5:5" s="220" customFormat="1" ht="18" customHeight="1">
      <c r="E153" s="222"/>
    </row>
    <row r="154" spans="5:5" s="220" customFormat="1" ht="18" customHeight="1">
      <c r="E154" s="222"/>
    </row>
    <row r="155" spans="5:5" s="220" customFormat="1" ht="18" customHeight="1">
      <c r="E155" s="222"/>
    </row>
    <row r="156" spans="5:5" s="220" customFormat="1" ht="18" customHeight="1">
      <c r="E156" s="222"/>
    </row>
    <row r="157" spans="5:5" s="220" customFormat="1" ht="18" customHeight="1">
      <c r="E157" s="222"/>
    </row>
    <row r="158" spans="5:5" s="220" customFormat="1" ht="18" customHeight="1">
      <c r="E158" s="222"/>
    </row>
    <row r="159" spans="5:5" s="220" customFormat="1" ht="18" customHeight="1">
      <c r="E159" s="222"/>
    </row>
    <row r="160" spans="5:5" s="220" customFormat="1" ht="18" customHeight="1">
      <c r="E160" s="222"/>
    </row>
    <row r="161" spans="5:5" s="220" customFormat="1" ht="18" customHeight="1">
      <c r="E161" s="222"/>
    </row>
    <row r="162" spans="5:5" s="220" customFormat="1" ht="18" customHeight="1">
      <c r="E162" s="222"/>
    </row>
    <row r="163" spans="5:5" s="220" customFormat="1" ht="18" customHeight="1">
      <c r="E163" s="222"/>
    </row>
    <row r="164" spans="5:5" s="220" customFormat="1" ht="18" customHeight="1">
      <c r="E164" s="222"/>
    </row>
    <row r="165" spans="5:5" s="220" customFormat="1" ht="18" customHeight="1">
      <c r="E165" s="222"/>
    </row>
    <row r="166" spans="5:5" s="220" customFormat="1" ht="18" customHeight="1">
      <c r="E166" s="222"/>
    </row>
    <row r="167" spans="5:5" s="220" customFormat="1" ht="18" customHeight="1">
      <c r="E167" s="222"/>
    </row>
    <row r="168" spans="5:5" s="220" customFormat="1" ht="18" customHeight="1">
      <c r="E168" s="222"/>
    </row>
    <row r="169" spans="5:5" s="220" customFormat="1" ht="18" customHeight="1">
      <c r="E169" s="222"/>
    </row>
    <row r="170" spans="5:5" s="220" customFormat="1" ht="18" customHeight="1">
      <c r="E170" s="222"/>
    </row>
    <row r="171" spans="5:5" s="220" customFormat="1" ht="18" customHeight="1">
      <c r="E171" s="222"/>
    </row>
    <row r="172" spans="5:5" s="220" customFormat="1" ht="18" customHeight="1">
      <c r="E172" s="222"/>
    </row>
    <row r="173" spans="5:5" s="220" customFormat="1" ht="18" customHeight="1">
      <c r="E173" s="222"/>
    </row>
    <row r="174" spans="5:5" s="220" customFormat="1" ht="18" customHeight="1">
      <c r="E174" s="222"/>
    </row>
    <row r="175" spans="5:5" s="220" customFormat="1" ht="18" customHeight="1">
      <c r="E175" s="222"/>
    </row>
    <row r="176" spans="5:5" s="220" customFormat="1" ht="18" customHeight="1">
      <c r="E176" s="222"/>
    </row>
    <row r="177" spans="5:5" s="220" customFormat="1" ht="18" customHeight="1">
      <c r="E177" s="222"/>
    </row>
    <row r="178" spans="5:5" s="220" customFormat="1" ht="18" customHeight="1">
      <c r="E178" s="222"/>
    </row>
    <row r="179" spans="5:5" s="220" customFormat="1" ht="18" customHeight="1">
      <c r="E179" s="222"/>
    </row>
    <row r="180" spans="5:5" s="220" customFormat="1" ht="18" customHeight="1">
      <c r="E180" s="222"/>
    </row>
    <row r="181" spans="5:5" s="220" customFormat="1" ht="18" customHeight="1">
      <c r="E181" s="222"/>
    </row>
    <row r="182" spans="5:5" s="220" customFormat="1" ht="18" customHeight="1">
      <c r="E182" s="222"/>
    </row>
    <row r="183" spans="5:5" s="220" customFormat="1" ht="18" customHeight="1">
      <c r="E183" s="222"/>
    </row>
    <row r="184" spans="5:5" s="220" customFormat="1" ht="18" customHeight="1">
      <c r="E184" s="222"/>
    </row>
    <row r="185" spans="5:5" s="220" customFormat="1" ht="18" customHeight="1">
      <c r="E185" s="222"/>
    </row>
    <row r="186" spans="5:5" s="220" customFormat="1" ht="18" customHeight="1">
      <c r="E186" s="222"/>
    </row>
    <row r="187" spans="5:5" s="220" customFormat="1" ht="18" customHeight="1">
      <c r="E187" s="222"/>
    </row>
    <row r="188" spans="5:5" s="220" customFormat="1" ht="18" customHeight="1">
      <c r="E188" s="222"/>
    </row>
    <row r="189" spans="5:5" s="220" customFormat="1" ht="18" customHeight="1">
      <c r="E189" s="222"/>
    </row>
    <row r="190" spans="5:5" s="220" customFormat="1" ht="18" customHeight="1">
      <c r="E190" s="222"/>
    </row>
    <row r="191" spans="5:5" s="220" customFormat="1" ht="18" customHeight="1">
      <c r="E191" s="222"/>
    </row>
    <row r="192" spans="5:5" s="220" customFormat="1" ht="18" customHeight="1">
      <c r="E192" s="222"/>
    </row>
    <row r="193" spans="5:5" s="220" customFormat="1" ht="18" customHeight="1">
      <c r="E193" s="222"/>
    </row>
    <row r="194" spans="5:5" s="220" customFormat="1" ht="18" customHeight="1">
      <c r="E194" s="222"/>
    </row>
    <row r="195" spans="5:5" s="220" customFormat="1" ht="18" customHeight="1">
      <c r="E195" s="222"/>
    </row>
    <row r="196" spans="5:5" s="220" customFormat="1" ht="18" customHeight="1">
      <c r="E196" s="222"/>
    </row>
    <row r="197" spans="5:5" s="220" customFormat="1" ht="18" customHeight="1">
      <c r="E197" s="222"/>
    </row>
    <row r="198" spans="5:5" s="220" customFormat="1" ht="18" customHeight="1">
      <c r="E198" s="222"/>
    </row>
    <row r="199" spans="5:5" s="220" customFormat="1" ht="18" customHeight="1">
      <c r="E199" s="222"/>
    </row>
    <row r="200" spans="5:5" s="220" customFormat="1" ht="18" customHeight="1">
      <c r="E200" s="222"/>
    </row>
    <row r="201" spans="5:5" s="220" customFormat="1" ht="18" customHeight="1">
      <c r="E201" s="222"/>
    </row>
    <row r="202" spans="5:5" s="220" customFormat="1" ht="18" customHeight="1">
      <c r="E202" s="222"/>
    </row>
    <row r="203" spans="5:5" s="220" customFormat="1" ht="18" customHeight="1">
      <c r="E203" s="222"/>
    </row>
    <row r="204" spans="5:5" s="220" customFormat="1" ht="18" customHeight="1">
      <c r="E204" s="222"/>
    </row>
    <row r="205" spans="5:5" s="220" customFormat="1" ht="18" customHeight="1">
      <c r="E205" s="222"/>
    </row>
    <row r="206" spans="5:5" s="220" customFormat="1" ht="18" customHeight="1">
      <c r="E206" s="222"/>
    </row>
    <row r="207" spans="5:5" s="220" customFormat="1" ht="18" customHeight="1">
      <c r="E207" s="222"/>
    </row>
    <row r="208" spans="5:5" s="220" customFormat="1" ht="18" customHeight="1">
      <c r="E208" s="222"/>
    </row>
    <row r="209" spans="5:5" s="220" customFormat="1" ht="18" customHeight="1">
      <c r="E209" s="222"/>
    </row>
    <row r="210" spans="5:5" s="220" customFormat="1" ht="18" customHeight="1">
      <c r="E210" s="222"/>
    </row>
    <row r="211" spans="5:5" s="220" customFormat="1" ht="18" customHeight="1">
      <c r="E211" s="222"/>
    </row>
    <row r="212" spans="5:5" s="220" customFormat="1" ht="18" customHeight="1">
      <c r="E212" s="222"/>
    </row>
    <row r="213" spans="5:5" s="220" customFormat="1" ht="18" customHeight="1">
      <c r="E213" s="222"/>
    </row>
    <row r="214" spans="5:5" s="220" customFormat="1" ht="18" customHeight="1">
      <c r="E214" s="222"/>
    </row>
    <row r="215" spans="5:5" s="220" customFormat="1" ht="18" customHeight="1">
      <c r="E215" s="222"/>
    </row>
    <row r="216" spans="5:5" s="220" customFormat="1" ht="18" customHeight="1">
      <c r="E216" s="222"/>
    </row>
    <row r="217" spans="5:5" s="220" customFormat="1" ht="18" customHeight="1">
      <c r="E217" s="222"/>
    </row>
    <row r="218" spans="5:5" s="220" customFormat="1" ht="18" customHeight="1">
      <c r="E218" s="222"/>
    </row>
    <row r="219" spans="5:5" s="220" customFormat="1" ht="18" customHeight="1">
      <c r="E219" s="222"/>
    </row>
    <row r="220" spans="5:5" s="220" customFormat="1" ht="18" customHeight="1">
      <c r="E220" s="222"/>
    </row>
    <row r="221" spans="5:5" s="220" customFormat="1" ht="18" customHeight="1">
      <c r="E221" s="222"/>
    </row>
    <row r="222" spans="5:5" s="220" customFormat="1" ht="18" customHeight="1">
      <c r="E222" s="222"/>
    </row>
    <row r="223" spans="5:5" s="220" customFormat="1" ht="18" customHeight="1">
      <c r="E223" s="222"/>
    </row>
    <row r="224" spans="5:5" s="220" customFormat="1" ht="18" customHeight="1">
      <c r="E224" s="222"/>
    </row>
    <row r="225" spans="5:5" s="220" customFormat="1" ht="18" customHeight="1">
      <c r="E225" s="222"/>
    </row>
    <row r="226" spans="5:5" s="220" customFormat="1" ht="18" customHeight="1">
      <c r="E226" s="222"/>
    </row>
    <row r="227" spans="5:5" s="220" customFormat="1" ht="18" customHeight="1">
      <c r="E227" s="222"/>
    </row>
    <row r="228" spans="5:5" s="220" customFormat="1" ht="18" customHeight="1">
      <c r="E228" s="222"/>
    </row>
    <row r="229" spans="5:5" s="220" customFormat="1" ht="18" customHeight="1">
      <c r="E229" s="222"/>
    </row>
    <row r="230" spans="5:5" s="220" customFormat="1" ht="18" customHeight="1">
      <c r="E230" s="222"/>
    </row>
    <row r="231" spans="5:5" s="220" customFormat="1" ht="18" customHeight="1">
      <c r="E231" s="222"/>
    </row>
    <row r="232" spans="5:5" s="220" customFormat="1" ht="18" customHeight="1">
      <c r="E232" s="222"/>
    </row>
    <row r="233" spans="5:5" s="220" customFormat="1" ht="18" customHeight="1">
      <c r="E233" s="222"/>
    </row>
    <row r="234" spans="5:5" s="220" customFormat="1" ht="18" customHeight="1">
      <c r="E234" s="222"/>
    </row>
    <row r="235" spans="5:5" s="220" customFormat="1" ht="18" customHeight="1">
      <c r="E235" s="222"/>
    </row>
    <row r="236" spans="5:5" s="220" customFormat="1" ht="18" customHeight="1">
      <c r="E236" s="222"/>
    </row>
    <row r="237" spans="5:5" s="220" customFormat="1" ht="18" customHeight="1">
      <c r="E237" s="222"/>
    </row>
    <row r="238" spans="5:5" s="220" customFormat="1" ht="18" customHeight="1">
      <c r="E238" s="222"/>
    </row>
    <row r="239" spans="5:5" s="220" customFormat="1" ht="18" customHeight="1">
      <c r="E239" s="222"/>
    </row>
    <row r="240" spans="5:5" s="220" customFormat="1" ht="18" customHeight="1">
      <c r="E240" s="222"/>
    </row>
    <row r="241" spans="5:5" s="220" customFormat="1" ht="18" customHeight="1">
      <c r="E241" s="222"/>
    </row>
    <row r="242" spans="5:5" s="220" customFormat="1" ht="18" customHeight="1">
      <c r="E242" s="222"/>
    </row>
    <row r="243" spans="5:5" s="220" customFormat="1" ht="18" customHeight="1">
      <c r="E243" s="222"/>
    </row>
    <row r="244" spans="5:5" s="220" customFormat="1" ht="18" customHeight="1">
      <c r="E244" s="222"/>
    </row>
    <row r="245" spans="5:5" s="220" customFormat="1" ht="18" customHeight="1">
      <c r="E245" s="222"/>
    </row>
    <row r="246" spans="5:5" s="220" customFormat="1" ht="18" customHeight="1">
      <c r="E246" s="222"/>
    </row>
    <row r="247" spans="5:5" s="220" customFormat="1" ht="18" customHeight="1">
      <c r="E247" s="222"/>
    </row>
    <row r="248" spans="5:5" s="220" customFormat="1" ht="18" customHeight="1">
      <c r="E248" s="222"/>
    </row>
    <row r="249" spans="5:5" s="220" customFormat="1" ht="18" customHeight="1">
      <c r="E249" s="222"/>
    </row>
    <row r="250" spans="5:5" s="220" customFormat="1" ht="18" customHeight="1">
      <c r="E250" s="222"/>
    </row>
    <row r="251" spans="5:5" s="220" customFormat="1" ht="18" customHeight="1">
      <c r="E251" s="222"/>
    </row>
    <row r="252" spans="5:5" s="220" customFormat="1" ht="18" customHeight="1">
      <c r="E252" s="222"/>
    </row>
    <row r="253" spans="5:5" s="220" customFormat="1" ht="18" customHeight="1">
      <c r="E253" s="222"/>
    </row>
    <row r="254" spans="5:5" s="220" customFormat="1" ht="18" customHeight="1">
      <c r="E254" s="222"/>
    </row>
    <row r="255" spans="5:5" s="220" customFormat="1" ht="18" customHeight="1">
      <c r="E255" s="222"/>
    </row>
    <row r="256" spans="5:5" s="220" customFormat="1" ht="18" customHeight="1">
      <c r="E256" s="222"/>
    </row>
    <row r="257" spans="5:5" s="220" customFormat="1" ht="18" customHeight="1">
      <c r="E257" s="222"/>
    </row>
    <row r="258" spans="5:5" s="220" customFormat="1" ht="18" customHeight="1">
      <c r="E258" s="222"/>
    </row>
    <row r="259" spans="5:5" s="220" customFormat="1" ht="18" customHeight="1">
      <c r="E259" s="222"/>
    </row>
    <row r="260" spans="5:5" s="220" customFormat="1" ht="18" customHeight="1">
      <c r="E260" s="222"/>
    </row>
    <row r="261" spans="5:5" s="220" customFormat="1" ht="18" customHeight="1">
      <c r="E261" s="222"/>
    </row>
    <row r="262" spans="5:5" s="220" customFormat="1" ht="18" customHeight="1">
      <c r="E262" s="222"/>
    </row>
    <row r="263" spans="5:5" s="220" customFormat="1" ht="18" customHeight="1">
      <c r="E263" s="222"/>
    </row>
    <row r="264" spans="5:5" s="220" customFormat="1" ht="18" customHeight="1">
      <c r="E264" s="222"/>
    </row>
    <row r="265" spans="5:5" s="220" customFormat="1" ht="18" customHeight="1">
      <c r="E265" s="222"/>
    </row>
    <row r="266" spans="5:5" s="220" customFormat="1" ht="18" customHeight="1">
      <c r="E266" s="222"/>
    </row>
    <row r="267" spans="5:5" s="220" customFormat="1" ht="18" customHeight="1">
      <c r="E267" s="222"/>
    </row>
    <row r="268" spans="5:5" s="220" customFormat="1" ht="18" customHeight="1">
      <c r="E268" s="222"/>
    </row>
    <row r="269" spans="5:5" s="220" customFormat="1" ht="18" customHeight="1">
      <c r="E269" s="222"/>
    </row>
    <row r="270" spans="5:5" s="220" customFormat="1" ht="18" customHeight="1">
      <c r="E270" s="222"/>
    </row>
    <row r="271" spans="5:5" s="220" customFormat="1" ht="18" customHeight="1">
      <c r="E271" s="222"/>
    </row>
    <row r="272" spans="5:5" s="220" customFormat="1" ht="18" customHeight="1">
      <c r="E272" s="222"/>
    </row>
    <row r="273" spans="5:5" s="220" customFormat="1" ht="18" customHeight="1">
      <c r="E273" s="222"/>
    </row>
    <row r="274" spans="5:5" s="220" customFormat="1" ht="18" customHeight="1">
      <c r="E274" s="222"/>
    </row>
    <row r="275" spans="5:5" s="220" customFormat="1" ht="18" customHeight="1">
      <c r="E275" s="222"/>
    </row>
    <row r="276" spans="5:5" s="220" customFormat="1" ht="18" customHeight="1">
      <c r="E276" s="222"/>
    </row>
    <row r="277" spans="5:5" s="220" customFormat="1" ht="18" customHeight="1">
      <c r="E277" s="222"/>
    </row>
    <row r="278" spans="5:5" s="220" customFormat="1" ht="18" customHeight="1">
      <c r="E278" s="222"/>
    </row>
    <row r="279" spans="5:5" s="220" customFormat="1" ht="18" customHeight="1">
      <c r="E279" s="222"/>
    </row>
    <row r="280" spans="5:5" s="220" customFormat="1" ht="18" customHeight="1">
      <c r="E280" s="222"/>
    </row>
    <row r="281" spans="5:5" s="220" customFormat="1" ht="18" customHeight="1">
      <c r="E281" s="222"/>
    </row>
    <row r="282" spans="5:5" s="220" customFormat="1" ht="18" customHeight="1">
      <c r="E282" s="222"/>
    </row>
    <row r="283" spans="5:5" s="220" customFormat="1" ht="18" customHeight="1">
      <c r="E283" s="222"/>
    </row>
    <row r="284" spans="5:5" s="220" customFormat="1" ht="18" customHeight="1">
      <c r="E284" s="222"/>
    </row>
    <row r="285" spans="5:5" s="220" customFormat="1" ht="18" customHeight="1">
      <c r="E285" s="222"/>
    </row>
    <row r="286" spans="5:5" s="220" customFormat="1" ht="18" customHeight="1">
      <c r="E286" s="222"/>
    </row>
    <row r="287" spans="5:5" s="220" customFormat="1" ht="18" customHeight="1">
      <c r="E287" s="222"/>
    </row>
    <row r="288" spans="5:5" s="220" customFormat="1" ht="18" customHeight="1">
      <c r="E288" s="222"/>
    </row>
    <row r="289" spans="5:5" s="220" customFormat="1" ht="18" customHeight="1">
      <c r="E289" s="222"/>
    </row>
    <row r="290" spans="5:5" s="220" customFormat="1" ht="18" customHeight="1">
      <c r="E290" s="222"/>
    </row>
    <row r="291" spans="5:5" s="220" customFormat="1" ht="18" customHeight="1">
      <c r="E291" s="222"/>
    </row>
    <row r="292" spans="5:5" s="220" customFormat="1" ht="18" customHeight="1">
      <c r="E292" s="222"/>
    </row>
  </sheetData>
  <sheetProtection algorithmName="SHA-512" hashValue="4XMVze1xEiFc4LmwPFKA8wl0nusHDVzf6d2RFV7zbZPtyggnkxDSOyPmiwQJmTne9/jteHVMHqSsZb4VJMRA+g==" saltValue="2ZYhktloImIteoc0CoaGqg==" spinCount="100000" sheet="1" formatCells="0" formatColumns="0" formatRows="0" insertColumns="0" insertRows="0" insertHyperlinks="0" deleteColumns="0" deleteRows="0" sort="0" autoFilter="0" pivotTables="0"/>
  <mergeCells count="41">
    <mergeCell ref="C61:E61"/>
    <mergeCell ref="A23:D23"/>
    <mergeCell ref="A24:E24"/>
    <mergeCell ref="A35:D35"/>
    <mergeCell ref="A36:E36"/>
    <mergeCell ref="C52:E52"/>
    <mergeCell ref="A61:B61"/>
    <mergeCell ref="A57:B57"/>
    <mergeCell ref="A58:B58"/>
    <mergeCell ref="A59:B59"/>
    <mergeCell ref="A54:B54"/>
    <mergeCell ref="A55:B55"/>
    <mergeCell ref="A56:B56"/>
    <mergeCell ref="A46:D46"/>
    <mergeCell ref="A50:E50"/>
    <mergeCell ref="A60:B60"/>
    <mergeCell ref="A7:D7"/>
    <mergeCell ref="A5:E5"/>
    <mergeCell ref="A9:E9"/>
    <mergeCell ref="A15:D15"/>
    <mergeCell ref="A16:E16"/>
    <mergeCell ref="A6:E6"/>
    <mergeCell ref="B1:E1"/>
    <mergeCell ref="B2:E2"/>
    <mergeCell ref="B3:C3"/>
    <mergeCell ref="D3:E3"/>
    <mergeCell ref="A1:A3"/>
    <mergeCell ref="C59:E59"/>
    <mergeCell ref="C60:E60"/>
    <mergeCell ref="A47:E47"/>
    <mergeCell ref="C53:E53"/>
    <mergeCell ref="C54:E54"/>
    <mergeCell ref="C55:E55"/>
    <mergeCell ref="C56:E56"/>
    <mergeCell ref="A49:E49"/>
    <mergeCell ref="C51:E51"/>
    <mergeCell ref="A51:B51"/>
    <mergeCell ref="A52:B52"/>
    <mergeCell ref="A53:B53"/>
    <mergeCell ref="C57:E57"/>
    <mergeCell ref="C58:E58"/>
  </mergeCells>
  <dataValidations count="1">
    <dataValidation type="list" allowBlank="1" showInputMessage="1" showErrorMessage="1" sqref="D10:D14 D37:D45 D25:D34 D17:D22" xr:uid="{00000000-0002-0000-1F00-000000000000}">
      <formula1>"Si, No"</formula1>
    </dataValidation>
  </dataValidations>
  <hyperlinks>
    <hyperlink ref="F1" location="ins" display="Instructivo" xr:uid="{00000000-0004-0000-1F00-000000000000}"/>
  </hyperlinks>
  <printOptions horizontalCentered="1"/>
  <pageMargins left="0" right="0" top="0" bottom="0" header="0" footer="0"/>
  <pageSetup fitToHeight="0" orientation="landscape" r:id="rId1"/>
  <drawing r:id="rId2"/>
  <legacy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34">
    <tabColor theme="0" tint="-0.249977111117893"/>
    <pageSetUpPr fitToPage="1"/>
  </sheetPr>
  <dimension ref="A1:AX82"/>
  <sheetViews>
    <sheetView showGridLines="0" zoomScaleNormal="100" workbookViewId="0">
      <selection activeCell="A22" sqref="A22:E22"/>
    </sheetView>
  </sheetViews>
  <sheetFormatPr defaultColWidth="11.5" defaultRowHeight="18" customHeight="1"/>
  <cols>
    <col min="1" max="1" width="33.1640625" style="221" customWidth="1"/>
    <col min="2" max="2" width="47.1640625" style="221" customWidth="1"/>
    <col min="3" max="3" width="17.33203125" style="221" customWidth="1"/>
    <col min="4" max="4" width="18.6640625" style="221" customWidth="1"/>
    <col min="5" max="5" width="19.1640625" style="229" customWidth="1"/>
    <col min="6" max="6" width="16.83203125" style="220" customWidth="1"/>
    <col min="7" max="50" width="11.5" style="220"/>
    <col min="51" max="16384" width="11.5" style="221"/>
  </cols>
  <sheetData>
    <row r="1" spans="1:7" ht="18" customHeight="1">
      <c r="A1" s="1532"/>
      <c r="B1" s="1309" t="s">
        <v>0</v>
      </c>
      <c r="C1" s="1309"/>
      <c r="D1" s="1309"/>
      <c r="E1" s="1310"/>
      <c r="F1" s="366" t="s">
        <v>104</v>
      </c>
      <c r="G1" s="65"/>
    </row>
    <row r="2" spans="1:7" ht="18" customHeight="1">
      <c r="A2" s="1534"/>
      <c r="B2" s="1312" t="s">
        <v>1234</v>
      </c>
      <c r="C2" s="1312"/>
      <c r="D2" s="1312"/>
      <c r="E2" s="1313"/>
      <c r="F2" s="408" t="s">
        <v>42</v>
      </c>
    </row>
    <row r="3" spans="1:7" ht="18" customHeight="1" thickBot="1">
      <c r="A3" s="1536"/>
      <c r="B3" s="1082" t="s">
        <v>2</v>
      </c>
      <c r="C3" s="1082"/>
      <c r="D3" s="1082" t="s">
        <v>3</v>
      </c>
      <c r="E3" s="1123"/>
    </row>
    <row r="4" spans="1:7" s="220" customFormat="1" ht="18" customHeight="1" thickBot="1">
      <c r="E4" s="222"/>
    </row>
    <row r="5" spans="1:7" s="220" customFormat="1" ht="30.75" customHeight="1" thickBot="1">
      <c r="A5" s="1622" t="s">
        <v>1235</v>
      </c>
      <c r="B5" s="1681"/>
      <c r="C5" s="1681"/>
      <c r="D5" s="1681"/>
      <c r="E5" s="1682"/>
    </row>
    <row r="6" spans="1:7" s="220" customFormat="1" ht="18" customHeight="1" thickBot="1">
      <c r="A6" s="1640"/>
      <c r="B6" s="1640"/>
      <c r="C6" s="1640"/>
      <c r="D6" s="1640"/>
      <c r="E6" s="1640"/>
    </row>
    <row r="7" spans="1:7" s="220" customFormat="1" ht="18" customHeight="1">
      <c r="A7" s="1636" t="s">
        <v>1236</v>
      </c>
      <c r="B7" s="1637"/>
      <c r="C7" s="1637"/>
      <c r="D7" s="1637"/>
      <c r="E7" s="1638"/>
    </row>
    <row r="8" spans="1:7" s="220" customFormat="1" ht="55.5" customHeight="1">
      <c r="A8" s="1639" t="s">
        <v>1237</v>
      </c>
      <c r="B8" s="1648"/>
      <c r="C8" s="1648"/>
      <c r="D8" s="1648"/>
      <c r="E8" s="1683"/>
    </row>
    <row r="9" spans="1:7" s="220" customFormat="1" ht="18" customHeight="1" thickBot="1">
      <c r="A9" s="1684" t="s">
        <v>1238</v>
      </c>
      <c r="B9" s="1643"/>
      <c r="C9" s="1643"/>
      <c r="D9" s="1643"/>
      <c r="E9" s="1644"/>
    </row>
    <row r="10" spans="1:7" s="220" customFormat="1" ht="18" customHeight="1" thickBot="1">
      <c r="A10" s="1640"/>
      <c r="B10" s="1640"/>
      <c r="C10" s="1640"/>
      <c r="D10" s="1640"/>
      <c r="E10" s="1640"/>
    </row>
    <row r="11" spans="1:7" s="220" customFormat="1" ht="18" customHeight="1">
      <c r="A11" s="1636" t="s">
        <v>1239</v>
      </c>
      <c r="B11" s="1637"/>
      <c r="C11" s="1637"/>
      <c r="D11" s="1637"/>
      <c r="E11" s="1638"/>
    </row>
    <row r="12" spans="1:7" s="220" customFormat="1" ht="111" customHeight="1">
      <c r="A12" s="1639" t="s">
        <v>1240</v>
      </c>
      <c r="B12" s="1640"/>
      <c r="C12" s="1640"/>
      <c r="D12" s="1640"/>
      <c r="E12" s="1641"/>
    </row>
    <row r="13" spans="1:7" s="220" customFormat="1" ht="18" customHeight="1" thickBot="1">
      <c r="A13" s="1684" t="s">
        <v>1241</v>
      </c>
      <c r="B13" s="1643"/>
      <c r="C13" s="1643"/>
      <c r="D13" s="1643"/>
      <c r="E13" s="1644"/>
    </row>
    <row r="14" spans="1:7" s="220" customFormat="1" ht="18" customHeight="1" thickBot="1">
      <c r="A14" s="1640"/>
      <c r="B14" s="1640"/>
      <c r="C14" s="1640"/>
      <c r="D14" s="1640"/>
      <c r="E14" s="1640"/>
    </row>
    <row r="15" spans="1:7" s="220" customFormat="1" ht="18" customHeight="1">
      <c r="A15" s="1636" t="s">
        <v>1242</v>
      </c>
      <c r="B15" s="1637"/>
      <c r="C15" s="1637"/>
      <c r="D15" s="1637"/>
      <c r="E15" s="1638"/>
    </row>
    <row r="16" spans="1:7" s="220" customFormat="1" ht="66" customHeight="1">
      <c r="A16" s="1639" t="s">
        <v>1243</v>
      </c>
      <c r="B16" s="1640"/>
      <c r="C16" s="1640"/>
      <c r="D16" s="1640"/>
      <c r="E16" s="1641"/>
    </row>
    <row r="17" spans="1:5" s="220" customFormat="1" ht="18" customHeight="1" thickBot="1">
      <c r="A17" s="1684" t="s">
        <v>1244</v>
      </c>
      <c r="B17" s="1643"/>
      <c r="C17" s="1643"/>
      <c r="D17" s="1643"/>
      <c r="E17" s="1644"/>
    </row>
    <row r="18" spans="1:5" s="220" customFormat="1" ht="18" customHeight="1" thickBot="1">
      <c r="A18" s="1640"/>
      <c r="B18" s="1640"/>
      <c r="C18" s="1640"/>
      <c r="D18" s="1640"/>
      <c r="E18" s="1640"/>
    </row>
    <row r="19" spans="1:5" s="220" customFormat="1" ht="18" customHeight="1">
      <c r="A19" s="1636" t="s">
        <v>1245</v>
      </c>
      <c r="B19" s="1637"/>
      <c r="C19" s="1637"/>
      <c r="D19" s="1637"/>
      <c r="E19" s="1638"/>
    </row>
    <row r="20" spans="1:5" s="220" customFormat="1" ht="102" customHeight="1">
      <c r="A20" s="1639" t="s">
        <v>1246</v>
      </c>
      <c r="B20" s="1640"/>
      <c r="C20" s="1640"/>
      <c r="D20" s="1640"/>
      <c r="E20" s="1641"/>
    </row>
    <row r="21" spans="1:5" s="220" customFormat="1" ht="18" customHeight="1" thickBot="1">
      <c r="A21" s="1684" t="s">
        <v>1247</v>
      </c>
      <c r="B21" s="1643"/>
      <c r="C21" s="1643"/>
      <c r="D21" s="1643"/>
      <c r="E21" s="1644"/>
    </row>
    <row r="22" spans="1:5" s="220" customFormat="1" ht="18" customHeight="1" thickBot="1">
      <c r="A22" s="1640"/>
      <c r="B22" s="1640"/>
      <c r="C22" s="1640"/>
      <c r="D22" s="1640"/>
      <c r="E22" s="1640"/>
    </row>
    <row r="23" spans="1:5" s="220" customFormat="1" ht="18" customHeight="1">
      <c r="A23" s="1636" t="s">
        <v>1248</v>
      </c>
      <c r="B23" s="1637"/>
      <c r="C23" s="1637"/>
      <c r="D23" s="1637"/>
      <c r="E23" s="1638"/>
    </row>
    <row r="24" spans="1:5" s="220" customFormat="1" ht="108.75" customHeight="1">
      <c r="A24" s="1639" t="s">
        <v>1249</v>
      </c>
      <c r="B24" s="1648"/>
      <c r="C24" s="1648"/>
      <c r="D24" s="1648"/>
      <c r="E24" s="1683"/>
    </row>
    <row r="25" spans="1:5" s="220" customFormat="1" ht="18" customHeight="1" thickBot="1">
      <c r="A25" s="1684" t="s">
        <v>1238</v>
      </c>
      <c r="B25" s="1643"/>
      <c r="C25" s="1643"/>
      <c r="D25" s="1643"/>
      <c r="E25" s="1644"/>
    </row>
    <row r="26" spans="1:5" s="220" customFormat="1" ht="18" customHeight="1"/>
    <row r="27" spans="1:5" s="220" customFormat="1" ht="18" customHeight="1"/>
    <row r="28" spans="1:5" s="220" customFormat="1" ht="18" customHeight="1"/>
    <row r="29" spans="1:5" s="220" customFormat="1" ht="18" customHeight="1">
      <c r="E29" s="222"/>
    </row>
    <row r="30" spans="1:5" s="220" customFormat="1" ht="18" customHeight="1">
      <c r="E30" s="222"/>
    </row>
    <row r="31" spans="1:5" s="220" customFormat="1" ht="18" customHeight="1">
      <c r="E31" s="222"/>
    </row>
    <row r="32" spans="1:5" s="220" customFormat="1" ht="18" customHeight="1">
      <c r="E32" s="222"/>
    </row>
    <row r="33" spans="5:5" s="220" customFormat="1" ht="18" customHeight="1">
      <c r="E33" s="222"/>
    </row>
    <row r="34" spans="5:5" s="220" customFormat="1" ht="18" customHeight="1">
      <c r="E34" s="222"/>
    </row>
    <row r="35" spans="5:5" s="220" customFormat="1" ht="18" customHeight="1">
      <c r="E35" s="222"/>
    </row>
    <row r="36" spans="5:5" s="220" customFormat="1" ht="18" customHeight="1">
      <c r="E36" s="222"/>
    </row>
    <row r="37" spans="5:5" s="220" customFormat="1" ht="18" customHeight="1">
      <c r="E37" s="222"/>
    </row>
    <row r="38" spans="5:5" s="220" customFormat="1" ht="18" customHeight="1">
      <c r="E38" s="222"/>
    </row>
    <row r="39" spans="5:5" s="220" customFormat="1" ht="18" customHeight="1">
      <c r="E39" s="222"/>
    </row>
    <row r="40" spans="5:5" s="220" customFormat="1" ht="18" customHeight="1">
      <c r="E40" s="222"/>
    </row>
    <row r="41" spans="5:5" s="220" customFormat="1" ht="18" customHeight="1">
      <c r="E41" s="222"/>
    </row>
    <row r="42" spans="5:5" s="220" customFormat="1" ht="18" customHeight="1">
      <c r="E42" s="222"/>
    </row>
    <row r="43" spans="5:5" s="220" customFormat="1" ht="18" customHeight="1">
      <c r="E43" s="222"/>
    </row>
    <row r="44" spans="5:5" s="220" customFormat="1" ht="18" customHeight="1">
      <c r="E44" s="222"/>
    </row>
    <row r="45" spans="5:5" s="220" customFormat="1" ht="18" customHeight="1">
      <c r="E45" s="222"/>
    </row>
    <row r="46" spans="5:5" s="220" customFormat="1" ht="18" customHeight="1">
      <c r="E46" s="222"/>
    </row>
    <row r="47" spans="5:5" s="220" customFormat="1" ht="18" customHeight="1">
      <c r="E47" s="222"/>
    </row>
    <row r="48" spans="5:5" s="220" customFormat="1" ht="18" customHeight="1">
      <c r="E48" s="222"/>
    </row>
    <row r="49" spans="5:5" s="220" customFormat="1" ht="18" customHeight="1">
      <c r="E49" s="222"/>
    </row>
    <row r="50" spans="5:5" s="220" customFormat="1" ht="18" customHeight="1">
      <c r="E50" s="222"/>
    </row>
    <row r="51" spans="5:5" s="220" customFormat="1" ht="18" customHeight="1">
      <c r="E51" s="222"/>
    </row>
    <row r="52" spans="5:5" s="220" customFormat="1" ht="18" customHeight="1">
      <c r="E52" s="222"/>
    </row>
    <row r="53" spans="5:5" s="220" customFormat="1" ht="18" customHeight="1">
      <c r="E53" s="222"/>
    </row>
    <row r="54" spans="5:5" s="220" customFormat="1" ht="18" customHeight="1">
      <c r="E54" s="222"/>
    </row>
    <row r="55" spans="5:5" s="220" customFormat="1" ht="18" customHeight="1">
      <c r="E55" s="222"/>
    </row>
    <row r="56" spans="5:5" s="220" customFormat="1" ht="18" customHeight="1">
      <c r="E56" s="222"/>
    </row>
    <row r="57" spans="5:5" s="220" customFormat="1" ht="18" customHeight="1">
      <c r="E57" s="222"/>
    </row>
    <row r="58" spans="5:5" s="220" customFormat="1" ht="18" customHeight="1">
      <c r="E58" s="222"/>
    </row>
    <row r="59" spans="5:5" s="220" customFormat="1" ht="18" customHeight="1">
      <c r="E59" s="222"/>
    </row>
    <row r="60" spans="5:5" s="220" customFormat="1" ht="18" customHeight="1">
      <c r="E60" s="222"/>
    </row>
    <row r="61" spans="5:5" s="220" customFormat="1" ht="18" customHeight="1">
      <c r="E61" s="222"/>
    </row>
    <row r="62" spans="5:5" s="220" customFormat="1" ht="18" customHeight="1">
      <c r="E62" s="222"/>
    </row>
    <row r="63" spans="5:5" s="220" customFormat="1" ht="18" customHeight="1">
      <c r="E63" s="222"/>
    </row>
    <row r="64" spans="5:5" s="220" customFormat="1" ht="18" customHeight="1">
      <c r="E64" s="222"/>
    </row>
    <row r="65" spans="5:5" s="220" customFormat="1" ht="18" customHeight="1">
      <c r="E65" s="222"/>
    </row>
    <row r="66" spans="5:5" s="220" customFormat="1" ht="18" customHeight="1">
      <c r="E66" s="222"/>
    </row>
    <row r="67" spans="5:5" s="220" customFormat="1" ht="18" customHeight="1">
      <c r="E67" s="222"/>
    </row>
    <row r="68" spans="5:5" s="220" customFormat="1" ht="18" customHeight="1">
      <c r="E68" s="222"/>
    </row>
    <row r="69" spans="5:5" s="220" customFormat="1" ht="18" customHeight="1">
      <c r="E69" s="222"/>
    </row>
    <row r="70" spans="5:5" s="220" customFormat="1" ht="18" customHeight="1">
      <c r="E70" s="222"/>
    </row>
    <row r="71" spans="5:5" s="220" customFormat="1" ht="18" customHeight="1">
      <c r="E71" s="222"/>
    </row>
    <row r="72" spans="5:5" s="220" customFormat="1" ht="18" customHeight="1">
      <c r="E72" s="222"/>
    </row>
    <row r="73" spans="5:5" s="220" customFormat="1" ht="18" customHeight="1">
      <c r="E73" s="222"/>
    </row>
    <row r="74" spans="5:5" s="220" customFormat="1" ht="18" customHeight="1">
      <c r="E74" s="222"/>
    </row>
    <row r="75" spans="5:5" s="220" customFormat="1" ht="18" customHeight="1">
      <c r="E75" s="222"/>
    </row>
    <row r="76" spans="5:5" s="220" customFormat="1" ht="18" customHeight="1">
      <c r="E76" s="222"/>
    </row>
    <row r="77" spans="5:5" s="220" customFormat="1" ht="18" customHeight="1">
      <c r="E77" s="222"/>
    </row>
    <row r="78" spans="5:5" s="220" customFormat="1" ht="18" customHeight="1">
      <c r="E78" s="222"/>
    </row>
    <row r="79" spans="5:5" s="220" customFormat="1" ht="18" customHeight="1">
      <c r="E79" s="222"/>
    </row>
    <row r="80" spans="5:5" s="220" customFormat="1" ht="18" customHeight="1">
      <c r="E80" s="222"/>
    </row>
    <row r="81" spans="5:5" s="220" customFormat="1" ht="18" customHeight="1">
      <c r="E81" s="222"/>
    </row>
    <row r="82" spans="5:5" s="220" customFormat="1" ht="18" customHeight="1">
      <c r="E82" s="222"/>
    </row>
  </sheetData>
  <mergeCells count="26">
    <mergeCell ref="A1:A3"/>
    <mergeCell ref="B1:E1"/>
    <mergeCell ref="B2:E2"/>
    <mergeCell ref="B3:C3"/>
    <mergeCell ref="D3:E3"/>
    <mergeCell ref="A25:E25"/>
    <mergeCell ref="A15:E15"/>
    <mergeCell ref="A16:E16"/>
    <mergeCell ref="A17:E17"/>
    <mergeCell ref="A9:E9"/>
    <mergeCell ref="A22:E22"/>
    <mergeCell ref="A11:E11"/>
    <mergeCell ref="A12:E12"/>
    <mergeCell ref="A13:E13"/>
    <mergeCell ref="A23:E23"/>
    <mergeCell ref="A19:E19"/>
    <mergeCell ref="A20:E20"/>
    <mergeCell ref="A21:E21"/>
    <mergeCell ref="A24:E24"/>
    <mergeCell ref="A5:E5"/>
    <mergeCell ref="A10:E10"/>
    <mergeCell ref="A14:E14"/>
    <mergeCell ref="A7:E7"/>
    <mergeCell ref="A18:E18"/>
    <mergeCell ref="A8:E8"/>
    <mergeCell ref="A6:E6"/>
  </mergeCells>
  <hyperlinks>
    <hyperlink ref="F1" location="ins" display="Instructivo" xr:uid="{00000000-0004-0000-2000-000000000000}"/>
    <hyperlink ref="F2" location="PEFI" display="Plan de ejecución física y de inversiones" xr:uid="{00000000-0004-0000-2000-000001000000}"/>
  </hyperlinks>
  <printOptions horizontalCentered="1"/>
  <pageMargins left="0" right="0" top="0" bottom="0" header="0" footer="0"/>
  <pageSetup scale="85" fitToHeight="0"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5">
    <tabColor theme="0" tint="-0.249977111117893"/>
    <pageSetUpPr fitToPage="1"/>
  </sheetPr>
  <dimension ref="A1:H100"/>
  <sheetViews>
    <sheetView showGridLines="0" zoomScaleNormal="100" workbookViewId="0">
      <selection activeCell="A22" sqref="A22:E22"/>
    </sheetView>
  </sheetViews>
  <sheetFormatPr defaultColWidth="11.5" defaultRowHeight="18" customHeight="1"/>
  <cols>
    <col min="1" max="1" width="33.1640625" style="220" customWidth="1"/>
    <col min="2" max="2" width="47.1640625" style="220" customWidth="1"/>
    <col min="3" max="3" width="17.33203125" style="220" customWidth="1"/>
    <col min="4" max="4" width="18.6640625" style="220" customWidth="1"/>
    <col min="5" max="5" width="19.1640625" style="222" customWidth="1"/>
    <col min="6" max="6" width="23.33203125" style="220" customWidth="1"/>
    <col min="7" max="7" width="24.5" style="220" customWidth="1"/>
    <col min="8" max="8" width="22.83203125" style="220" customWidth="1"/>
    <col min="9" max="16384" width="11.5" style="220"/>
  </cols>
  <sheetData>
    <row r="1" spans="1:8" ht="18" customHeight="1">
      <c r="A1" s="1188"/>
      <c r="B1" s="1078" t="s">
        <v>0</v>
      </c>
      <c r="C1" s="1078"/>
      <c r="D1" s="1078"/>
      <c r="E1" s="1079"/>
      <c r="F1" s="408" t="s">
        <v>104</v>
      </c>
      <c r="G1" s="408" t="s">
        <v>1250</v>
      </c>
      <c r="H1" s="408" t="s">
        <v>1251</v>
      </c>
    </row>
    <row r="2" spans="1:8" ht="18" customHeight="1">
      <c r="A2" s="1190"/>
      <c r="B2" s="1618" t="s">
        <v>1252</v>
      </c>
      <c r="C2" s="1706"/>
      <c r="D2" s="1706"/>
      <c r="E2" s="1619"/>
      <c r="F2" s="408" t="s">
        <v>1253</v>
      </c>
      <c r="G2" s="408" t="s">
        <v>1254</v>
      </c>
    </row>
    <row r="3" spans="1:8" ht="18" customHeight="1" thickBot="1">
      <c r="A3" s="1192"/>
      <c r="B3" s="1082" t="s">
        <v>2</v>
      </c>
      <c r="C3" s="1082"/>
      <c r="D3" s="1082" t="s">
        <v>3</v>
      </c>
      <c r="E3" s="1123"/>
      <c r="F3" s="408" t="s">
        <v>1255</v>
      </c>
      <c r="G3" s="408" t="s">
        <v>1256</v>
      </c>
    </row>
    <row r="4" spans="1:8" ht="18" customHeight="1" thickBot="1"/>
    <row r="5" spans="1:8" ht="18" customHeight="1">
      <c r="A5" s="1695" t="s">
        <v>1257</v>
      </c>
      <c r="B5" s="1696"/>
      <c r="C5" s="1696"/>
      <c r="D5" s="1696"/>
      <c r="E5" s="1697"/>
    </row>
    <row r="6" spans="1:8" ht="97.5" customHeight="1">
      <c r="A6" s="1639" t="s">
        <v>1258</v>
      </c>
      <c r="B6" s="1640"/>
      <c r="C6" s="1640"/>
      <c r="D6" s="1640"/>
      <c r="E6" s="1641"/>
    </row>
    <row r="7" spans="1:8" ht="18" customHeight="1" thickBot="1">
      <c r="A7" s="1690" t="s">
        <v>1259</v>
      </c>
      <c r="B7" s="1691"/>
      <c r="C7" s="1691"/>
      <c r="D7" s="1691"/>
      <c r="E7" s="1692"/>
    </row>
    <row r="8" spans="1:8" ht="18" customHeight="1" thickBot="1">
      <c r="A8" s="1322"/>
      <c r="B8" s="1322"/>
      <c r="C8" s="1322"/>
      <c r="D8" s="1322"/>
      <c r="E8" s="1322"/>
    </row>
    <row r="9" spans="1:8" ht="18" customHeight="1">
      <c r="A9" s="1695" t="s">
        <v>1260</v>
      </c>
      <c r="B9" s="1696"/>
      <c r="C9" s="1696"/>
      <c r="D9" s="1696"/>
      <c r="E9" s="1697"/>
    </row>
    <row r="10" spans="1:8" ht="63.75" customHeight="1">
      <c r="A10" s="1649" t="s">
        <v>1261</v>
      </c>
      <c r="B10" s="1693"/>
      <c r="C10" s="1693"/>
      <c r="D10" s="1693"/>
      <c r="E10" s="1694"/>
    </row>
    <row r="11" spans="1:8" ht="188.25" customHeight="1">
      <c r="A11" s="1649" t="s">
        <v>1262</v>
      </c>
      <c r="B11" s="1693"/>
      <c r="C11" s="1693"/>
      <c r="D11" s="1693"/>
      <c r="E11" s="1694"/>
    </row>
    <row r="12" spans="1:8" ht="180" customHeight="1">
      <c r="A12" s="1649" t="s">
        <v>1263</v>
      </c>
      <c r="B12" s="1693"/>
      <c r="C12" s="1693"/>
      <c r="D12" s="1693"/>
      <c r="E12" s="1694"/>
    </row>
    <row r="13" spans="1:8" ht="41.25" customHeight="1">
      <c r="A13" s="1649" t="s">
        <v>1264</v>
      </c>
      <c r="B13" s="1693"/>
      <c r="C13" s="1693"/>
      <c r="D13" s="1693"/>
      <c r="E13" s="1694"/>
    </row>
    <row r="14" spans="1:8" ht="193.5" customHeight="1">
      <c r="A14" s="1649" t="s">
        <v>1265</v>
      </c>
      <c r="B14" s="1693"/>
      <c r="C14" s="1693"/>
      <c r="D14" s="1693"/>
      <c r="E14" s="1694"/>
    </row>
    <row r="15" spans="1:8" ht="240" customHeight="1">
      <c r="A15" s="1649" t="s">
        <v>1266</v>
      </c>
      <c r="B15" s="1693"/>
      <c r="C15" s="1693"/>
      <c r="D15" s="1693"/>
      <c r="E15" s="1694"/>
    </row>
    <row r="16" spans="1:8" ht="284.25" customHeight="1">
      <c r="A16" s="1649" t="s">
        <v>1267</v>
      </c>
      <c r="B16" s="1693"/>
      <c r="C16" s="1693"/>
      <c r="D16" s="1693"/>
      <c r="E16" s="1694"/>
    </row>
    <row r="17" spans="1:5" ht="129.75" customHeight="1" thickBot="1">
      <c r="A17" s="1652" t="s">
        <v>1268</v>
      </c>
      <c r="B17" s="1698"/>
      <c r="C17" s="1698"/>
      <c r="D17" s="1698"/>
      <c r="E17" s="1699"/>
    </row>
    <row r="18" spans="1:5" ht="18" customHeight="1" thickBot="1">
      <c r="A18" s="1322"/>
      <c r="B18" s="1322"/>
      <c r="C18" s="1322"/>
      <c r="D18" s="1322"/>
      <c r="E18" s="1322"/>
    </row>
    <row r="19" spans="1:5" ht="18" customHeight="1">
      <c r="A19" s="1695" t="s">
        <v>1269</v>
      </c>
      <c r="B19" s="1696"/>
      <c r="C19" s="1696"/>
      <c r="D19" s="1696"/>
      <c r="E19" s="1697"/>
    </row>
    <row r="20" spans="1:5" ht="117" customHeight="1">
      <c r="A20" s="1649" t="s">
        <v>1270</v>
      </c>
      <c r="B20" s="1693"/>
      <c r="C20" s="1693"/>
      <c r="D20" s="1693"/>
      <c r="E20" s="1694"/>
    </row>
    <row r="21" spans="1:5" ht="18" customHeight="1">
      <c r="A21" s="1700" t="s">
        <v>1271</v>
      </c>
      <c r="B21" s="1701"/>
      <c r="C21" s="1701"/>
      <c r="D21" s="1701"/>
      <c r="E21" s="1702"/>
    </row>
    <row r="22" spans="1:5" ht="340.5" customHeight="1" thickBot="1">
      <c r="A22" s="1703" t="s">
        <v>1272</v>
      </c>
      <c r="B22" s="1704"/>
      <c r="C22" s="1704"/>
      <c r="D22" s="1704"/>
      <c r="E22" s="1705"/>
    </row>
    <row r="23" spans="1:5" ht="18" customHeight="1" thickBot="1">
      <c r="A23" s="1701"/>
      <c r="B23" s="1701"/>
      <c r="C23" s="1701"/>
      <c r="D23" s="1701"/>
      <c r="E23" s="1701"/>
    </row>
    <row r="24" spans="1:5" ht="18" customHeight="1">
      <c r="A24" s="1695" t="s">
        <v>1273</v>
      </c>
      <c r="B24" s="1696"/>
      <c r="C24" s="1696"/>
      <c r="D24" s="1696"/>
      <c r="E24" s="1697"/>
    </row>
    <row r="25" spans="1:5" ht="114" customHeight="1">
      <c r="A25" s="1639" t="s">
        <v>1274</v>
      </c>
      <c r="B25" s="1640"/>
      <c r="C25" s="1640"/>
      <c r="D25" s="1640"/>
      <c r="E25" s="1641"/>
    </row>
    <row r="26" spans="1:5" ht="63" customHeight="1">
      <c r="A26" s="1649" t="s">
        <v>1275</v>
      </c>
      <c r="B26" s="1693"/>
      <c r="C26" s="1693"/>
      <c r="D26" s="1693"/>
      <c r="E26" s="1694"/>
    </row>
    <row r="27" spans="1:5" ht="63.75" customHeight="1">
      <c r="A27" s="1649" t="s">
        <v>1276</v>
      </c>
      <c r="B27" s="1693"/>
      <c r="C27" s="1693"/>
      <c r="D27" s="1693"/>
      <c r="E27" s="1694"/>
    </row>
    <row r="28" spans="1:5" ht="41.25" customHeight="1">
      <c r="A28" s="1649" t="s">
        <v>1277</v>
      </c>
      <c r="B28" s="1693"/>
      <c r="C28" s="1693"/>
      <c r="D28" s="1693"/>
      <c r="E28" s="1694"/>
    </row>
    <row r="29" spans="1:5" ht="52.5" customHeight="1">
      <c r="A29" s="1649" t="s">
        <v>1278</v>
      </c>
      <c r="B29" s="1693"/>
      <c r="C29" s="1693"/>
      <c r="D29" s="1693"/>
      <c r="E29" s="1694"/>
    </row>
    <row r="30" spans="1:5" ht="17.25" customHeight="1" thickBot="1">
      <c r="A30" s="1690" t="s">
        <v>1259</v>
      </c>
      <c r="B30" s="1691"/>
      <c r="C30" s="1691"/>
      <c r="D30" s="1691"/>
      <c r="E30" s="1692"/>
    </row>
    <row r="31" spans="1:5" ht="18" customHeight="1" thickBot="1">
      <c r="A31" s="1322"/>
      <c r="B31" s="1322"/>
      <c r="C31" s="1322"/>
      <c r="D31" s="1322"/>
      <c r="E31" s="1322"/>
    </row>
    <row r="32" spans="1:5" ht="18" customHeight="1">
      <c r="A32" s="1695" t="s">
        <v>1279</v>
      </c>
      <c r="B32" s="1696"/>
      <c r="C32" s="1696"/>
      <c r="D32" s="1696"/>
      <c r="E32" s="1697"/>
    </row>
    <row r="33" spans="1:5" ht="107.25" customHeight="1" thickBot="1">
      <c r="A33" s="1652" t="s">
        <v>1280</v>
      </c>
      <c r="B33" s="1653"/>
      <c r="C33" s="1653"/>
      <c r="D33" s="1653"/>
      <c r="E33" s="1654"/>
    </row>
    <row r="34" spans="1:5" ht="18" customHeight="1" thickBot="1"/>
    <row r="35" spans="1:5" ht="29.25" customHeight="1">
      <c r="A35" s="1687" t="s">
        <v>1281</v>
      </c>
      <c r="B35" s="1688"/>
      <c r="C35" s="1688"/>
      <c r="D35" s="1688"/>
      <c r="E35" s="1689"/>
    </row>
    <row r="36" spans="1:5" ht="183" customHeight="1">
      <c r="A36" s="1649" t="s">
        <v>1282</v>
      </c>
      <c r="B36" s="1650"/>
      <c r="C36" s="1650"/>
      <c r="D36" s="1650"/>
      <c r="E36" s="1651"/>
    </row>
    <row r="37" spans="1:5" ht="27" customHeight="1">
      <c r="A37" s="1649" t="s">
        <v>1283</v>
      </c>
      <c r="B37" s="1650"/>
      <c r="C37" s="1650"/>
      <c r="D37" s="1650"/>
      <c r="E37" s="1651"/>
    </row>
    <row r="38" spans="1:5" ht="18" customHeight="1" thickBot="1">
      <c r="A38" s="1690" t="s">
        <v>1284</v>
      </c>
      <c r="B38" s="1691"/>
      <c r="C38" s="1691"/>
      <c r="D38" s="1691"/>
      <c r="E38" s="1692"/>
    </row>
    <row r="39" spans="1:5" ht="18" customHeight="1" thickBot="1"/>
    <row r="40" spans="1:5" ht="18" customHeight="1">
      <c r="A40" s="1687" t="s">
        <v>1285</v>
      </c>
      <c r="B40" s="1688"/>
      <c r="C40" s="1688"/>
      <c r="D40" s="1688"/>
      <c r="E40" s="1689"/>
    </row>
    <row r="41" spans="1:5" ht="18" customHeight="1">
      <c r="A41" s="1649" t="s">
        <v>1286</v>
      </c>
      <c r="B41" s="1650"/>
      <c r="C41" s="1650"/>
      <c r="D41" s="1650"/>
      <c r="E41" s="1651"/>
    </row>
    <row r="42" spans="1:5" ht="18" customHeight="1">
      <c r="A42" s="1639" t="s">
        <v>1287</v>
      </c>
      <c r="B42" s="1648"/>
      <c r="C42" s="1648"/>
      <c r="D42" s="1648"/>
      <c r="E42" s="1683"/>
    </row>
    <row r="43" spans="1:5" ht="18" customHeight="1">
      <c r="A43" s="1639" t="s">
        <v>1288</v>
      </c>
      <c r="B43" s="1648"/>
      <c r="C43" s="1648"/>
      <c r="D43" s="1648"/>
      <c r="E43" s="1683"/>
    </row>
    <row r="44" spans="1:5" ht="25.5" customHeight="1">
      <c r="A44" s="1639" t="s">
        <v>1289</v>
      </c>
      <c r="B44" s="1648"/>
      <c r="C44" s="1648"/>
      <c r="D44" s="1648"/>
      <c r="E44" s="1683"/>
    </row>
    <row r="45" spans="1:5" ht="68.25" customHeight="1">
      <c r="A45" s="1639" t="s">
        <v>1290</v>
      </c>
      <c r="B45" s="1648"/>
      <c r="C45" s="1648"/>
      <c r="D45" s="1648"/>
      <c r="E45" s="1683"/>
    </row>
    <row r="46" spans="1:5" ht="40.5" customHeight="1">
      <c r="A46" s="1639" t="s">
        <v>1291</v>
      </c>
      <c r="B46" s="1648"/>
      <c r="C46" s="1648"/>
      <c r="D46" s="1648"/>
      <c r="E46" s="1683"/>
    </row>
    <row r="47" spans="1:5" ht="79.5" customHeight="1">
      <c r="A47" s="1639" t="s">
        <v>1292</v>
      </c>
      <c r="B47" s="1648"/>
      <c r="C47" s="1648"/>
      <c r="D47" s="1648"/>
      <c r="E47" s="1683"/>
    </row>
    <row r="48" spans="1:5" ht="28.5" customHeight="1">
      <c r="A48" s="1639" t="s">
        <v>1293</v>
      </c>
      <c r="B48" s="1648"/>
      <c r="C48" s="1648"/>
      <c r="D48" s="1648"/>
      <c r="E48" s="1683"/>
    </row>
    <row r="49" spans="1:5" ht="18" customHeight="1">
      <c r="A49" s="1639" t="s">
        <v>1294</v>
      </c>
      <c r="B49" s="1648"/>
      <c r="C49" s="1648"/>
      <c r="D49" s="1648"/>
      <c r="E49" s="1683"/>
    </row>
    <row r="50" spans="1:5" ht="33.75" customHeight="1">
      <c r="A50" s="1639" t="s">
        <v>1295</v>
      </c>
      <c r="B50" s="1648"/>
      <c r="C50" s="1648"/>
      <c r="D50" s="1648"/>
      <c r="E50" s="1683"/>
    </row>
    <row r="51" spans="1:5" ht="32.25" customHeight="1">
      <c r="A51" s="1639" t="s">
        <v>1296</v>
      </c>
      <c r="B51" s="1648"/>
      <c r="C51" s="1648"/>
      <c r="D51" s="1648"/>
      <c r="E51" s="1683"/>
    </row>
    <row r="52" spans="1:5" ht="54" customHeight="1">
      <c r="A52" s="1639" t="s">
        <v>1297</v>
      </c>
      <c r="B52" s="1648"/>
      <c r="C52" s="1648"/>
      <c r="D52" s="1648"/>
      <c r="E52" s="1683"/>
    </row>
    <row r="53" spans="1:5" ht="18" customHeight="1">
      <c r="A53" s="1639" t="s">
        <v>1298</v>
      </c>
      <c r="B53" s="1648"/>
      <c r="C53" s="1648"/>
      <c r="D53" s="1648"/>
      <c r="E53" s="1683"/>
    </row>
    <row r="54" spans="1:5" ht="28.5" customHeight="1">
      <c r="A54" s="1639" t="s">
        <v>1299</v>
      </c>
      <c r="B54" s="1648"/>
      <c r="C54" s="1648"/>
      <c r="D54" s="1648"/>
      <c r="E54" s="1683"/>
    </row>
    <row r="55" spans="1:5" ht="26.25" customHeight="1">
      <c r="A55" s="1639" t="s">
        <v>1300</v>
      </c>
      <c r="B55" s="1648"/>
      <c r="C55" s="1648"/>
      <c r="D55" s="1648"/>
      <c r="E55" s="1683"/>
    </row>
    <row r="56" spans="1:5" ht="45" customHeight="1">
      <c r="A56" s="1639" t="s">
        <v>1301</v>
      </c>
      <c r="B56" s="1648"/>
      <c r="C56" s="1648"/>
      <c r="D56" s="1648"/>
      <c r="E56" s="1683"/>
    </row>
    <row r="57" spans="1:5" ht="32.25" customHeight="1">
      <c r="A57" s="1639" t="s">
        <v>1302</v>
      </c>
      <c r="B57" s="1648"/>
      <c r="C57" s="1648"/>
      <c r="D57" s="1648"/>
      <c r="E57" s="1683"/>
    </row>
    <row r="58" spans="1:5" ht="30.75" customHeight="1">
      <c r="A58" s="1639" t="s">
        <v>1303</v>
      </c>
      <c r="B58" s="1648"/>
      <c r="C58" s="1648"/>
      <c r="D58" s="1648"/>
      <c r="E58" s="1683"/>
    </row>
    <row r="59" spans="1:5" ht="28.5" customHeight="1">
      <c r="A59" s="1639" t="s">
        <v>1304</v>
      </c>
      <c r="B59" s="1648"/>
      <c r="C59" s="1648"/>
      <c r="D59" s="1648"/>
      <c r="E59" s="1683"/>
    </row>
    <row r="60" spans="1:5" ht="28.5" customHeight="1">
      <c r="A60" s="1639" t="s">
        <v>1305</v>
      </c>
      <c r="B60" s="1648"/>
      <c r="C60" s="1648"/>
      <c r="D60" s="1648"/>
      <c r="E60" s="1683"/>
    </row>
    <row r="61" spans="1:5" ht="18" customHeight="1">
      <c r="A61" s="1639" t="s">
        <v>1306</v>
      </c>
      <c r="B61" s="1648"/>
      <c r="C61" s="1648"/>
      <c r="D61" s="1648"/>
      <c r="E61" s="1683"/>
    </row>
    <row r="62" spans="1:5" ht="30" customHeight="1">
      <c r="A62" s="1639" t="s">
        <v>1307</v>
      </c>
      <c r="B62" s="1648"/>
      <c r="C62" s="1648"/>
      <c r="D62" s="1648"/>
      <c r="E62" s="1683"/>
    </row>
    <row r="63" spans="1:5" ht="18" customHeight="1">
      <c r="A63" s="1639" t="s">
        <v>1308</v>
      </c>
      <c r="B63" s="1648"/>
      <c r="C63" s="1648"/>
      <c r="D63" s="1648"/>
      <c r="E63" s="1683"/>
    </row>
    <row r="64" spans="1:5" ht="39" customHeight="1">
      <c r="A64" s="1639" t="s">
        <v>1309</v>
      </c>
      <c r="B64" s="1648"/>
      <c r="C64" s="1648"/>
      <c r="D64" s="1648"/>
      <c r="E64" s="1683"/>
    </row>
    <row r="65" spans="1:5" ht="28.5" customHeight="1">
      <c r="A65" s="1639" t="s">
        <v>1310</v>
      </c>
      <c r="B65" s="1648"/>
      <c r="C65" s="1648"/>
      <c r="D65" s="1648"/>
      <c r="E65" s="1683"/>
    </row>
    <row r="66" spans="1:5" ht="27.75" customHeight="1">
      <c r="A66" s="1639" t="s">
        <v>1311</v>
      </c>
      <c r="B66" s="1648"/>
      <c r="C66" s="1648"/>
      <c r="D66" s="1648"/>
      <c r="E66" s="1683"/>
    </row>
    <row r="67" spans="1:5" ht="18" customHeight="1">
      <c r="A67" s="1639" t="s">
        <v>1312</v>
      </c>
      <c r="B67" s="1648"/>
      <c r="C67" s="1648"/>
      <c r="D67" s="1648"/>
      <c r="E67" s="1683"/>
    </row>
    <row r="68" spans="1:5" ht="18" customHeight="1">
      <c r="A68" s="1639" t="s">
        <v>1313</v>
      </c>
      <c r="B68" s="1648"/>
      <c r="C68" s="1648"/>
      <c r="D68" s="1648"/>
      <c r="E68" s="1683"/>
    </row>
    <row r="69" spans="1:5" ht="18" customHeight="1">
      <c r="A69" s="1639" t="s">
        <v>1314</v>
      </c>
      <c r="B69" s="1648"/>
      <c r="C69" s="1648"/>
      <c r="D69" s="1648"/>
      <c r="E69" s="1683"/>
    </row>
    <row r="70" spans="1:5" ht="18" customHeight="1">
      <c r="A70" s="1639" t="s">
        <v>1315</v>
      </c>
      <c r="B70" s="1648"/>
      <c r="C70" s="1648"/>
      <c r="D70" s="1648"/>
      <c r="E70" s="1683"/>
    </row>
    <row r="71" spans="1:5" ht="18" customHeight="1">
      <c r="A71" s="1639" t="s">
        <v>1316</v>
      </c>
      <c r="B71" s="1648"/>
      <c r="C71" s="1648"/>
      <c r="D71" s="1648"/>
      <c r="E71" s="1683"/>
    </row>
    <row r="72" spans="1:5" ht="18" customHeight="1">
      <c r="A72" s="1639" t="s">
        <v>1317</v>
      </c>
      <c r="B72" s="1648"/>
      <c r="C72" s="1648"/>
      <c r="D72" s="1648"/>
      <c r="E72" s="1683"/>
    </row>
    <row r="73" spans="1:5" ht="18" customHeight="1">
      <c r="A73" s="1639" t="s">
        <v>1318</v>
      </c>
      <c r="B73" s="1648"/>
      <c r="C73" s="1648"/>
      <c r="D73" s="1648"/>
      <c r="E73" s="1683"/>
    </row>
    <row r="74" spans="1:5" ht="18" customHeight="1">
      <c r="A74" s="1639" t="s">
        <v>1319</v>
      </c>
      <c r="B74" s="1648"/>
      <c r="C74" s="1648"/>
      <c r="D74" s="1648"/>
      <c r="E74" s="1683"/>
    </row>
    <row r="75" spans="1:5" ht="18" customHeight="1">
      <c r="A75" s="1639" t="s">
        <v>1320</v>
      </c>
      <c r="B75" s="1648"/>
      <c r="C75" s="1648"/>
      <c r="D75" s="1648"/>
      <c r="E75" s="1683"/>
    </row>
    <row r="76" spans="1:5" ht="18" customHeight="1">
      <c r="A76" s="1639" t="s">
        <v>1321</v>
      </c>
      <c r="B76" s="1648"/>
      <c r="C76" s="1648"/>
      <c r="D76" s="1648"/>
      <c r="E76" s="1683"/>
    </row>
    <row r="77" spans="1:5" ht="18" customHeight="1">
      <c r="A77" s="1639" t="s">
        <v>1322</v>
      </c>
      <c r="B77" s="1648"/>
      <c r="C77" s="1648"/>
      <c r="D77" s="1648"/>
      <c r="E77" s="1683"/>
    </row>
    <row r="78" spans="1:5" ht="18" customHeight="1">
      <c r="A78" s="1639" t="s">
        <v>1323</v>
      </c>
      <c r="B78" s="1648"/>
      <c r="C78" s="1648"/>
      <c r="D78" s="1648"/>
      <c r="E78" s="1683"/>
    </row>
    <row r="79" spans="1:5" ht="18" customHeight="1">
      <c r="A79" s="1639" t="s">
        <v>1324</v>
      </c>
      <c r="B79" s="1648"/>
      <c r="C79" s="1648"/>
      <c r="D79" s="1648"/>
      <c r="E79" s="1683"/>
    </row>
    <row r="80" spans="1:5" ht="18" customHeight="1">
      <c r="A80" s="1639" t="s">
        <v>1325</v>
      </c>
      <c r="B80" s="1648"/>
      <c r="C80" s="1648"/>
      <c r="D80" s="1648"/>
      <c r="E80" s="1683"/>
    </row>
    <row r="81" spans="1:5" ht="18" customHeight="1">
      <c r="A81" s="1639" t="s">
        <v>1326</v>
      </c>
      <c r="B81" s="1648"/>
      <c r="C81" s="1648"/>
      <c r="D81" s="1648"/>
      <c r="E81" s="1683"/>
    </row>
    <row r="82" spans="1:5" ht="18" customHeight="1">
      <c r="A82" s="1639" t="s">
        <v>1327</v>
      </c>
      <c r="B82" s="1648"/>
      <c r="C82" s="1648"/>
      <c r="D82" s="1648"/>
      <c r="E82" s="1683"/>
    </row>
    <row r="83" spans="1:5" ht="18" customHeight="1">
      <c r="A83" s="1639" t="s">
        <v>1328</v>
      </c>
      <c r="B83" s="1648"/>
      <c r="C83" s="1648"/>
      <c r="D83" s="1648"/>
      <c r="E83" s="1683"/>
    </row>
    <row r="84" spans="1:5" ht="18" customHeight="1">
      <c r="A84" s="1639" t="s">
        <v>1329</v>
      </c>
      <c r="B84" s="1648"/>
      <c r="C84" s="1648"/>
      <c r="D84" s="1648"/>
      <c r="E84" s="1683"/>
    </row>
    <row r="85" spans="1:5" ht="18" customHeight="1">
      <c r="A85" s="1639" t="s">
        <v>1330</v>
      </c>
      <c r="B85" s="1648"/>
      <c r="C85" s="1648"/>
      <c r="D85" s="1648"/>
      <c r="E85" s="1683"/>
    </row>
    <row r="86" spans="1:5" ht="18" customHeight="1">
      <c r="A86" s="1639" t="s">
        <v>1331</v>
      </c>
      <c r="B86" s="1648"/>
      <c r="C86" s="1648"/>
      <c r="D86" s="1648"/>
      <c r="E86" s="1683"/>
    </row>
    <row r="87" spans="1:5" ht="18" customHeight="1">
      <c r="A87" s="429"/>
      <c r="B87" s="428"/>
      <c r="C87" s="428"/>
      <c r="D87" s="428"/>
      <c r="E87" s="430"/>
    </row>
    <row r="88" spans="1:5" ht="40.5" customHeight="1">
      <c r="A88" s="1639" t="s">
        <v>1332</v>
      </c>
      <c r="B88" s="1648"/>
      <c r="C88" s="1648"/>
      <c r="D88" s="1648"/>
      <c r="E88" s="1683"/>
    </row>
    <row r="89" spans="1:5" ht="18" customHeight="1">
      <c r="A89" s="1639" t="s">
        <v>1333</v>
      </c>
      <c r="B89" s="1648"/>
      <c r="C89" s="1648"/>
      <c r="D89" s="1648"/>
      <c r="E89" s="1683"/>
    </row>
    <row r="90" spans="1:5" ht="45.75" customHeight="1">
      <c r="A90" s="1639" t="s">
        <v>1334</v>
      </c>
      <c r="B90" s="1648"/>
      <c r="C90" s="1648"/>
      <c r="D90" s="1648"/>
      <c r="E90" s="1683"/>
    </row>
    <row r="91" spans="1:5" ht="26.25" customHeight="1">
      <c r="A91" s="1639" t="s">
        <v>1335</v>
      </c>
      <c r="B91" s="1648"/>
      <c r="C91" s="1648"/>
      <c r="D91" s="1648"/>
      <c r="E91" s="1683"/>
    </row>
    <row r="92" spans="1:5" ht="18" customHeight="1">
      <c r="A92" s="1639" t="s">
        <v>1336</v>
      </c>
      <c r="B92" s="1648"/>
      <c r="C92" s="1648"/>
      <c r="D92" s="1648"/>
      <c r="E92" s="1683"/>
    </row>
    <row r="93" spans="1:5" ht="29.25" customHeight="1">
      <c r="A93" s="1639" t="s">
        <v>1337</v>
      </c>
      <c r="B93" s="1648"/>
      <c r="C93" s="1648"/>
      <c r="D93" s="1648"/>
      <c r="E93" s="1683"/>
    </row>
    <row r="94" spans="1:5" ht="32.25" customHeight="1">
      <c r="A94" s="1639" t="s">
        <v>1338</v>
      </c>
      <c r="B94" s="1648"/>
      <c r="C94" s="1648"/>
      <c r="D94" s="1648"/>
      <c r="E94" s="1683"/>
    </row>
    <row r="95" spans="1:5" ht="26.25" customHeight="1">
      <c r="A95" s="1639" t="s">
        <v>1339</v>
      </c>
      <c r="B95" s="1648"/>
      <c r="C95" s="1648"/>
      <c r="D95" s="1648"/>
      <c r="E95" s="1683"/>
    </row>
    <row r="96" spans="1:5" ht="45.75" customHeight="1">
      <c r="A96" s="1639" t="s">
        <v>1340</v>
      </c>
      <c r="B96" s="1648"/>
      <c r="C96" s="1648"/>
      <c r="D96" s="1648"/>
      <c r="E96" s="1683"/>
    </row>
    <row r="97" spans="1:5" ht="42.75" customHeight="1">
      <c r="A97" s="1639" t="s">
        <v>1341</v>
      </c>
      <c r="B97" s="1648"/>
      <c r="C97" s="1648"/>
      <c r="D97" s="1648"/>
      <c r="E97" s="1683"/>
    </row>
    <row r="98" spans="1:5" ht="18" customHeight="1">
      <c r="A98" s="1639" t="s">
        <v>1342</v>
      </c>
      <c r="B98" s="1648"/>
      <c r="C98" s="1648"/>
      <c r="D98" s="1648"/>
      <c r="E98" s="1683"/>
    </row>
    <row r="99" spans="1:5" ht="54.75" customHeight="1">
      <c r="A99" s="1639" t="s">
        <v>1343</v>
      </c>
      <c r="B99" s="1648"/>
      <c r="C99" s="1648"/>
      <c r="D99" s="1648"/>
      <c r="E99" s="1683"/>
    </row>
    <row r="100" spans="1:5" ht="18" customHeight="1" thickBot="1">
      <c r="A100" s="1642" t="s">
        <v>1344</v>
      </c>
      <c r="B100" s="1685"/>
      <c r="C100" s="1685"/>
      <c r="D100" s="1685"/>
      <c r="E100" s="1686"/>
    </row>
  </sheetData>
  <mergeCells count="98">
    <mergeCell ref="A6:E6"/>
    <mergeCell ref="A7:E7"/>
    <mergeCell ref="A8:E8"/>
    <mergeCell ref="A5:E5"/>
    <mergeCell ref="A1:A3"/>
    <mergeCell ref="B1:E1"/>
    <mergeCell ref="B2:E2"/>
    <mergeCell ref="B3:C3"/>
    <mergeCell ref="D3:E3"/>
    <mergeCell ref="A9:E9"/>
    <mergeCell ref="A10:E10"/>
    <mergeCell ref="A11:E11"/>
    <mergeCell ref="A18:E18"/>
    <mergeCell ref="A19:E19"/>
    <mergeCell ref="A12:E12"/>
    <mergeCell ref="A23:E23"/>
    <mergeCell ref="A24:E24"/>
    <mergeCell ref="A25:E25"/>
    <mergeCell ref="A30:E30"/>
    <mergeCell ref="A22:E22"/>
    <mergeCell ref="A27:E27"/>
    <mergeCell ref="A28:E28"/>
    <mergeCell ref="A35:E35"/>
    <mergeCell ref="A36:E36"/>
    <mergeCell ref="A37:E37"/>
    <mergeCell ref="A38:E38"/>
    <mergeCell ref="A13:E13"/>
    <mergeCell ref="A31:E31"/>
    <mergeCell ref="A32:E32"/>
    <mergeCell ref="A33:E33"/>
    <mergeCell ref="A29:E29"/>
    <mergeCell ref="A14:E14"/>
    <mergeCell ref="A15:E15"/>
    <mergeCell ref="A17:E17"/>
    <mergeCell ref="A16:E16"/>
    <mergeCell ref="A20:E20"/>
    <mergeCell ref="A21:E21"/>
    <mergeCell ref="A26:E26"/>
    <mergeCell ref="A55:E55"/>
    <mergeCell ref="A56:E56"/>
    <mergeCell ref="A57:E57"/>
    <mergeCell ref="A58:E58"/>
    <mergeCell ref="A59:E59"/>
    <mergeCell ref="A50:E50"/>
    <mergeCell ref="A51:E51"/>
    <mergeCell ref="A52:E52"/>
    <mergeCell ref="A53:E53"/>
    <mergeCell ref="A54:E54"/>
    <mergeCell ref="A40:E40"/>
    <mergeCell ref="A41:E41"/>
    <mergeCell ref="A42:E42"/>
    <mergeCell ref="A43:E43"/>
    <mergeCell ref="A49:E49"/>
    <mergeCell ref="A44:E44"/>
    <mergeCell ref="A45:E45"/>
    <mergeCell ref="A46:E46"/>
    <mergeCell ref="A47:E47"/>
    <mergeCell ref="A48:E48"/>
    <mergeCell ref="A60:E60"/>
    <mergeCell ref="A61:E61"/>
    <mergeCell ref="A62:E62"/>
    <mergeCell ref="A63:E63"/>
    <mergeCell ref="A64:E64"/>
    <mergeCell ref="A65:E65"/>
    <mergeCell ref="A66:E66"/>
    <mergeCell ref="A67:E67"/>
    <mergeCell ref="A68:E68"/>
    <mergeCell ref="A69:E69"/>
    <mergeCell ref="A70:E70"/>
    <mergeCell ref="A71:E71"/>
    <mergeCell ref="A72:E72"/>
    <mergeCell ref="A73:E73"/>
    <mergeCell ref="A74:E74"/>
    <mergeCell ref="A80:E80"/>
    <mergeCell ref="A81:E81"/>
    <mergeCell ref="A82:E82"/>
    <mergeCell ref="A83:E83"/>
    <mergeCell ref="A75:E75"/>
    <mergeCell ref="A76:E76"/>
    <mergeCell ref="A77:E77"/>
    <mergeCell ref="A78:E78"/>
    <mergeCell ref="A79:E79"/>
    <mergeCell ref="A84:E84"/>
    <mergeCell ref="A85:E85"/>
    <mergeCell ref="A86:E86"/>
    <mergeCell ref="A88:E88"/>
    <mergeCell ref="A89:E89"/>
    <mergeCell ref="A90:E90"/>
    <mergeCell ref="A91:E91"/>
    <mergeCell ref="A92:E92"/>
    <mergeCell ref="A93:E93"/>
    <mergeCell ref="A94:E94"/>
    <mergeCell ref="A100:E100"/>
    <mergeCell ref="A95:E95"/>
    <mergeCell ref="A96:E96"/>
    <mergeCell ref="A97:E97"/>
    <mergeCell ref="A98:E98"/>
    <mergeCell ref="A99:E99"/>
  </mergeCells>
  <hyperlinks>
    <hyperlink ref="F1" location="ins" display="Instructivo" xr:uid="{00000000-0004-0000-2100-000000000000}"/>
    <hyperlink ref="F2" location="PC" display="Presupuesto contrato" xr:uid="{00000000-0004-0000-2100-000001000000}"/>
    <hyperlink ref="F3" location="PCV" display="Presupuesto convenio" xr:uid="{00000000-0004-0000-2100-000002000000}"/>
    <hyperlink ref="G1" location="MCOP1" display="Memoria de cálculo opc 1" xr:uid="{00000000-0004-0000-2100-000003000000}"/>
    <hyperlink ref="G2" location="MCCOP2" display="Memoria de cálculo opc 2" xr:uid="{00000000-0004-0000-2100-000004000000}"/>
    <hyperlink ref="G3" location="MCCOP3" display="Memoria de cálculo opc 3" xr:uid="{00000000-0004-0000-2100-000005000000}"/>
    <hyperlink ref="H1" location="gtosadm2" display="Gastos de adm" xr:uid="{00000000-0004-0000-2100-000006000000}"/>
    <hyperlink ref="A21" r:id="rId1" xr:uid="{00000000-0004-0000-2100-000007000000}"/>
  </hyperlinks>
  <printOptions horizontalCentered="1"/>
  <pageMargins left="0" right="0" top="0" bottom="0" header="0" footer="0"/>
  <pageSetup scale="85" fitToHeight="0" orientation="portrait" r:id="rId2"/>
  <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11">
    <tabColor theme="0" tint="-0.249977111117893"/>
    <pageSetUpPr fitToPage="1"/>
  </sheetPr>
  <dimension ref="A1:G45"/>
  <sheetViews>
    <sheetView showGridLines="0" zoomScaleNormal="100" workbookViewId="0">
      <selection activeCell="A22" sqref="A22:E22"/>
    </sheetView>
  </sheetViews>
  <sheetFormatPr defaultColWidth="18.83203125" defaultRowHeight="18" customHeight="1"/>
  <cols>
    <col min="1" max="5" width="30.83203125" style="15" customWidth="1"/>
    <col min="6" max="6" width="18.83203125" style="15"/>
    <col min="7" max="7" width="25.83203125" style="15" customWidth="1"/>
    <col min="8" max="16384" width="18.83203125" style="15"/>
  </cols>
  <sheetData>
    <row r="1" spans="1:7" ht="18" customHeight="1">
      <c r="A1" s="1712"/>
      <c r="B1" s="1715" t="s">
        <v>0</v>
      </c>
      <c r="C1" s="1715"/>
      <c r="D1" s="1715"/>
      <c r="E1" s="1716"/>
      <c r="F1" s="815" t="s">
        <v>104</v>
      </c>
      <c r="G1" s="820" t="s">
        <v>1345</v>
      </c>
    </row>
    <row r="2" spans="1:7" ht="18" customHeight="1">
      <c r="A2" s="1713"/>
      <c r="B2" s="1717" t="s">
        <v>1346</v>
      </c>
      <c r="C2" s="1717"/>
      <c r="D2" s="1717"/>
      <c r="E2" s="1718"/>
      <c r="G2" s="820" t="s">
        <v>1347</v>
      </c>
    </row>
    <row r="3" spans="1:7" ht="18" customHeight="1" thickBot="1">
      <c r="A3" s="1714"/>
      <c r="B3" s="1719" t="s">
        <v>2</v>
      </c>
      <c r="C3" s="1719"/>
      <c r="D3" s="1719" t="s">
        <v>3</v>
      </c>
      <c r="E3" s="1720"/>
      <c r="G3" s="820" t="s">
        <v>1348</v>
      </c>
    </row>
    <row r="5" spans="1:7" ht="64.5" customHeight="1">
      <c r="A5" s="1709" t="s">
        <v>1349</v>
      </c>
      <c r="B5" s="1710"/>
      <c r="C5" s="1710"/>
      <c r="D5" s="1710"/>
      <c r="E5" s="1711"/>
    </row>
    <row r="7" spans="1:7" ht="18" customHeight="1">
      <c r="A7" s="1721" t="s">
        <v>1350</v>
      </c>
      <c r="B7" s="1721"/>
      <c r="C7" s="1721"/>
      <c r="D7" s="1721"/>
      <c r="E7" s="1721"/>
    </row>
    <row r="8" spans="1:7" ht="18" customHeight="1">
      <c r="A8" s="1707" t="s">
        <v>1351</v>
      </c>
      <c r="B8" s="1707"/>
      <c r="C8" s="1707"/>
      <c r="D8" s="1707"/>
      <c r="E8" s="1707"/>
    </row>
    <row r="9" spans="1:7" ht="27.75" customHeight="1">
      <c r="A9" s="1707" t="s">
        <v>1352</v>
      </c>
      <c r="B9" s="1707"/>
      <c r="C9" s="1707"/>
      <c r="D9" s="1707"/>
      <c r="E9" s="1707"/>
    </row>
    <row r="10" spans="1:7" ht="39" customHeight="1">
      <c r="A10" s="1707" t="s">
        <v>1353</v>
      </c>
      <c r="B10" s="1707"/>
      <c r="C10" s="1707"/>
      <c r="D10" s="1707"/>
      <c r="E10" s="1707"/>
    </row>
    <row r="11" spans="1:7" ht="26.25" customHeight="1">
      <c r="A11" s="1707" t="s">
        <v>1354</v>
      </c>
      <c r="B11" s="1707"/>
      <c r="C11" s="1707"/>
      <c r="D11" s="1707"/>
      <c r="E11" s="1707"/>
    </row>
    <row r="12" spans="1:7" ht="30.75" customHeight="1">
      <c r="A12" s="1707" t="s">
        <v>1355</v>
      </c>
      <c r="B12" s="1707"/>
      <c r="C12" s="1707"/>
      <c r="D12" s="1707"/>
      <c r="E12" s="1707"/>
    </row>
    <row r="13" spans="1:7" ht="27.75" customHeight="1">
      <c r="A13" s="1707" t="s">
        <v>1356</v>
      </c>
      <c r="B13" s="1707"/>
      <c r="C13" s="1707"/>
      <c r="D13" s="1707"/>
      <c r="E13" s="1707"/>
    </row>
    <row r="14" spans="1:7" ht="54.75" customHeight="1">
      <c r="A14" s="1707" t="s">
        <v>1357</v>
      </c>
      <c r="B14" s="1707"/>
      <c r="C14" s="1707"/>
      <c r="D14" s="1707"/>
      <c r="E14" s="1707"/>
    </row>
    <row r="15" spans="1:7" ht="154.5" customHeight="1">
      <c r="A15" s="1708" t="s">
        <v>1358</v>
      </c>
      <c r="B15" s="1707"/>
      <c r="C15" s="1707"/>
      <c r="D15" s="1707"/>
      <c r="E15" s="1707"/>
    </row>
    <row r="16" spans="1:7" ht="18" customHeight="1">
      <c r="A16" s="33"/>
      <c r="B16" s="33"/>
      <c r="C16" s="33"/>
      <c r="D16" s="33"/>
      <c r="E16" s="33"/>
    </row>
    <row r="17" spans="1:5" ht="18" customHeight="1">
      <c r="A17" s="1721" t="s">
        <v>1359</v>
      </c>
      <c r="B17" s="1721"/>
      <c r="C17" s="1721"/>
      <c r="D17" s="1721"/>
      <c r="E17" s="1721"/>
    </row>
    <row r="18" spans="1:5" ht="18" customHeight="1">
      <c r="A18" s="1708" t="s">
        <v>1360</v>
      </c>
      <c r="B18" s="1707"/>
      <c r="C18" s="1707"/>
      <c r="D18" s="1707"/>
      <c r="E18" s="1707"/>
    </row>
    <row r="19" spans="1:5" ht="60.75" customHeight="1">
      <c r="A19" s="1708" t="s">
        <v>1361</v>
      </c>
      <c r="B19" s="1707"/>
      <c r="C19" s="1707"/>
      <c r="D19" s="1707"/>
      <c r="E19" s="1707"/>
    </row>
    <row r="20" spans="1:5" ht="29.25" customHeight="1">
      <c r="A20" s="1707" t="s">
        <v>1362</v>
      </c>
      <c r="B20" s="1707"/>
      <c r="C20" s="1707"/>
      <c r="D20" s="1707"/>
      <c r="E20" s="1707"/>
    </row>
    <row r="21" spans="1:5" ht="27.75" customHeight="1">
      <c r="A21" s="1707" t="s">
        <v>1363</v>
      </c>
      <c r="B21" s="1707"/>
      <c r="C21" s="1707"/>
      <c r="D21" s="1707"/>
      <c r="E21" s="1707"/>
    </row>
    <row r="22" spans="1:5" ht="28.5" customHeight="1">
      <c r="A22" s="1707" t="s">
        <v>1364</v>
      </c>
      <c r="B22" s="1707"/>
      <c r="C22" s="1707"/>
      <c r="D22" s="1707"/>
      <c r="E22" s="1707"/>
    </row>
    <row r="23" spans="1:5" ht="42" customHeight="1">
      <c r="A23" s="1707" t="s">
        <v>1365</v>
      </c>
      <c r="B23" s="1707"/>
      <c r="C23" s="1707"/>
      <c r="D23" s="1707"/>
      <c r="E23" s="1707"/>
    </row>
    <row r="24" spans="1:5" ht="27" customHeight="1">
      <c r="A24" s="1707" t="s">
        <v>1364</v>
      </c>
      <c r="B24" s="1707"/>
      <c r="C24" s="1707"/>
      <c r="D24" s="1707"/>
      <c r="E24" s="1707"/>
    </row>
    <row r="25" spans="1:5" ht="18" customHeight="1">
      <c r="A25" s="1707" t="s">
        <v>1366</v>
      </c>
      <c r="B25" s="1707"/>
      <c r="C25" s="1707"/>
      <c r="D25" s="1707"/>
      <c r="E25" s="1707"/>
    </row>
    <row r="26" spans="1:5" ht="27.75" customHeight="1">
      <c r="A26" s="1707" t="s">
        <v>1367</v>
      </c>
      <c r="B26" s="1707"/>
      <c r="C26" s="1707"/>
      <c r="D26" s="1707"/>
      <c r="E26" s="1707"/>
    </row>
    <row r="27" spans="1:5" ht="18" customHeight="1">
      <c r="A27" s="1707" t="s">
        <v>1368</v>
      </c>
      <c r="B27" s="1707"/>
      <c r="C27" s="1707"/>
      <c r="D27" s="1707"/>
      <c r="E27" s="1707"/>
    </row>
    <row r="28" spans="1:5" ht="18" customHeight="1">
      <c r="A28" s="1707" t="s">
        <v>1369</v>
      </c>
      <c r="B28" s="1707"/>
      <c r="C28" s="1707"/>
      <c r="D28" s="1707"/>
      <c r="E28" s="1707"/>
    </row>
    <row r="29" spans="1:5" ht="18" customHeight="1">
      <c r="A29" s="1707" t="s">
        <v>1370</v>
      </c>
      <c r="B29" s="1707"/>
      <c r="C29" s="1707"/>
      <c r="D29" s="1707"/>
      <c r="E29" s="1707"/>
    </row>
    <row r="30" spans="1:5" ht="54.75" customHeight="1">
      <c r="A30" s="1707" t="s">
        <v>1371</v>
      </c>
      <c r="B30" s="1707"/>
      <c r="C30" s="1707"/>
      <c r="D30" s="1707"/>
      <c r="E30" s="1707"/>
    </row>
    <row r="31" spans="1:5" ht="52.5" customHeight="1">
      <c r="A31" s="1707" t="s">
        <v>1372</v>
      </c>
      <c r="B31" s="1707"/>
      <c r="C31" s="1707"/>
      <c r="D31" s="1707"/>
      <c r="E31" s="1707"/>
    </row>
    <row r="32" spans="1:5" ht="29.25" customHeight="1">
      <c r="A32" s="1707" t="s">
        <v>1373</v>
      </c>
      <c r="B32" s="1707"/>
      <c r="C32" s="1707"/>
      <c r="D32" s="1707"/>
      <c r="E32" s="1707"/>
    </row>
    <row r="33" spans="1:5" ht="51.75" customHeight="1">
      <c r="A33" s="1707" t="s">
        <v>1374</v>
      </c>
      <c r="B33" s="1707"/>
      <c r="C33" s="1707"/>
      <c r="D33" s="1707"/>
      <c r="E33" s="1707"/>
    </row>
    <row r="34" spans="1:5" ht="67.5" customHeight="1">
      <c r="A34" s="1707" t="s">
        <v>1375</v>
      </c>
      <c r="B34" s="1707"/>
      <c r="C34" s="1707"/>
      <c r="D34" s="1707"/>
      <c r="E34" s="1707"/>
    </row>
    <row r="35" spans="1:5" ht="33" customHeight="1">
      <c r="A35" s="1708" t="s">
        <v>1376</v>
      </c>
      <c r="B35" s="1708"/>
      <c r="C35" s="1708"/>
      <c r="D35" s="1708"/>
      <c r="E35" s="1708"/>
    </row>
    <row r="36" spans="1:5" ht="30" customHeight="1">
      <c r="A36" s="1708" t="s">
        <v>1377</v>
      </c>
      <c r="B36" s="1708"/>
      <c r="C36" s="1708"/>
      <c r="D36" s="1708"/>
      <c r="E36" s="1708"/>
    </row>
    <row r="37" spans="1:5" ht="18" customHeight="1">
      <c r="A37" s="33"/>
      <c r="B37" s="33"/>
      <c r="C37" s="33"/>
      <c r="D37" s="33"/>
      <c r="E37" s="33"/>
    </row>
    <row r="38" spans="1:5" ht="18" customHeight="1">
      <c r="A38" s="1721" t="s">
        <v>1378</v>
      </c>
      <c r="B38" s="1721"/>
      <c r="C38" s="1721"/>
      <c r="D38" s="1721"/>
      <c r="E38" s="1721"/>
    </row>
    <row r="39" spans="1:5" ht="40.5" customHeight="1">
      <c r="A39" s="1707" t="s">
        <v>1379</v>
      </c>
      <c r="B39" s="1707"/>
      <c r="C39" s="1707"/>
      <c r="D39" s="1707"/>
      <c r="E39" s="1707"/>
    </row>
    <row r="40" spans="1:5" ht="17.25" customHeight="1">
      <c r="A40" s="1707" t="s">
        <v>1380</v>
      </c>
      <c r="B40" s="1707"/>
      <c r="C40" s="1707"/>
      <c r="D40" s="1707"/>
      <c r="E40" s="1707"/>
    </row>
    <row r="41" spans="1:5" ht="26.25" customHeight="1"/>
    <row r="43" spans="1:5" ht="16.5" customHeight="1"/>
    <row r="44" spans="1:5" ht="22.5" customHeight="1"/>
    <row r="45" spans="1:5" ht="13.5" customHeight="1"/>
  </sheetData>
  <mergeCells count="38">
    <mergeCell ref="A17:E17"/>
    <mergeCell ref="A38:E38"/>
    <mergeCell ref="A30:E30"/>
    <mergeCell ref="A34:E34"/>
    <mergeCell ref="A31:E31"/>
    <mergeCell ref="A28:E28"/>
    <mergeCell ref="A26:E26"/>
    <mergeCell ref="A20:E20"/>
    <mergeCell ref="A27:E27"/>
    <mergeCell ref="A29:E29"/>
    <mergeCell ref="A22:E22"/>
    <mergeCell ref="A39:E39"/>
    <mergeCell ref="A18:E18"/>
    <mergeCell ref="A40:E40"/>
    <mergeCell ref="A25:E25"/>
    <mergeCell ref="A33:E33"/>
    <mergeCell ref="A23:E23"/>
    <mergeCell ref="A21:E21"/>
    <mergeCell ref="A24:E24"/>
    <mergeCell ref="A32:E32"/>
    <mergeCell ref="A35:E35"/>
    <mergeCell ref="A36:E36"/>
    <mergeCell ref="A8:E8"/>
    <mergeCell ref="A19:E19"/>
    <mergeCell ref="A5:E5"/>
    <mergeCell ref="A1:A3"/>
    <mergeCell ref="B1:E1"/>
    <mergeCell ref="B2:E2"/>
    <mergeCell ref="B3:C3"/>
    <mergeCell ref="D3:E3"/>
    <mergeCell ref="A9:E9"/>
    <mergeCell ref="A11:E11"/>
    <mergeCell ref="A7:E7"/>
    <mergeCell ref="A14:E14"/>
    <mergeCell ref="A13:E13"/>
    <mergeCell ref="A10:E10"/>
    <mergeCell ref="A12:E12"/>
    <mergeCell ref="A15:E15"/>
  </mergeCells>
  <hyperlinks>
    <hyperlink ref="F1" location="ins" display="Instructivo" xr:uid="{00000000-0004-0000-2200-000000000000}"/>
    <hyperlink ref="G1" location="ppta" display="Propuesta económica Opc 1" xr:uid="{00000000-0004-0000-2200-000001000000}"/>
    <hyperlink ref="G2" location="PPTA2" display="Propuesta económica Opc 2" xr:uid="{00000000-0004-0000-2200-000002000000}"/>
    <hyperlink ref="G3" location="ppta3" display="Propuesta económica Opc 3" xr:uid="{00000000-0004-0000-2200-000003000000}"/>
  </hyperlinks>
  <printOptions horizontalCentered="1"/>
  <pageMargins left="0" right="0" top="0" bottom="0" header="0" footer="0"/>
  <pageSetup scale="98" fitToHeight="0" orientation="landscape"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36">
    <tabColor theme="0" tint="-0.249977111117893"/>
    <pageSetUpPr fitToPage="1"/>
  </sheetPr>
  <dimension ref="A1:AX42"/>
  <sheetViews>
    <sheetView showGridLines="0" zoomScaleNormal="100" workbookViewId="0">
      <selection activeCell="A22" sqref="A22:E22"/>
    </sheetView>
  </sheetViews>
  <sheetFormatPr defaultColWidth="11.5" defaultRowHeight="18" customHeight="1"/>
  <cols>
    <col min="1" max="1" width="24.33203125" style="221" customWidth="1"/>
    <col min="2" max="2" width="47.1640625" style="221" customWidth="1"/>
    <col min="3" max="3" width="17.33203125" style="221" customWidth="1"/>
    <col min="4" max="4" width="18.6640625" style="221" customWidth="1"/>
    <col min="5" max="5" width="6.33203125" style="229" customWidth="1"/>
    <col min="6" max="6" width="16.83203125" style="220" customWidth="1"/>
    <col min="7" max="50" width="11.5" style="220"/>
    <col min="51" max="16384" width="11.5" style="221"/>
  </cols>
  <sheetData>
    <row r="1" spans="1:7" s="220" customFormat="1" ht="18" customHeight="1">
      <c r="A1" s="1532"/>
      <c r="B1" s="1309" t="s">
        <v>0</v>
      </c>
      <c r="C1" s="1309"/>
      <c r="D1" s="1309"/>
      <c r="E1" s="1310"/>
      <c r="F1" s="408" t="s">
        <v>104</v>
      </c>
      <c r="G1" s="65"/>
    </row>
    <row r="2" spans="1:7" s="220" customFormat="1" ht="18" customHeight="1">
      <c r="A2" s="1534"/>
      <c r="B2" s="1618" t="s">
        <v>1381</v>
      </c>
      <c r="C2" s="1706"/>
      <c r="D2" s="1706"/>
      <c r="E2" s="1619"/>
      <c r="F2" s="408" t="s">
        <v>76</v>
      </c>
    </row>
    <row r="3" spans="1:7" s="220" customFormat="1" ht="18" customHeight="1" thickBot="1">
      <c r="A3" s="1536"/>
      <c r="B3" s="1082" t="s">
        <v>2</v>
      </c>
      <c r="C3" s="1082"/>
      <c r="D3" s="1082" t="s">
        <v>3</v>
      </c>
      <c r="E3" s="1123"/>
    </row>
    <row r="4" spans="1:7" s="220" customFormat="1" ht="18" customHeight="1">
      <c r="A4" s="257"/>
      <c r="B4" s="70"/>
      <c r="C4" s="70"/>
      <c r="D4" s="70"/>
      <c r="E4" s="70"/>
    </row>
    <row r="5" spans="1:7" s="220" customFormat="1" ht="18" customHeight="1">
      <c r="A5" s="1329" t="s">
        <v>1382</v>
      </c>
      <c r="B5" s="1329"/>
      <c r="C5" s="1329"/>
      <c r="D5" s="1329"/>
      <c r="E5" s="1329"/>
    </row>
    <row r="6" spans="1:7" s="220" customFormat="1" ht="18" customHeight="1">
      <c r="E6" s="222"/>
    </row>
    <row r="7" spans="1:7" s="220" customFormat="1" ht="18" customHeight="1">
      <c r="A7" s="1329" t="s">
        <v>1383</v>
      </c>
      <c r="B7" s="1329"/>
      <c r="C7" s="1329"/>
      <c r="D7" s="1329"/>
      <c r="E7" s="1329"/>
    </row>
    <row r="8" spans="1:7" s="220" customFormat="1" ht="25.5" customHeight="1">
      <c r="A8" s="426" t="s">
        <v>1384</v>
      </c>
      <c r="B8" s="1722" t="s">
        <v>1385</v>
      </c>
      <c r="C8" s="1722"/>
      <c r="D8" s="1722"/>
      <c r="E8" s="1722"/>
    </row>
    <row r="9" spans="1:7" s="220" customFormat="1" ht="32.25" customHeight="1">
      <c r="A9" s="427" t="s">
        <v>1386</v>
      </c>
      <c r="B9" s="1723" t="s">
        <v>1387</v>
      </c>
      <c r="C9" s="1723"/>
      <c r="D9" s="1723"/>
      <c r="E9" s="1723"/>
    </row>
    <row r="10" spans="1:7" ht="30.75" customHeight="1">
      <c r="A10" s="427" t="s">
        <v>1388</v>
      </c>
      <c r="B10" s="1723" t="s">
        <v>1389</v>
      </c>
      <c r="C10" s="1723"/>
      <c r="D10" s="1723"/>
      <c r="E10" s="1723"/>
    </row>
    <row r="11" spans="1:7" ht="68.25" customHeight="1">
      <c r="A11" s="427" t="s">
        <v>1390</v>
      </c>
      <c r="B11" s="1723" t="s">
        <v>1391</v>
      </c>
      <c r="C11" s="1723"/>
      <c r="D11" s="1723"/>
      <c r="E11" s="1723"/>
    </row>
    <row r="12" spans="1:7" ht="18" customHeight="1">
      <c r="A12" s="424"/>
      <c r="B12" s="424"/>
      <c r="C12" s="424"/>
      <c r="D12" s="424"/>
      <c r="E12" s="425"/>
    </row>
    <row r="13" spans="1:7" ht="18" customHeight="1">
      <c r="A13" s="1724" t="s">
        <v>1392</v>
      </c>
      <c r="B13" s="1724"/>
      <c r="C13" s="1724"/>
      <c r="D13" s="1724"/>
      <c r="E13" s="1724"/>
    </row>
    <row r="14" spans="1:7" ht="27.75" customHeight="1">
      <c r="A14" s="426" t="s">
        <v>1384</v>
      </c>
      <c r="B14" s="1722" t="s">
        <v>1385</v>
      </c>
      <c r="C14" s="1722"/>
      <c r="D14" s="1722"/>
      <c r="E14" s="1722"/>
    </row>
    <row r="15" spans="1:7" ht="40.5" customHeight="1">
      <c r="A15" s="427" t="s">
        <v>1393</v>
      </c>
      <c r="B15" s="1723" t="s">
        <v>1394</v>
      </c>
      <c r="C15" s="1723"/>
      <c r="D15" s="1723"/>
      <c r="E15" s="1723"/>
    </row>
    <row r="16" spans="1:7" ht="39.75" customHeight="1">
      <c r="A16" s="427" t="s">
        <v>1395</v>
      </c>
      <c r="B16" s="1723" t="s">
        <v>1396</v>
      </c>
      <c r="C16" s="1723"/>
      <c r="D16" s="1723"/>
      <c r="E16" s="1723"/>
    </row>
    <row r="17" spans="1:5" ht="18" customHeight="1">
      <c r="A17" s="424"/>
      <c r="B17" s="424"/>
      <c r="C17" s="424"/>
      <c r="D17" s="424"/>
      <c r="E17" s="425"/>
    </row>
    <row r="18" spans="1:5" ht="18" customHeight="1">
      <c r="A18" s="1725" t="s">
        <v>1397</v>
      </c>
      <c r="B18" s="1725"/>
      <c r="C18" s="1725"/>
      <c r="D18" s="1725"/>
      <c r="E18" s="1725"/>
    </row>
    <row r="19" spans="1:5" ht="15.75" customHeight="1">
      <c r="A19" s="1726" t="s">
        <v>1398</v>
      </c>
      <c r="B19" s="1727"/>
      <c r="C19" s="1727"/>
      <c r="D19" s="1727"/>
      <c r="E19" s="1728"/>
    </row>
    <row r="20" spans="1:5" ht="156" customHeight="1">
      <c r="A20" s="1729" t="s">
        <v>1399</v>
      </c>
      <c r="B20" s="1730"/>
      <c r="C20" s="1730"/>
      <c r="D20" s="1730"/>
      <c r="E20" s="1731"/>
    </row>
    <row r="21" spans="1:5" ht="198" customHeight="1">
      <c r="A21" s="1729" t="s">
        <v>1400</v>
      </c>
      <c r="B21" s="1730"/>
      <c r="C21" s="1730"/>
      <c r="D21" s="1730"/>
      <c r="E21" s="1731"/>
    </row>
    <row r="22" spans="1:5" ht="116.25" customHeight="1">
      <c r="A22" s="1729" t="s">
        <v>1401</v>
      </c>
      <c r="B22" s="1730"/>
      <c r="C22" s="1730"/>
      <c r="D22" s="1730"/>
      <c r="E22" s="1731"/>
    </row>
    <row r="23" spans="1:5" ht="186" customHeight="1">
      <c r="A23" s="1729" t="s">
        <v>1402</v>
      </c>
      <c r="B23" s="1730"/>
      <c r="C23" s="1730"/>
      <c r="D23" s="1730"/>
      <c r="E23" s="1731"/>
    </row>
    <row r="24" spans="1:5" ht="135" customHeight="1">
      <c r="A24" s="1729" t="s">
        <v>1403</v>
      </c>
      <c r="B24" s="1730"/>
      <c r="C24" s="1730"/>
      <c r="D24" s="1730"/>
      <c r="E24" s="1731"/>
    </row>
    <row r="25" spans="1:5" ht="171" customHeight="1">
      <c r="A25" s="1729" t="s">
        <v>1404</v>
      </c>
      <c r="B25" s="1730"/>
      <c r="C25" s="1730"/>
      <c r="D25" s="1730"/>
      <c r="E25" s="1731"/>
    </row>
    <row r="26" spans="1:5" ht="83.25" customHeight="1">
      <c r="A26" s="1732" t="s">
        <v>1405</v>
      </c>
      <c r="B26" s="1733"/>
      <c r="C26" s="1733"/>
      <c r="D26" s="1733"/>
      <c r="E26" s="1734"/>
    </row>
    <row r="28" spans="1:5" ht="18" customHeight="1">
      <c r="A28" s="1329" t="s">
        <v>1406</v>
      </c>
      <c r="B28" s="1329"/>
      <c r="C28" s="1329"/>
      <c r="D28" s="1329"/>
      <c r="E28" s="1329"/>
    </row>
    <row r="29" spans="1:5" ht="27" customHeight="1">
      <c r="A29" s="426" t="s">
        <v>1384</v>
      </c>
      <c r="B29" s="1722" t="s">
        <v>1385</v>
      </c>
      <c r="C29" s="1722"/>
      <c r="D29" s="1722"/>
      <c r="E29" s="1722"/>
    </row>
    <row r="30" spans="1:5" ht="32.25" customHeight="1">
      <c r="A30" s="427" t="s">
        <v>1386</v>
      </c>
      <c r="B30" s="1723" t="s">
        <v>1387</v>
      </c>
      <c r="C30" s="1723"/>
      <c r="D30" s="1723"/>
      <c r="E30" s="1723"/>
    </row>
    <row r="31" spans="1:5" ht="32.25" customHeight="1">
      <c r="A31" s="427" t="s">
        <v>1388</v>
      </c>
      <c r="B31" s="1723" t="s">
        <v>1407</v>
      </c>
      <c r="C31" s="1723"/>
      <c r="D31" s="1723"/>
      <c r="E31" s="1723"/>
    </row>
    <row r="32" spans="1:5" ht="79.5" customHeight="1">
      <c r="A32" s="427" t="s">
        <v>1390</v>
      </c>
      <c r="B32" s="1723" t="s">
        <v>1408</v>
      </c>
      <c r="C32" s="1723"/>
      <c r="D32" s="1723"/>
      <c r="E32" s="1723"/>
    </row>
    <row r="33" spans="1:5" ht="18" customHeight="1">
      <c r="A33" s="424"/>
      <c r="B33" s="424"/>
      <c r="C33" s="424"/>
      <c r="D33" s="424"/>
      <c r="E33" s="425"/>
    </row>
    <row r="34" spans="1:5" ht="18" customHeight="1">
      <c r="A34" s="1724" t="s">
        <v>1409</v>
      </c>
      <c r="B34" s="1724"/>
      <c r="C34" s="1724"/>
      <c r="D34" s="1724"/>
      <c r="E34" s="1724"/>
    </row>
    <row r="35" spans="1:5" ht="27" customHeight="1">
      <c r="A35" s="426" t="s">
        <v>1384</v>
      </c>
      <c r="B35" s="1722" t="s">
        <v>1385</v>
      </c>
      <c r="C35" s="1722"/>
      <c r="D35" s="1722"/>
      <c r="E35" s="1722"/>
    </row>
    <row r="36" spans="1:5" ht="43.5" customHeight="1">
      <c r="A36" s="427" t="s">
        <v>1393</v>
      </c>
      <c r="B36" s="1723" t="s">
        <v>1410</v>
      </c>
      <c r="C36" s="1723"/>
      <c r="D36" s="1723"/>
      <c r="E36" s="1723"/>
    </row>
    <row r="37" spans="1:5" ht="43.5" customHeight="1">
      <c r="A37" s="427" t="s">
        <v>1395</v>
      </c>
      <c r="B37" s="1723" t="s">
        <v>1411</v>
      </c>
      <c r="C37" s="1723"/>
      <c r="D37" s="1723"/>
      <c r="E37" s="1723"/>
    </row>
    <row r="39" spans="1:5" ht="32.25" customHeight="1">
      <c r="A39" s="1735" t="s">
        <v>1412</v>
      </c>
      <c r="B39" s="1735"/>
      <c r="C39" s="1735"/>
      <c r="D39" s="1735"/>
      <c r="E39" s="1735"/>
    </row>
    <row r="41" spans="1:5" ht="272.25" customHeight="1">
      <c r="A41" s="1736" t="s">
        <v>1413</v>
      </c>
      <c r="B41" s="1737"/>
      <c r="C41" s="1737"/>
      <c r="D41" s="1737"/>
      <c r="E41" s="1738"/>
    </row>
    <row r="42" spans="1:5" ht="105.75" customHeight="1">
      <c r="A42" s="1739" t="s">
        <v>1414</v>
      </c>
      <c r="B42" s="1740"/>
      <c r="C42" s="1740"/>
      <c r="D42" s="1740"/>
      <c r="E42" s="1741"/>
    </row>
  </sheetData>
  <mergeCells count="36">
    <mergeCell ref="B31:E31"/>
    <mergeCell ref="A39:E39"/>
    <mergeCell ref="A41:E41"/>
    <mergeCell ref="A42:E42"/>
    <mergeCell ref="B37:E37"/>
    <mergeCell ref="B32:E32"/>
    <mergeCell ref="A34:E34"/>
    <mergeCell ref="B35:E35"/>
    <mergeCell ref="B36:E36"/>
    <mergeCell ref="A18:E18"/>
    <mergeCell ref="A19:E19"/>
    <mergeCell ref="A28:E28"/>
    <mergeCell ref="B29:E29"/>
    <mergeCell ref="B30:E30"/>
    <mergeCell ref="A24:E24"/>
    <mergeCell ref="A25:E25"/>
    <mergeCell ref="A20:E20"/>
    <mergeCell ref="A23:E23"/>
    <mergeCell ref="A22:E22"/>
    <mergeCell ref="A21:E21"/>
    <mergeCell ref="A26:E26"/>
    <mergeCell ref="B14:E14"/>
    <mergeCell ref="B15:E15"/>
    <mergeCell ref="B16:E16"/>
    <mergeCell ref="A13:E13"/>
    <mergeCell ref="A1:A3"/>
    <mergeCell ref="B1:E1"/>
    <mergeCell ref="B2:E2"/>
    <mergeCell ref="B3:C3"/>
    <mergeCell ref="D3:E3"/>
    <mergeCell ref="A7:E7"/>
    <mergeCell ref="B8:E8"/>
    <mergeCell ref="B9:E9"/>
    <mergeCell ref="B10:E10"/>
    <mergeCell ref="B11:E11"/>
    <mergeCell ref="A5:E5"/>
  </mergeCells>
  <hyperlinks>
    <hyperlink ref="F1" location="ins" display="Instructivo" xr:uid="{00000000-0004-0000-2300-000000000000}"/>
    <hyperlink ref="F2" location="evafin" display="Verificación de requisitos habilitantes de los proponentes sobre capacidad financiera y organizacional" xr:uid="{00000000-0004-0000-2300-000001000000}"/>
  </hyperlinks>
  <printOptions horizontalCentered="1"/>
  <pageMargins left="0" right="0" top="0" bottom="0" header="0" footer="0"/>
  <pageSetup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884ff37-a46c-4626-8724-eb1c58be17ff">
      <Terms xmlns="http://schemas.microsoft.com/office/infopath/2007/PartnerControls"/>
    </lcf76f155ced4ddcb4097134ff3c332f>
    <TaxCatchAll xmlns="253dbb0b-3aad-456b-a0a5-ca0b519dbe8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5D9C05AA895CA4D864E33307EE38F33" ma:contentTypeVersion="19" ma:contentTypeDescription="Crear nuevo documento." ma:contentTypeScope="" ma:versionID="c922532eb7c3525b45d073a41aa6d6ae">
  <xsd:schema xmlns:xsd="http://www.w3.org/2001/XMLSchema" xmlns:xs="http://www.w3.org/2001/XMLSchema" xmlns:p="http://schemas.microsoft.com/office/2006/metadata/properties" xmlns:ns2="9884ff37-a46c-4626-8724-eb1c58be17ff" xmlns:ns3="253dbb0b-3aad-456b-a0a5-ca0b519dbe8f" targetNamespace="http://schemas.microsoft.com/office/2006/metadata/properties" ma:root="true" ma:fieldsID="caebd224d38a264a87c300da13ba802a" ns2:_="" ns3:_="">
    <xsd:import namespace="9884ff37-a46c-4626-8724-eb1c58be17ff"/>
    <xsd:import namespace="253dbb0b-3aad-456b-a0a5-ca0b519dbe8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84ff37-a46c-4626-8724-eb1c58be17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53dbb0b-3aad-456b-a0a5-ca0b519dbe8f"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37864a0d-72a5-439a-b3b1-ac2ef9d4e370}" ma:internalName="TaxCatchAll" ma:showField="CatchAllData" ma:web="253dbb0b-3aad-456b-a0a5-ca0b519dbe8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860162D-FBAA-4C27-A266-6B3434A1E2F5}"/>
</file>

<file path=customXml/itemProps2.xml><?xml version="1.0" encoding="utf-8"?>
<ds:datastoreItem xmlns:ds="http://schemas.openxmlformats.org/officeDocument/2006/customXml" ds:itemID="{7A877D84-536B-461C-8223-6E3F8B7E414D}"/>
</file>

<file path=customXml/itemProps3.xml><?xml version="1.0" encoding="utf-8"?>
<ds:datastoreItem xmlns:ds="http://schemas.openxmlformats.org/officeDocument/2006/customXml" ds:itemID="{C5238D31-BD7C-4151-93C1-3F27DACD82DF}"/>
</file>

<file path=docProps/app.xml><?xml version="1.0" encoding="utf-8"?>
<Properties xmlns="http://schemas.openxmlformats.org/officeDocument/2006/extended-properties" xmlns:vt="http://schemas.openxmlformats.org/officeDocument/2006/docPropsVTypes">
  <Application>Microsoft Excel Online</Application>
  <Manager/>
  <Company>Municipio de Medellin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cp:keywords/>
  <dc:description/>
  <cp:lastModifiedBy>Edgar Alexander Osorio Londoño</cp:lastModifiedBy>
  <cp:revision/>
  <dcterms:created xsi:type="dcterms:W3CDTF">2007-01-17T19:41:47Z</dcterms:created>
  <dcterms:modified xsi:type="dcterms:W3CDTF">2025-01-14T19:39:41Z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0x010100E5D9C05AA895CA4D864E33307EE38F33</vt:lpwstr>
  </property>
  <property fmtid="{D5CDD505-2E9C-101B-9397-08002B2CF9AE}" pid="3" name="MediaServiceImageTags">
    <vt:lpwstr/>
  </property>
</Properties>
</file>