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filterPrivacy="1" defaultThemeVersion="166925"/>
  <xr:revisionPtr revIDLastSave="0" documentId="13_ncr:1_{6129AD76-129F-41DF-B2AF-51C588174FB9}" xr6:coauthVersionLast="47" xr6:coauthVersionMax="47" xr10:uidLastSave="{00000000-0000-0000-0000-000000000000}"/>
  <bookViews>
    <workbookView xWindow="-108" yWindow="-108" windowWidth="23256" windowHeight="12456" tabRatio="848" xr2:uid="{AFF2B224-9292-8D42-87AD-8250545921DC}"/>
  </bookViews>
  <sheets>
    <sheet name="TICOM S.A.S." sheetId="4" r:id="rId1"/>
    <sheet name="CONSORCIO RW" sheetId="16" r:id="rId2"/>
    <sheet name="K RESIDUAL" sheetId="10" r:id="rId3"/>
  </sheets>
  <externalReferences>
    <externalReference r:id="rId4"/>
    <externalReference r:id="rId5"/>
  </externalReferences>
  <definedNames>
    <definedName name="_xlnm._FilterDatabase" localSheetId="1" hidden="1">'CONSORCIO RW'!#REF!</definedName>
    <definedName name="_xlnm._FilterDatabase" localSheetId="0" hidden="1">'TICOM S.A.S.'!#REF!</definedName>
    <definedName name="AnticipoM1" localSheetId="1">#REF!</definedName>
    <definedName name="AnticipoM1" localSheetId="2">[1]POA!$D$2</definedName>
    <definedName name="AnticipoM1">#REF!</definedName>
    <definedName name="AnticipoM2" localSheetId="1">#REF!</definedName>
    <definedName name="AnticipoM2" localSheetId="2">[2]POA!#REF!</definedName>
    <definedName name="AnticipoM2">#REF!</definedName>
    <definedName name="AnticipoM3" localSheetId="2">[2]POA!#REF!</definedName>
    <definedName name="AnticipoM3">#REF!</definedName>
    <definedName name="AnticipoM4" localSheetId="2">[2]POA!#REF!</definedName>
    <definedName name="AnticipoM4">#REF!</definedName>
    <definedName name="_xlnm.Print_Area" localSheetId="1">'CONSORCIO RW'!$A$1:$Z$10</definedName>
    <definedName name="_xlnm.Print_Area" localSheetId="0">'TICOM S.A.S.'!$A$1:$Z$7</definedName>
    <definedName name="PlazoM2" localSheetId="2">[2]POA!#REF!</definedName>
    <definedName name="PlazoM2">#REF!</definedName>
    <definedName name="PlazoM3" localSheetId="2">[2]POA!#REF!</definedName>
    <definedName name="PlazoM3">#REF!</definedName>
    <definedName name="PlazoM4" localSheetId="2">[2]POA!#REF!</definedName>
    <definedName name="PlazoM4">#REF!</definedName>
    <definedName name="prueba" localSheetId="2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2" i="10" l="1"/>
  <c r="H13" i="10"/>
  <c r="H12" i="10"/>
  <c r="H11" i="10"/>
  <c r="H10" i="10"/>
  <c r="M6" i="16"/>
  <c r="F6" i="16"/>
  <c r="G6" i="16"/>
  <c r="H6" i="16"/>
  <c r="I6" i="16"/>
  <c r="J6" i="16"/>
  <c r="K6" i="16"/>
  <c r="E6" i="16"/>
  <c r="W6" i="4"/>
  <c r="T6" i="4"/>
  <c r="H8" i="10"/>
  <c r="C9" i="10" l="1"/>
  <c r="O10" i="10"/>
  <c r="C7" i="10"/>
  <c r="N6" i="16"/>
  <c r="O13" i="10"/>
  <c r="O11" i="10"/>
  <c r="O8" i="10"/>
  <c r="O7" i="10" s="1"/>
  <c r="O9" i="10" l="1"/>
  <c r="Q6" i="16"/>
  <c r="R6" i="16" s="1"/>
  <c r="X6" i="16"/>
  <c r="Y6" i="16" s="1"/>
  <c r="O6" i="16"/>
  <c r="P6" i="16" s="1"/>
  <c r="S6" i="16"/>
  <c r="T6" i="16" s="1"/>
  <c r="V6" i="16"/>
  <c r="W6" i="16" s="1"/>
  <c r="E7" i="10" l="1"/>
  <c r="F7" i="10" s="1"/>
  <c r="P7" i="10" l="1"/>
  <c r="G9" i="10"/>
  <c r="G7" i="10"/>
  <c r="M6" i="4"/>
  <c r="P9" i="10" l="1"/>
  <c r="F6" i="4" l="1"/>
  <c r="G6" i="4"/>
  <c r="H6" i="4"/>
  <c r="I6" i="4"/>
  <c r="J6" i="4"/>
  <c r="K6" i="4"/>
  <c r="E6" i="4"/>
  <c r="O6" i="4" l="1"/>
  <c r="P6" i="4" s="1"/>
  <c r="Q6" i="4"/>
  <c r="R6" i="4" s="1"/>
  <c r="X6" i="4"/>
  <c r="Y6" i="4" s="1"/>
  <c r="N6" i="4"/>
  <c r="V6" i="4"/>
  <c r="S6" i="4"/>
</calcChain>
</file>

<file path=xl/sharedStrings.xml><?xml version="1.0" encoding="utf-8"?>
<sst xmlns="http://schemas.openxmlformats.org/spreadsheetml/2006/main" count="154" uniqueCount="76">
  <si>
    <t xml:space="preserve">DATOS </t>
  </si>
  <si>
    <t>INFORMACIÓN  FINANCIERA - RUP</t>
  </si>
  <si>
    <t>OFERTA</t>
  </si>
  <si>
    <t>INDICE-LIQUIDEZ</t>
  </si>
  <si>
    <t>INDICE-ENDEUDAMIENTO</t>
  </si>
  <si>
    <t>RAZON DE COBERTURA DE INTERESES</t>
  </si>
  <si>
    <t>EVALUACIÓN CAPACIDAD FINANCIERA</t>
  </si>
  <si>
    <t>RENTABILIDAD DEL PATRIMONIO (ROE)</t>
  </si>
  <si>
    <t>RENTABILIDAD DEL ACTIVO (ROA)</t>
  </si>
  <si>
    <t>EVALUACIÓN CAPACIDAD ORGANIZACIÓNAL</t>
  </si>
  <si>
    <t>PROPONENTE</t>
  </si>
  <si>
    <t>VIGENCIA EVALUADA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</si>
  <si>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</si>
  <si>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</si>
  <si>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</si>
  <si>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</si>
  <si>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</si>
  <si>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</si>
  <si>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Fórmula: Liquidez=AC/PC</t>
  </si>
  <si>
    <t>Fórmula: Endeudamiento = Pas.T/Act.Tot</t>
  </si>
  <si>
    <t xml:space="preserve">Fórmula: Razón Cobertura Intereses = UO/GI </t>
  </si>
  <si>
    <t>CUMPLE / NO CUMPLE</t>
  </si>
  <si>
    <t>Fórmula ROE = UO/Pat.</t>
  </si>
  <si>
    <t>Fórmula ROE = UO/Act.Tot</t>
  </si>
  <si>
    <t>Req. Pyme Min. Liquidez &gt; =</t>
  </si>
  <si>
    <t>Req. Pyme Min. Endeudamiento: &lt; =</t>
  </si>
  <si>
    <t>Req. Pyme Min. Cobertura Intereses: &gt; =</t>
  </si>
  <si>
    <t>Req. Pyme Min. ROE: &gt; =</t>
  </si>
  <si>
    <t>Req. Pyme Min. ROA: &gt; =</t>
  </si>
  <si>
    <t>Req. Min. Liquidez &gt; =</t>
  </si>
  <si>
    <t>Req. Min. Endeudamiento: &lt; =</t>
  </si>
  <si>
    <t>Req. Min. Cobertura Intereses: &gt; =</t>
  </si>
  <si>
    <t>Req. Min. ROE: &gt; =</t>
  </si>
  <si>
    <t>Req. Min. ROA: &gt; =</t>
  </si>
  <si>
    <t>INDICADOR</t>
  </si>
  <si>
    <t>RESULTADO</t>
  </si>
  <si>
    <t>CUMPLE</t>
  </si>
  <si>
    <t>PARTICIPACION</t>
  </si>
  <si>
    <t>PATRIMONIO</t>
  </si>
  <si>
    <t>INDICE-CAPITAL DE TRABAJO DEMANDADO</t>
  </si>
  <si>
    <t>Fórmula: CT=AC-PC</t>
  </si>
  <si>
    <t>Req. Min. CTd</t>
  </si>
  <si>
    <t>VERIFICACION DE CAPACIDAD RESIDUAL DE LOS OFERENTES</t>
  </si>
  <si>
    <t>Porcentaje de Participación para este Proceso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</si>
  <si>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</si>
  <si>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</si>
  <si>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</si>
  <si>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</si>
  <si>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</si>
  <si>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TÉCNICA</t>
  </si>
  <si>
    <t>CAPACIDAD FINANCIERA</t>
  </si>
  <si>
    <t>SALDOS CONTRATOS EN EJECUCIÓN</t>
  </si>
  <si>
    <t>CAPACIDAD RESIDUAL DEL PROPONENTE</t>
  </si>
  <si>
    <t>CAPACIDAD RESIDUAL DE CONTRATACIÓN</t>
  </si>
  <si>
    <t>(%)</t>
  </si>
  <si>
    <t>En Pesos Colombianos</t>
  </si>
  <si>
    <t>Formula: POE - Anticipo</t>
  </si>
  <si>
    <t>En Pesos</t>
  </si>
  <si>
    <t>Calculo N veces P.O</t>
  </si>
  <si>
    <t>Puntaje</t>
  </si>
  <si>
    <t># De Prof.</t>
  </si>
  <si>
    <t>I.L.</t>
  </si>
  <si>
    <t>Habil / No Habil</t>
  </si>
  <si>
    <t>DEPARTAMENTO DE LA GUAJIRA</t>
  </si>
  <si>
    <t>Formula: CO * [(E+CT-CF)/100] - SCE</t>
  </si>
  <si>
    <t>WCC GROUP SAS</t>
  </si>
  <si>
    <t>TRANSPORTE INGENIERIA CONSTRUCCIONES Y MAQUINARIA S.A. TICOM S.A.</t>
  </si>
  <si>
    <t>CONSTRUCTORA ARENAS SAS</t>
  </si>
  <si>
    <t>BEFARHS 
CONSTRUCTORES SAS</t>
  </si>
  <si>
    <t>ANGAR CONSTRUCCIONES SAS</t>
  </si>
  <si>
    <t>CONSORCIO RW</t>
  </si>
  <si>
    <t>CONSTRUCTORA ARENAS S.A.S</t>
  </si>
  <si>
    <t>WCC GROUP S.A.S</t>
  </si>
  <si>
    <t>BEFARHS CONSTRUCTORES S.A.S</t>
  </si>
  <si>
    <t>ANGAR CONSTRUCCIONES S.A.S</t>
  </si>
  <si>
    <t>No. PROCESO: SAMC-013-2024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</si>
</sst>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 * #,##0_ ;_ * \-#,##0_ ;_ * &quot;-&quot;_ ;_ @_ "/>
    <numFmt numFmtId="166" formatCode="_-&quot;$&quot;* #,##0.00_-;\-&quot;$&quot;* #,##0.00_-;_-&quot;$&quot;* &quot;-&quot;_-;_-@_-"/>
    <numFmt numFmtId="167" formatCode="0.0%"/>
    <numFmt numFmtId="168" formatCode="0.000"/>
    <numFmt numFmtId="169" formatCode="0.0000"/>
    <numFmt numFmtId="170" formatCode="_ * #,##0.00_ ;_ * \-#,##0.00_ ;_ * &quot;-&quot;??_ ;_ @_ "/>
    <numFmt numFmtId="171" formatCode="_ * #,##0_ ;_ * \-#,##0_ ;_ * &quot;-&quot;??_ ;_ @_ "/>
    <numFmt numFmtId="172" formatCode="#,##0.0"/>
    <numFmt numFmtId="173" formatCode="_ &quot;$&quot;\ * #,##0.00_ ;_ &quot;$&quot;\ * \-#,##0.00_ ;_ &quot;$&quot;\ * &quot;-&quot;??_ ;_ @_ 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5"/>
      <color indexed="63"/>
      <name val="Arial"/>
      <family val="2"/>
    </font>
    <font>
      <b/>
      <sz val="5"/>
      <name val="Arial"/>
      <family val="2"/>
    </font>
    <font>
      <sz val="5"/>
      <name val="Arial"/>
      <family val="2"/>
    </font>
    <font>
      <b/>
      <sz val="5"/>
      <name val="Arial Narrow"/>
      <family val="2"/>
    </font>
    <font>
      <sz val="5"/>
      <color rgb="FFFF0000"/>
      <name val="Arial"/>
      <family val="2"/>
    </font>
    <font>
      <sz val="5"/>
      <color indexed="8"/>
      <name val="Arial"/>
      <family val="2"/>
    </font>
    <font>
      <b/>
      <sz val="5"/>
      <color rgb="FFFF0000"/>
      <name val="Arial"/>
      <family val="2"/>
    </font>
    <font>
      <sz val="5"/>
      <color theme="1"/>
      <name val="Calibri"/>
      <family val="2"/>
      <scheme val="minor"/>
    </font>
    <font>
      <sz val="5"/>
      <name val="Arial Narrow"/>
      <family val="2"/>
    </font>
    <font>
      <b/>
      <sz val="5"/>
      <color rgb="FF00000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b/>
      <sz val="10"/>
      <name val="Arial"/>
      <family val="2"/>
    </font>
    <font>
      <b/>
      <sz val="6.5"/>
      <name val="Arial Narrow"/>
      <family val="2"/>
    </font>
    <font>
      <b/>
      <sz val="6.5"/>
      <color theme="1"/>
      <name val="Arial Narrow"/>
      <family val="2"/>
    </font>
    <font>
      <b/>
      <sz val="6.5"/>
      <color rgb="FFFF0000"/>
      <name val="Arial Narrow"/>
      <family val="2"/>
    </font>
    <font>
      <sz val="6.5"/>
      <name val="Arial Narrow"/>
      <family val="2"/>
    </font>
    <font>
      <sz val="6.5"/>
      <color theme="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/>
    <xf numFmtId="170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73" fontId="12" fillId="0" borderId="0" applyFont="0" applyFill="0" applyBorder="0" applyAlignment="0" applyProtection="0"/>
  </cellStyleXfs>
  <cellXfs count="156">
    <xf numFmtId="0" fontId="0" fillId="0" borderId="0" xfId="0"/>
    <xf numFmtId="0" fontId="4" fillId="3" borderId="0" xfId="0" applyFont="1" applyFill="1"/>
    <xf numFmtId="0" fontId="4" fillId="3" borderId="0" xfId="0" applyFont="1" applyFill="1" applyAlignment="1">
      <alignment vertical="center"/>
    </xf>
    <xf numFmtId="166" fontId="4" fillId="0" borderId="1" xfId="2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43" fontId="4" fillId="0" borderId="0" xfId="1" applyFont="1" applyFill="1" applyAlignment="1">
      <alignment horizontal="center"/>
    </xf>
    <xf numFmtId="43" fontId="4" fillId="3" borderId="0" xfId="1" applyFont="1" applyFill="1" applyAlignment="1">
      <alignment horizontal="center"/>
    </xf>
    <xf numFmtId="165" fontId="4" fillId="3" borderId="0" xfId="0" applyNumberFormat="1" applyFont="1" applyFill="1" applyAlignment="1">
      <alignment horizontal="center"/>
    </xf>
    <xf numFmtId="0" fontId="9" fillId="7" borderId="11" xfId="0" applyFont="1" applyFill="1" applyBorder="1" applyAlignment="1">
      <alignment horizontal="center" vertical="center"/>
    </xf>
    <xf numFmtId="1" fontId="10" fillId="0" borderId="11" xfId="3" applyNumberFormat="1" applyFont="1" applyFill="1" applyBorder="1" applyAlignment="1">
      <alignment horizontal="center" vertical="center" wrapText="1"/>
    </xf>
    <xf numFmtId="166" fontId="4" fillId="0" borderId="10" xfId="2" applyNumberFormat="1" applyFont="1" applyFill="1" applyBorder="1" applyAlignment="1">
      <alignment horizontal="center" vertical="center" wrapText="1"/>
    </xf>
    <xf numFmtId="166" fontId="4" fillId="0" borderId="11" xfId="2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0" xfId="0" quotePrefix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167" fontId="3" fillId="2" borderId="10" xfId="3" quotePrefix="1" applyNumberFormat="1" applyFont="1" applyFill="1" applyBorder="1" applyAlignment="1">
      <alignment horizontal="center" vertical="center" wrapText="1"/>
    </xf>
    <xf numFmtId="167" fontId="3" fillId="2" borderId="10" xfId="3" applyNumberFormat="1" applyFont="1" applyFill="1" applyBorder="1" applyAlignment="1">
      <alignment horizontal="center" vertical="center"/>
    </xf>
    <xf numFmtId="44" fontId="3" fillId="7" borderId="10" xfId="2" applyNumberFormat="1" applyFont="1" applyFill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/>
    </xf>
    <xf numFmtId="2" fontId="11" fillId="9" borderId="14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43" fontId="3" fillId="6" borderId="1" xfId="1" applyFont="1" applyFill="1" applyBorder="1" applyAlignment="1">
      <alignment vertical="center"/>
    </xf>
    <xf numFmtId="2" fontId="3" fillId="6" borderId="1" xfId="3" applyNumberFormat="1" applyFont="1" applyFill="1" applyBorder="1" applyAlignment="1">
      <alignment horizontal="center" vertical="center"/>
    </xf>
    <xf numFmtId="1" fontId="3" fillId="6" borderId="1" xfId="1" applyNumberFormat="1" applyFont="1" applyFill="1" applyBorder="1" applyAlignment="1">
      <alignment horizontal="center" vertical="center"/>
    </xf>
    <xf numFmtId="167" fontId="3" fillId="2" borderId="1" xfId="3" quotePrefix="1" applyNumberFormat="1" applyFont="1" applyFill="1" applyBorder="1" applyAlignment="1">
      <alignment horizontal="center" vertical="center" wrapText="1"/>
    </xf>
    <xf numFmtId="3" fontId="3" fillId="6" borderId="1" xfId="3" applyNumberFormat="1" applyFont="1" applyFill="1" applyBorder="1" applyAlignment="1">
      <alignment horizontal="center" vertical="center"/>
    </xf>
    <xf numFmtId="4" fontId="3" fillId="6" borderId="1" xfId="3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7" fontId="3" fillId="2" borderId="1" xfId="3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1" fontId="10" fillId="0" borderId="1" xfId="3" applyNumberFormat="1" applyFont="1" applyFill="1" applyBorder="1" applyAlignment="1">
      <alignment horizontal="center" vertical="center" wrapText="1"/>
    </xf>
    <xf numFmtId="0" fontId="14" fillId="3" borderId="0" xfId="4" applyFont="1" applyFill="1" applyAlignment="1">
      <alignment vertical="center"/>
    </xf>
    <xf numFmtId="170" fontId="14" fillId="3" borderId="0" xfId="5" applyFont="1" applyFill="1" applyBorder="1"/>
    <xf numFmtId="9" fontId="14" fillId="3" borderId="0" xfId="6" applyFont="1" applyFill="1" applyBorder="1"/>
    <xf numFmtId="0" fontId="14" fillId="3" borderId="0" xfId="4" applyFont="1" applyFill="1"/>
    <xf numFmtId="0" fontId="14" fillId="3" borderId="0" xfId="4" applyFont="1" applyFill="1" applyAlignment="1">
      <alignment horizontal="center" vertical="center" wrapText="1"/>
    </xf>
    <xf numFmtId="10" fontId="15" fillId="3" borderId="0" xfId="7" applyNumberFormat="1" applyFont="1" applyFill="1" applyAlignment="1">
      <alignment horizontal="center" vertical="center" wrapText="1"/>
    </xf>
    <xf numFmtId="170" fontId="15" fillId="3" borderId="0" xfId="7" applyNumberFormat="1" applyFont="1" applyFill="1" applyAlignment="1">
      <alignment horizontal="center" vertical="center" wrapText="1"/>
    </xf>
    <xf numFmtId="4" fontId="15" fillId="3" borderId="0" xfId="7" applyNumberFormat="1" applyFont="1" applyFill="1" applyAlignment="1">
      <alignment horizontal="center" vertical="center" wrapText="1"/>
    </xf>
    <xf numFmtId="171" fontId="16" fillId="3" borderId="0" xfId="5" applyNumberFormat="1" applyFont="1" applyFill="1" applyBorder="1" applyAlignment="1">
      <alignment horizontal="center" vertical="center"/>
    </xf>
    <xf numFmtId="172" fontId="15" fillId="3" borderId="0" xfId="7" applyNumberFormat="1" applyFont="1" applyFill="1" applyAlignment="1">
      <alignment horizontal="center" vertical="center" wrapText="1"/>
    </xf>
    <xf numFmtId="0" fontId="12" fillId="3" borderId="0" xfId="4" applyFill="1" applyAlignment="1">
      <alignment vertical="center"/>
    </xf>
    <xf numFmtId="170" fontId="0" fillId="3" borderId="0" xfId="5" applyFont="1" applyFill="1"/>
    <xf numFmtId="9" fontId="0" fillId="3" borderId="0" xfId="6" applyFont="1" applyFill="1"/>
    <xf numFmtId="0" fontId="12" fillId="3" borderId="0" xfId="4" applyFill="1"/>
    <xf numFmtId="170" fontId="17" fillId="3" borderId="0" xfId="5" applyFont="1" applyFill="1" applyAlignment="1">
      <alignment horizontal="center" vertical="center"/>
    </xf>
    <xf numFmtId="9" fontId="17" fillId="3" borderId="0" xfId="6" applyFont="1" applyFill="1" applyAlignment="1">
      <alignment horizontal="center" vertical="center"/>
    </xf>
    <xf numFmtId="0" fontId="17" fillId="3" borderId="0" xfId="4" applyFont="1" applyFill="1" applyAlignment="1">
      <alignment horizontal="center" vertical="center"/>
    </xf>
    <xf numFmtId="0" fontId="12" fillId="0" borderId="0" xfId="4" applyAlignment="1">
      <alignment vertical="center"/>
    </xf>
    <xf numFmtId="170" fontId="0" fillId="0" borderId="0" xfId="5" applyFont="1" applyFill="1"/>
    <xf numFmtId="9" fontId="0" fillId="0" borderId="0" xfId="6" applyFont="1" applyFill="1"/>
    <xf numFmtId="0" fontId="12" fillId="0" borderId="0" xfId="4"/>
    <xf numFmtId="0" fontId="12" fillId="3" borderId="0" xfId="4" applyFill="1" applyAlignment="1">
      <alignment wrapText="1"/>
    </xf>
    <xf numFmtId="165" fontId="12" fillId="3" borderId="0" xfId="4" applyNumberFormat="1" applyFill="1" applyAlignment="1">
      <alignment horizontal="center"/>
    </xf>
    <xf numFmtId="4" fontId="18" fillId="10" borderId="1" xfId="7" applyNumberFormat="1" applyFont="1" applyFill="1" applyBorder="1" applyAlignment="1">
      <alignment horizontal="center" vertical="center" wrapText="1"/>
    </xf>
    <xf numFmtId="0" fontId="18" fillId="11" borderId="1" xfId="7" applyFont="1" applyFill="1" applyBorder="1" applyAlignment="1">
      <alignment horizontal="center" vertical="center" wrapText="1"/>
    </xf>
    <xf numFmtId="0" fontId="18" fillId="10" borderId="1" xfId="7" applyFont="1" applyFill="1" applyBorder="1" applyAlignment="1">
      <alignment horizontal="center" vertical="center" wrapText="1"/>
    </xf>
    <xf numFmtId="0" fontId="18" fillId="12" borderId="1" xfId="7" applyFont="1" applyFill="1" applyBorder="1" applyAlignment="1">
      <alignment horizontal="center" vertical="center" wrapText="1"/>
    </xf>
    <xf numFmtId="0" fontId="18" fillId="13" borderId="1" xfId="8" applyFont="1" applyFill="1" applyBorder="1" applyAlignment="1">
      <alignment horizontal="center" vertical="center" wrapText="1"/>
    </xf>
    <xf numFmtId="0" fontId="18" fillId="14" borderId="1" xfId="0" applyFont="1" applyFill="1" applyBorder="1" applyAlignment="1">
      <alignment horizontal="center" vertical="center" wrapText="1"/>
    </xf>
    <xf numFmtId="10" fontId="18" fillId="13" borderId="1" xfId="7" applyNumberFormat="1" applyFont="1" applyFill="1" applyBorder="1" applyAlignment="1">
      <alignment horizontal="center" vertical="center" wrapText="1"/>
    </xf>
    <xf numFmtId="166" fontId="19" fillId="13" borderId="1" xfId="9" applyNumberFormat="1" applyFont="1" applyFill="1" applyBorder="1" applyAlignment="1">
      <alignment horizontal="center" vertical="center" wrapText="1"/>
    </xf>
    <xf numFmtId="0" fontId="21" fillId="0" borderId="1" xfId="8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0" fontId="21" fillId="0" borderId="1" xfId="7" applyNumberFormat="1" applyFont="1" applyBorder="1" applyAlignment="1">
      <alignment horizontal="center" vertical="center" wrapText="1"/>
    </xf>
    <xf numFmtId="2" fontId="22" fillId="0" borderId="1" xfId="10" applyNumberFormat="1" applyFont="1" applyFill="1" applyBorder="1" applyAlignment="1">
      <alignment horizontal="center" vertical="center" wrapText="1"/>
    </xf>
    <xf numFmtId="3" fontId="22" fillId="0" borderId="1" xfId="5" applyNumberFormat="1" applyFont="1" applyFill="1" applyBorder="1" applyAlignment="1">
      <alignment horizontal="center" vertical="center" wrapText="1"/>
    </xf>
    <xf numFmtId="4" fontId="22" fillId="0" borderId="1" xfId="5" applyNumberFormat="1" applyFont="1" applyFill="1" applyBorder="1" applyAlignment="1">
      <alignment horizontal="center" vertical="center" wrapText="1"/>
    </xf>
    <xf numFmtId="170" fontId="22" fillId="0" borderId="1" xfId="5" applyFont="1" applyFill="1" applyBorder="1" applyAlignment="1">
      <alignment horizontal="center" vertical="center" wrapText="1"/>
    </xf>
    <xf numFmtId="166" fontId="18" fillId="13" borderId="1" xfId="2" applyNumberFormat="1" applyFont="1" applyFill="1" applyBorder="1" applyAlignment="1">
      <alignment horizontal="center" vertical="center" wrapText="1"/>
    </xf>
    <xf numFmtId="10" fontId="21" fillId="15" borderId="1" xfId="7" applyNumberFormat="1" applyFont="1" applyFill="1" applyBorder="1" applyAlignment="1">
      <alignment horizontal="center" vertical="center" wrapText="1"/>
    </xf>
    <xf numFmtId="173" fontId="22" fillId="0" borderId="1" xfId="10" applyFont="1" applyFill="1" applyBorder="1" applyAlignment="1">
      <alignment horizontal="center" vertical="center" wrapText="1"/>
    </xf>
    <xf numFmtId="3" fontId="21" fillId="0" borderId="1" xfId="5" applyNumberFormat="1" applyFont="1" applyFill="1" applyBorder="1" applyAlignment="1">
      <alignment horizontal="center" vertical="center" wrapText="1"/>
    </xf>
    <xf numFmtId="4" fontId="21" fillId="0" borderId="1" xfId="5" applyNumberFormat="1" applyFont="1" applyFill="1" applyBorder="1" applyAlignment="1">
      <alignment horizontal="center" vertical="center" wrapText="1"/>
    </xf>
    <xf numFmtId="173" fontId="21" fillId="0" borderId="1" xfId="10" applyFont="1" applyFill="1" applyBorder="1" applyAlignment="1">
      <alignment horizontal="center" vertical="center" wrapText="1"/>
    </xf>
    <xf numFmtId="166" fontId="4" fillId="3" borderId="0" xfId="0" applyNumberFormat="1" applyFont="1" applyFill="1"/>
    <xf numFmtId="44" fontId="4" fillId="3" borderId="0" xfId="0" applyNumberFormat="1" applyFont="1" applyFill="1" applyAlignment="1">
      <alignment horizontal="center"/>
    </xf>
    <xf numFmtId="166" fontId="21" fillId="0" borderId="1" xfId="2" applyNumberFormat="1" applyFont="1" applyFill="1" applyBorder="1" applyAlignment="1">
      <alignment horizontal="center" vertical="center" wrapText="1"/>
    </xf>
    <xf numFmtId="44" fontId="3" fillId="7" borderId="1" xfId="2" applyNumberFormat="1" applyFont="1" applyFill="1" applyBorder="1" applyAlignment="1">
      <alignment horizontal="center" vertical="center" wrapText="1"/>
    </xf>
    <xf numFmtId="43" fontId="3" fillId="4" borderId="1" xfId="1" applyFont="1" applyFill="1" applyBorder="1" applyAlignment="1">
      <alignment horizontal="center" vertical="center" wrapText="1"/>
    </xf>
    <xf numFmtId="43" fontId="3" fillId="4" borderId="11" xfId="1" applyFont="1" applyFill="1" applyBorder="1" applyAlignment="1">
      <alignment horizontal="center" vertical="center" wrapText="1"/>
    </xf>
    <xf numFmtId="165" fontId="3" fillId="2" borderId="7" xfId="0" applyNumberFormat="1" applyFont="1" applyFill="1" applyBorder="1" applyAlignment="1">
      <alignment horizontal="center" vertical="center" wrapText="1"/>
    </xf>
    <xf numFmtId="165" fontId="3" fillId="2" borderId="9" xfId="0" applyNumberFormat="1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9" fontId="3" fillId="4" borderId="1" xfId="3" applyFont="1" applyFill="1" applyBorder="1" applyAlignment="1">
      <alignment horizontal="center" vertical="center" wrapText="1"/>
    </xf>
    <xf numFmtId="9" fontId="3" fillId="4" borderId="2" xfId="3" applyFont="1" applyFill="1" applyBorder="1" applyAlignment="1">
      <alignment horizontal="center" vertical="center" wrapText="1"/>
    </xf>
    <xf numFmtId="9" fontId="3" fillId="4" borderId="3" xfId="3" applyFont="1" applyFill="1" applyBorder="1" applyAlignment="1">
      <alignment horizontal="center" vertical="center" wrapText="1"/>
    </xf>
    <xf numFmtId="9" fontId="3" fillId="4" borderId="4" xfId="3" applyFont="1" applyFill="1" applyBorder="1" applyAlignment="1">
      <alignment horizontal="center" vertical="center" wrapText="1"/>
    </xf>
    <xf numFmtId="9" fontId="3" fillId="4" borderId="11" xfId="3" applyFont="1" applyFill="1" applyBorder="1" applyAlignment="1">
      <alignment horizontal="center" vertical="center" wrapText="1"/>
    </xf>
    <xf numFmtId="9" fontId="3" fillId="4" borderId="10" xfId="3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textRotation="255"/>
    </xf>
    <xf numFmtId="0" fontId="3" fillId="2" borderId="13" xfId="0" applyFont="1" applyFill="1" applyBorder="1" applyAlignment="1">
      <alignment horizontal="center" vertical="center" textRotation="255"/>
    </xf>
    <xf numFmtId="165" fontId="3" fillId="2" borderId="15" xfId="0" applyNumberFormat="1" applyFont="1" applyFill="1" applyBorder="1" applyAlignment="1">
      <alignment horizontal="center" vertical="center" wrapText="1"/>
    </xf>
    <xf numFmtId="165" fontId="3" fillId="2" borderId="17" xfId="0" applyNumberFormat="1" applyFont="1" applyFill="1" applyBorder="1" applyAlignment="1">
      <alignment horizontal="center" vertical="center" wrapText="1"/>
    </xf>
    <xf numFmtId="0" fontId="3" fillId="4" borderId="10" xfId="0" quotePrefix="1" applyFont="1" applyFill="1" applyBorder="1" applyAlignment="1">
      <alignment horizontal="center" vertical="center" wrapText="1"/>
    </xf>
    <xf numFmtId="0" fontId="3" fillId="4" borderId="11" xfId="0" quotePrefix="1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1" fontId="3" fillId="0" borderId="13" xfId="2" applyNumberFormat="1" applyFont="1" applyFill="1" applyBorder="1" applyAlignment="1">
      <alignment horizontal="center" vertical="center"/>
    </xf>
    <xf numFmtId="164" fontId="4" fillId="0" borderId="19" xfId="2" applyFont="1" applyFill="1" applyBorder="1" applyAlignment="1">
      <alignment horizontal="center" vertical="center" wrapText="1"/>
    </xf>
    <xf numFmtId="164" fontId="4" fillId="0" borderId="21" xfId="2" applyFont="1" applyFill="1" applyBorder="1" applyAlignment="1">
      <alignment horizontal="center" vertical="center" wrapText="1"/>
    </xf>
    <xf numFmtId="168" fontId="6" fillId="0" borderId="19" xfId="1" applyNumberFormat="1" applyFont="1" applyFill="1" applyBorder="1" applyAlignment="1">
      <alignment horizontal="center" vertical="center" wrapText="1"/>
    </xf>
    <xf numFmtId="168" fontId="6" fillId="0" borderId="21" xfId="1" applyNumberFormat="1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2" borderId="19" xfId="0" quotePrefix="1" applyFont="1" applyFill="1" applyBorder="1" applyAlignment="1">
      <alignment horizontal="center" vertical="center" wrapText="1"/>
    </xf>
    <xf numFmtId="0" fontId="3" fillId="2" borderId="20" xfId="0" quotePrefix="1" applyFont="1" applyFill="1" applyBorder="1" applyAlignment="1">
      <alignment horizontal="center" vertical="center" wrapText="1"/>
    </xf>
    <xf numFmtId="172" fontId="3" fillId="6" borderId="19" xfId="0" quotePrefix="1" applyNumberFormat="1" applyFont="1" applyFill="1" applyBorder="1" applyAlignment="1">
      <alignment horizontal="center" vertical="center" wrapText="1"/>
    </xf>
    <xf numFmtId="172" fontId="3" fillId="6" borderId="20" xfId="0" quotePrefix="1" applyNumberFormat="1" applyFont="1" applyFill="1" applyBorder="1" applyAlignment="1">
      <alignment horizontal="center" vertical="center" wrapText="1"/>
    </xf>
    <xf numFmtId="168" fontId="4" fillId="0" borderId="10" xfId="1" applyNumberFormat="1" applyFont="1" applyFill="1" applyBorder="1" applyAlignment="1">
      <alignment horizontal="center" vertical="center" wrapText="1"/>
    </xf>
    <xf numFmtId="0" fontId="3" fillId="4" borderId="16" xfId="0" quotePrefix="1" applyFont="1" applyFill="1" applyBorder="1" applyAlignment="1">
      <alignment horizontal="center" vertical="center" wrapText="1"/>
    </xf>
    <xf numFmtId="0" fontId="3" fillId="4" borderId="18" xfId="0" quotePrefix="1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69" fontId="7" fillId="0" borderId="10" xfId="3" applyNumberFormat="1" applyFont="1" applyFill="1" applyBorder="1" applyAlignment="1">
      <alignment horizontal="center" vertical="center" wrapText="1"/>
    </xf>
    <xf numFmtId="168" fontId="7" fillId="0" borderId="10" xfId="1" applyNumberFormat="1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wrapText="1"/>
    </xf>
    <xf numFmtId="168" fontId="7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172" fontId="3" fillId="6" borderId="1" xfId="0" quotePrefix="1" applyNumberFormat="1" applyFont="1" applyFill="1" applyBorder="1" applyAlignment="1">
      <alignment horizontal="center" vertical="center" wrapText="1"/>
    </xf>
    <xf numFmtId="168" fontId="4" fillId="0" borderId="1" xfId="1" applyNumberFormat="1" applyFont="1" applyFill="1" applyBorder="1" applyAlignment="1">
      <alignment horizontal="center" vertical="center" wrapText="1"/>
    </xf>
    <xf numFmtId="0" fontId="3" fillId="4" borderId="1" xfId="0" quotePrefix="1" applyFont="1" applyFill="1" applyBorder="1" applyAlignment="1">
      <alignment horizontal="center" vertical="center" wrapText="1"/>
    </xf>
    <xf numFmtId="169" fontId="7" fillId="0" borderId="1" xfId="3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1" fontId="3" fillId="0" borderId="1" xfId="2" applyNumberFormat="1" applyFont="1" applyFill="1" applyBorder="1" applyAlignment="1">
      <alignment horizontal="center" vertical="center"/>
    </xf>
    <xf numFmtId="164" fontId="4" fillId="0" borderId="1" xfId="2" applyFont="1" applyFill="1" applyBorder="1" applyAlignment="1">
      <alignment horizontal="center" vertical="center" wrapText="1"/>
    </xf>
    <xf numFmtId="168" fontId="6" fillId="0" borderId="1" xfId="1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255"/>
    </xf>
    <xf numFmtId="0" fontId="13" fillId="3" borderId="0" xfId="4" applyFont="1" applyFill="1" applyAlignment="1">
      <alignment horizontal="center" vertical="center" wrapText="1"/>
    </xf>
    <xf numFmtId="0" fontId="18" fillId="10" borderId="1" xfId="8" applyFont="1" applyFill="1" applyBorder="1" applyAlignment="1">
      <alignment horizontal="center" vertical="center" textRotation="90" wrapText="1"/>
    </xf>
    <xf numFmtId="9" fontId="18" fillId="10" borderId="1" xfId="6" applyFont="1" applyFill="1" applyBorder="1" applyAlignment="1">
      <alignment horizontal="center" vertical="center" wrapText="1"/>
    </xf>
    <xf numFmtId="4" fontId="18" fillId="10" borderId="1" xfId="7" applyNumberFormat="1" applyFont="1" applyFill="1" applyBorder="1" applyAlignment="1">
      <alignment horizontal="center" vertical="center" wrapText="1"/>
    </xf>
    <xf numFmtId="0" fontId="18" fillId="10" borderId="1" xfId="7" applyFont="1" applyFill="1" applyBorder="1" applyAlignment="1">
      <alignment horizontal="center" vertical="center" wrapText="1"/>
    </xf>
    <xf numFmtId="0" fontId="20" fillId="14" borderId="1" xfId="4" applyFont="1" applyFill="1" applyBorder="1" applyAlignment="1">
      <alignment horizontal="center" vertical="center" wrapText="1"/>
    </xf>
    <xf numFmtId="0" fontId="12" fillId="3" borderId="22" xfId="4" applyFill="1" applyBorder="1" applyAlignment="1">
      <alignment horizontal="center" vertical="center"/>
    </xf>
    <xf numFmtId="164" fontId="18" fillId="13" borderId="2" xfId="9" applyFont="1" applyFill="1" applyBorder="1" applyAlignment="1">
      <alignment horizontal="center" vertical="center" wrapText="1"/>
    </xf>
    <xf numFmtId="164" fontId="18" fillId="13" borderId="3" xfId="9" applyFont="1" applyFill="1" applyBorder="1" applyAlignment="1">
      <alignment horizontal="center" vertical="center" wrapText="1"/>
    </xf>
    <xf numFmtId="171" fontId="18" fillId="13" borderId="1" xfId="5" applyNumberFormat="1" applyFont="1" applyFill="1" applyBorder="1" applyAlignment="1">
      <alignment horizontal="center" vertical="center" wrapText="1"/>
    </xf>
  </cellXfs>
  <cellStyles count="11">
    <cellStyle name="Millares" xfId="1" builtinId="3"/>
    <cellStyle name="Millares 2" xfId="5" xr:uid="{2F25B1A7-B90E-45E6-877B-F44B7AC44E6A}"/>
    <cellStyle name="Moneda [0]" xfId="2" builtinId="7"/>
    <cellStyle name="Moneda [0] 2" xfId="9" xr:uid="{0FF64F02-BA4B-4BDE-ACF2-5D9FB0AF9B41}"/>
    <cellStyle name="Moneda 2" xfId="10" xr:uid="{5698A4A3-FF35-487C-A2F2-0F9D883F05D4}"/>
    <cellStyle name="Normal" xfId="0" builtinId="0"/>
    <cellStyle name="Normal 2" xfId="4" xr:uid="{A6711BF1-4CD0-48EF-B3D2-1A260EA359C7}"/>
    <cellStyle name="Normal 2 2" xfId="7" xr:uid="{3D84D3BF-968B-4122-8611-47F3CFB7F81A}"/>
    <cellStyle name="Normal 3" xfId="8" xr:uid="{EC1B5382-2439-44ED-A1BA-EEFD180C473E}"/>
    <cellStyle name="Porcentaje" xfId="3" builtinId="5"/>
    <cellStyle name="Porcentaje 2" xfId="6" xr:uid="{8201A9A7-E718-4EE8-A89E-415460D97379}"/>
  </cellStyles>
  <dxfs count="59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ocuments/INVIAS%202022/INTERVENTORIAS/CMA-DTE-SEP-008-2022/CMA-DTE-SEP-008-2022%20-MATRIZ%20FINANCIE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oniojosehernandezissa/Desktop/MATRIZ%20EVALUACION%20K%20RESIDUAL%20LP-004-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TD"/>
      <sheetName val="BD"/>
      <sheetName val="POA"/>
      <sheetName val="Capacidad Financiera"/>
      <sheetName val="formato 9"/>
      <sheetName val="formato 8"/>
      <sheetName val="FORMATO 10"/>
      <sheetName val="PO"/>
      <sheetName val="CMA-DTE-SEP-008-2022 -MATRIZ FI"/>
    </sheetNames>
    <sheetDataSet>
      <sheetData sheetId="0"/>
      <sheetData sheetId="1">
        <row r="1">
          <cell r="A1" t="str">
            <v>AÑO</v>
          </cell>
        </row>
      </sheetData>
      <sheetData sheetId="2"/>
      <sheetData sheetId="3">
        <row r="2">
          <cell r="D2">
            <v>77600000</v>
          </cell>
        </row>
      </sheetData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FB216-C4C9-4C81-81F8-6A08144FFC0B}">
  <dimension ref="A1:Z7"/>
  <sheetViews>
    <sheetView tabSelected="1" view="pageBreakPreview" zoomScale="145" zoomScaleNormal="170" zoomScaleSheetLayoutView="145" workbookViewId="0">
      <selection activeCell="F6" sqref="F6"/>
    </sheetView>
  </sheetViews>
  <sheetFormatPr baseColWidth="10" defaultColWidth="11.44140625" defaultRowHeight="18" customHeight="1" x14ac:dyDescent="0.15"/>
  <cols>
    <col min="1" max="1" width="5.33203125" style="1" customWidth="1"/>
    <col min="2" max="2" width="20.6640625" style="1" customWidth="1"/>
    <col min="3" max="3" width="9.44140625" style="1" customWidth="1"/>
    <col min="4" max="4" width="6.6640625" style="5" customWidth="1"/>
    <col min="5" max="5" width="13.6640625" style="1" customWidth="1"/>
    <col min="6" max="6" width="14.44140625" style="6" customWidth="1"/>
    <col min="7" max="7" width="13.6640625" style="6" customWidth="1"/>
    <col min="8" max="8" width="13.5546875" style="6" customWidth="1"/>
    <col min="9" max="9" width="15.6640625" style="7" customWidth="1"/>
    <col min="10" max="10" width="12.88671875" style="8" customWidth="1"/>
    <col min="11" max="11" width="13.44140625" style="8" customWidth="1"/>
    <col min="12" max="12" width="5.109375" style="9" customWidth="1"/>
    <col min="13" max="13" width="17" style="9" customWidth="1"/>
    <col min="14" max="14" width="15.6640625" style="9" customWidth="1"/>
    <col min="15" max="15" width="17" style="9" customWidth="1"/>
    <col min="16" max="16" width="10.109375" style="9" bestFit="1" customWidth="1"/>
    <col min="17" max="17" width="16.6640625" style="9" customWidth="1"/>
    <col min="18" max="18" width="15" style="9" customWidth="1"/>
    <col min="19" max="19" width="16.44140625" style="9" customWidth="1"/>
    <col min="20" max="20" width="15.6640625" style="9" customWidth="1"/>
    <col min="21" max="21" width="13.33203125" style="9" customWidth="1"/>
    <col min="22" max="22" width="14.6640625" style="1" customWidth="1"/>
    <col min="23" max="23" width="11.44140625" style="1" customWidth="1"/>
    <col min="24" max="24" width="16.109375" style="1" customWidth="1"/>
    <col min="25" max="25" width="11.6640625" style="1" bestFit="1" customWidth="1"/>
    <col min="26" max="26" width="15.6640625" style="1" customWidth="1"/>
    <col min="27" max="27" width="14.44140625" style="1" customWidth="1"/>
    <col min="28" max="16384" width="11.44140625" style="1"/>
  </cols>
  <sheetData>
    <row r="1" spans="1:26" ht="19.2" customHeight="1" x14ac:dyDescent="0.15">
      <c r="A1" s="96" t="s">
        <v>0</v>
      </c>
      <c r="B1" s="97"/>
      <c r="C1" s="97"/>
      <c r="D1" s="98"/>
      <c r="E1" s="99" t="s">
        <v>1</v>
      </c>
      <c r="F1" s="100"/>
      <c r="G1" s="100"/>
      <c r="H1" s="100"/>
      <c r="I1" s="100"/>
      <c r="J1" s="100"/>
      <c r="K1" s="101"/>
      <c r="L1" s="102" t="s">
        <v>2</v>
      </c>
      <c r="M1" s="104" t="s">
        <v>39</v>
      </c>
      <c r="N1" s="105"/>
      <c r="O1" s="86" t="s">
        <v>3</v>
      </c>
      <c r="P1" s="87"/>
      <c r="Q1" s="86" t="s">
        <v>4</v>
      </c>
      <c r="R1" s="87"/>
      <c r="S1" s="86" t="s">
        <v>5</v>
      </c>
      <c r="T1" s="87"/>
      <c r="U1" s="17" t="s">
        <v>6</v>
      </c>
      <c r="V1" s="86" t="s">
        <v>7</v>
      </c>
      <c r="W1" s="87"/>
      <c r="X1" s="86" t="s">
        <v>8</v>
      </c>
      <c r="Y1" s="87"/>
      <c r="Z1" s="17" t="s">
        <v>9</v>
      </c>
    </row>
    <row r="2" spans="1:26" s="2" customFormat="1" ht="18" customHeight="1" x14ac:dyDescent="0.3">
      <c r="A2" s="88" t="s">
        <v>2</v>
      </c>
      <c r="B2" s="89" t="s">
        <v>10</v>
      </c>
      <c r="C2" s="90" t="s">
        <v>37</v>
      </c>
      <c r="D2" s="93" t="s">
        <v>11</v>
      </c>
      <c r="E2" s="94" t="s">
        <v>12</v>
      </c>
      <c r="F2" s="95" t="s">
        <v>13</v>
      </c>
      <c r="G2" s="95" t="s">
        <v>14</v>
      </c>
      <c r="H2" s="95" t="s">
        <v>15</v>
      </c>
      <c r="I2" s="84" t="s">
        <v>38</v>
      </c>
      <c r="J2" s="84" t="s">
        <v>16</v>
      </c>
      <c r="K2" s="85" t="s">
        <v>17</v>
      </c>
      <c r="L2" s="103"/>
      <c r="M2" s="122" t="s">
        <v>40</v>
      </c>
      <c r="N2" s="123"/>
      <c r="O2" s="106" t="s">
        <v>18</v>
      </c>
      <c r="P2" s="107"/>
      <c r="Q2" s="106" t="s">
        <v>19</v>
      </c>
      <c r="R2" s="107"/>
      <c r="S2" s="106" t="s">
        <v>20</v>
      </c>
      <c r="T2" s="107"/>
      <c r="U2" s="116" t="s">
        <v>21</v>
      </c>
      <c r="V2" s="106" t="s">
        <v>22</v>
      </c>
      <c r="W2" s="107"/>
      <c r="X2" s="106" t="s">
        <v>23</v>
      </c>
      <c r="Y2" s="107"/>
      <c r="Z2" s="116" t="s">
        <v>21</v>
      </c>
    </row>
    <row r="3" spans="1:26" s="2" customFormat="1" ht="16.95" customHeight="1" thickBot="1" x14ac:dyDescent="0.35">
      <c r="A3" s="88"/>
      <c r="B3" s="89"/>
      <c r="C3" s="91"/>
      <c r="D3" s="93"/>
      <c r="E3" s="94"/>
      <c r="F3" s="95"/>
      <c r="G3" s="95"/>
      <c r="H3" s="95"/>
      <c r="I3" s="84"/>
      <c r="J3" s="84"/>
      <c r="K3" s="85"/>
      <c r="L3" s="103"/>
      <c r="M3" s="117" t="s">
        <v>41</v>
      </c>
      <c r="N3" s="119">
        <v>19617710652.299999</v>
      </c>
      <c r="O3" s="16" t="s">
        <v>24</v>
      </c>
      <c r="P3" s="22">
        <v>1.1100000000000001</v>
      </c>
      <c r="Q3" s="16" t="s">
        <v>25</v>
      </c>
      <c r="R3" s="22">
        <v>0.75</v>
      </c>
      <c r="S3" s="16" t="s">
        <v>26</v>
      </c>
      <c r="T3" s="22">
        <v>0</v>
      </c>
      <c r="U3" s="116"/>
      <c r="V3" s="18" t="s">
        <v>27</v>
      </c>
      <c r="W3" s="22">
        <v>0</v>
      </c>
      <c r="X3" s="18" t="s">
        <v>28</v>
      </c>
      <c r="Y3" s="22">
        <v>0</v>
      </c>
      <c r="Z3" s="116"/>
    </row>
    <row r="4" spans="1:26" s="2" customFormat="1" ht="15" customHeight="1" thickBot="1" x14ac:dyDescent="0.35">
      <c r="A4" s="88"/>
      <c r="B4" s="89"/>
      <c r="C4" s="91"/>
      <c r="D4" s="93"/>
      <c r="E4" s="94"/>
      <c r="F4" s="95"/>
      <c r="G4" s="95"/>
      <c r="H4" s="95"/>
      <c r="I4" s="84"/>
      <c r="J4" s="84"/>
      <c r="K4" s="85"/>
      <c r="L4" s="103"/>
      <c r="M4" s="118"/>
      <c r="N4" s="120"/>
      <c r="O4" s="16" t="s">
        <v>29</v>
      </c>
      <c r="P4" s="22">
        <v>1.21</v>
      </c>
      <c r="Q4" s="16" t="s">
        <v>30</v>
      </c>
      <c r="R4" s="23">
        <v>0.7</v>
      </c>
      <c r="S4" s="16" t="s">
        <v>31</v>
      </c>
      <c r="T4" s="22">
        <v>1</v>
      </c>
      <c r="U4" s="116"/>
      <c r="V4" s="18" t="s">
        <v>32</v>
      </c>
      <c r="W4" s="22">
        <v>0.04</v>
      </c>
      <c r="X4" s="18" t="s">
        <v>33</v>
      </c>
      <c r="Y4" s="22">
        <v>0.02</v>
      </c>
      <c r="Z4" s="116"/>
    </row>
    <row r="5" spans="1:26" s="2" customFormat="1" ht="16.2" customHeight="1" x14ac:dyDescent="0.3">
      <c r="A5" s="88"/>
      <c r="B5" s="89"/>
      <c r="C5" s="92"/>
      <c r="D5" s="93"/>
      <c r="E5" s="94"/>
      <c r="F5" s="95"/>
      <c r="G5" s="95"/>
      <c r="H5" s="95"/>
      <c r="I5" s="84"/>
      <c r="J5" s="84"/>
      <c r="K5" s="85"/>
      <c r="L5" s="103"/>
      <c r="M5" s="14" t="s">
        <v>34</v>
      </c>
      <c r="N5" s="15" t="s">
        <v>35</v>
      </c>
      <c r="O5" s="14" t="s">
        <v>34</v>
      </c>
      <c r="P5" s="15" t="s">
        <v>35</v>
      </c>
      <c r="Q5" s="14" t="s">
        <v>34</v>
      </c>
      <c r="R5" s="15" t="s">
        <v>35</v>
      </c>
      <c r="S5" s="14" t="s">
        <v>34</v>
      </c>
      <c r="T5" s="15" t="s">
        <v>35</v>
      </c>
      <c r="U5" s="116"/>
      <c r="V5" s="19" t="s">
        <v>34</v>
      </c>
      <c r="W5" s="15" t="s">
        <v>35</v>
      </c>
      <c r="X5" s="19" t="s">
        <v>34</v>
      </c>
      <c r="Y5" s="15" t="s">
        <v>35</v>
      </c>
      <c r="Z5" s="116"/>
    </row>
    <row r="6" spans="1:26" ht="18" customHeight="1" x14ac:dyDescent="0.15">
      <c r="A6" s="108">
        <v>1</v>
      </c>
      <c r="B6" s="109" t="s">
        <v>66</v>
      </c>
      <c r="C6" s="110"/>
      <c r="D6" s="10">
        <v>2023</v>
      </c>
      <c r="E6" s="20">
        <f>(E7*$C$7)</f>
        <v>93122415241</v>
      </c>
      <c r="F6" s="20">
        <f t="shared" ref="F6:K6" si="0">(F7*$C$7)</f>
        <v>155227673685</v>
      </c>
      <c r="G6" s="20">
        <f t="shared" si="0"/>
        <v>20602460892</v>
      </c>
      <c r="H6" s="20">
        <f t="shared" si="0"/>
        <v>53221428771</v>
      </c>
      <c r="I6" s="20">
        <f t="shared" si="0"/>
        <v>102006244914</v>
      </c>
      <c r="J6" s="20">
        <f t="shared" si="0"/>
        <v>3368829306</v>
      </c>
      <c r="K6" s="20">
        <f t="shared" si="0"/>
        <v>5745451618</v>
      </c>
      <c r="L6" s="111">
        <v>1</v>
      </c>
      <c r="M6" s="112">
        <f>(E7-G7)</f>
        <v>72519954349</v>
      </c>
      <c r="N6" s="114" t="str">
        <f>IF(M6&gt;=$N$3,"CUMPLE","NO CUMPLE")</f>
        <v>CUMPLE</v>
      </c>
      <c r="O6" s="121">
        <f>E6/G6</f>
        <v>4.5199656356178171</v>
      </c>
      <c r="P6" s="124" t="str">
        <f>IF(O6&gt;=$P$4,"CUMPLE","NO CUMPLE")</f>
        <v>CUMPLE</v>
      </c>
      <c r="Q6" s="125">
        <f>H6/F6</f>
        <v>0.34286044174701114</v>
      </c>
      <c r="R6" s="124" t="str">
        <f>IF(Q6&lt;=$R$4,"CUMPLE","NO CUMPLE")</f>
        <v>CUMPLE</v>
      </c>
      <c r="S6" s="126">
        <f>J6/K6</f>
        <v>0.58634717163847505</v>
      </c>
      <c r="T6" s="124" t="str">
        <f>IF(S6&gt;=$T$3,"CUMPLE","NO CUMPLE")</f>
        <v>CUMPLE</v>
      </c>
      <c r="U6" s="127" t="s">
        <v>36</v>
      </c>
      <c r="V6" s="126">
        <f>J6/I6</f>
        <v>3.3025716306292932E-2</v>
      </c>
      <c r="W6" s="124" t="str">
        <f>IF(V6&gt;=$W$3,"CUMPLE","NO CUMPLE")</f>
        <v>CUMPLE</v>
      </c>
      <c r="X6" s="126">
        <f>J6/F6</f>
        <v>2.1702504624505865E-2</v>
      </c>
      <c r="Y6" s="124" t="str">
        <f>IF(X6&gt;=$Y$4,"CUMPLE","NO CUMPLE")</f>
        <v>CUMPLE</v>
      </c>
      <c r="Z6" s="127" t="s">
        <v>36</v>
      </c>
    </row>
    <row r="7" spans="1:26" ht="18" customHeight="1" x14ac:dyDescent="0.15">
      <c r="A7" s="108"/>
      <c r="B7" s="4" t="s">
        <v>66</v>
      </c>
      <c r="C7" s="21">
        <v>1</v>
      </c>
      <c r="D7" s="11">
        <v>2023</v>
      </c>
      <c r="E7" s="12">
        <v>93122415241</v>
      </c>
      <c r="F7" s="3">
        <v>155227673685</v>
      </c>
      <c r="G7" s="3">
        <v>20602460892</v>
      </c>
      <c r="H7" s="3">
        <v>53221428771</v>
      </c>
      <c r="I7" s="3">
        <v>102006244914</v>
      </c>
      <c r="J7" s="3">
        <v>3368829306</v>
      </c>
      <c r="K7" s="13">
        <v>5745451618</v>
      </c>
      <c r="L7" s="111"/>
      <c r="M7" s="113"/>
      <c r="N7" s="115"/>
      <c r="O7" s="121"/>
      <c r="P7" s="124"/>
      <c r="Q7" s="125"/>
      <c r="R7" s="124"/>
      <c r="S7" s="126"/>
      <c r="T7" s="124"/>
      <c r="U7" s="127"/>
      <c r="V7" s="126"/>
      <c r="W7" s="124"/>
      <c r="X7" s="126"/>
      <c r="Y7" s="124"/>
      <c r="Z7" s="127"/>
    </row>
  </sheetData>
  <mergeCells count="47">
    <mergeCell ref="V6:V7"/>
    <mergeCell ref="W6:W7"/>
    <mergeCell ref="X6:X7"/>
    <mergeCell ref="Y6:Y7"/>
    <mergeCell ref="U6:U7"/>
    <mergeCell ref="Z2:Z5"/>
    <mergeCell ref="M3:M4"/>
    <mergeCell ref="N3:N4"/>
    <mergeCell ref="O6:O7"/>
    <mergeCell ref="M2:N2"/>
    <mergeCell ref="O2:P2"/>
    <mergeCell ref="Q2:R2"/>
    <mergeCell ref="S2:T2"/>
    <mergeCell ref="U2:U5"/>
    <mergeCell ref="V2:W2"/>
    <mergeCell ref="P6:P7"/>
    <mergeCell ref="Q6:Q7"/>
    <mergeCell ref="R6:R7"/>
    <mergeCell ref="S6:S7"/>
    <mergeCell ref="Z6:Z7"/>
    <mergeCell ref="T6:T7"/>
    <mergeCell ref="A6:A7"/>
    <mergeCell ref="B6:C6"/>
    <mergeCell ref="L6:L7"/>
    <mergeCell ref="M6:M7"/>
    <mergeCell ref="N6:N7"/>
    <mergeCell ref="X1:Y1"/>
    <mergeCell ref="A2:A5"/>
    <mergeCell ref="B2:B5"/>
    <mergeCell ref="C2:C5"/>
    <mergeCell ref="D2:D5"/>
    <mergeCell ref="E2:E5"/>
    <mergeCell ref="F2:F5"/>
    <mergeCell ref="G2:G5"/>
    <mergeCell ref="A1:D1"/>
    <mergeCell ref="E1:K1"/>
    <mergeCell ref="L1:L5"/>
    <mergeCell ref="M1:N1"/>
    <mergeCell ref="O1:P1"/>
    <mergeCell ref="Q1:R1"/>
    <mergeCell ref="H2:H5"/>
    <mergeCell ref="X2:Y2"/>
    <mergeCell ref="I2:I5"/>
    <mergeCell ref="J2:J5"/>
    <mergeCell ref="K2:K5"/>
    <mergeCell ref="S1:T1"/>
    <mergeCell ref="V1:W1"/>
  </mergeCells>
  <conditionalFormatting sqref="B6">
    <cfRule type="cellIs" dxfId="58" priority="20" stopIfTrue="1" operator="equal">
      <formula>"NO ADMISIBLE"</formula>
    </cfRule>
  </conditionalFormatting>
  <conditionalFormatting sqref="B7:D7">
    <cfRule type="cellIs" dxfId="57" priority="19" stopIfTrue="1" operator="equal">
      <formula>"NO ADMISIBLE"</formula>
    </cfRule>
  </conditionalFormatting>
  <conditionalFormatting sqref="L6">
    <cfRule type="cellIs" dxfId="56" priority="1" stopIfTrue="1" operator="equal">
      <formula>"NO ADMISIBLE"</formula>
    </cfRule>
  </conditionalFormatting>
  <conditionalFormatting sqref="M6:U6">
    <cfRule type="cellIs" dxfId="55" priority="15" stopIfTrue="1" operator="equal">
      <formula>"NO ADMISIBLE"</formula>
    </cfRule>
  </conditionalFormatting>
  <conditionalFormatting sqref="P6:S6">
    <cfRule type="cellIs" dxfId="54" priority="9" stopIfTrue="1" operator="equal">
      <formula>"ADMISIBLE"</formula>
    </cfRule>
  </conditionalFormatting>
  <conditionalFormatting sqref="S6">
    <cfRule type="cellIs" dxfId="53" priority="8" stopIfTrue="1" operator="equal">
      <formula>"NO ADMISIBLE"</formula>
    </cfRule>
  </conditionalFormatting>
  <conditionalFormatting sqref="T6">
    <cfRule type="cellIs" dxfId="52" priority="18" stopIfTrue="1" operator="equal">
      <formula>"ADMISIBLE"</formula>
    </cfRule>
  </conditionalFormatting>
  <conditionalFormatting sqref="U1:U5">
    <cfRule type="cellIs" dxfId="51" priority="23" stopIfTrue="1" operator="equal">
      <formula>"NO ADMISIBLE"</formula>
    </cfRule>
  </conditionalFormatting>
  <conditionalFormatting sqref="U6">
    <cfRule type="cellIs" dxfId="50" priority="14" stopIfTrue="1" operator="equal">
      <formula>"ADMISIBLE"</formula>
    </cfRule>
  </conditionalFormatting>
  <conditionalFormatting sqref="U6:W6">
    <cfRule type="cellIs" dxfId="49" priority="7" stopIfTrue="1" operator="equal">
      <formula>"NO ADMISIBLE"</formula>
    </cfRule>
  </conditionalFormatting>
  <conditionalFormatting sqref="V6">
    <cfRule type="cellIs" dxfId="48" priority="5" stopIfTrue="1" operator="equal">
      <formula>"NO ADMISIBLE"</formula>
    </cfRule>
    <cfRule type="cellIs" dxfId="47" priority="6" stopIfTrue="1" operator="equal">
      <formula>"ADMISIBLE"</formula>
    </cfRule>
  </conditionalFormatting>
  <conditionalFormatting sqref="W6">
    <cfRule type="cellIs" dxfId="46" priority="17" stopIfTrue="1" operator="equal">
      <formula>"ADMISIBLE"</formula>
    </cfRule>
  </conditionalFormatting>
  <conditionalFormatting sqref="X6">
    <cfRule type="cellIs" dxfId="45" priority="2" stopIfTrue="1" operator="equal">
      <formula>"NO ADMISIBLE"</formula>
    </cfRule>
    <cfRule type="cellIs" dxfId="44" priority="3" stopIfTrue="1" operator="equal">
      <formula>"ADMISIBLE"</formula>
    </cfRule>
    <cfRule type="cellIs" dxfId="43" priority="4" stopIfTrue="1" operator="equal">
      <formula>"NO ADMISIBLE"</formula>
    </cfRule>
  </conditionalFormatting>
  <conditionalFormatting sqref="Y6">
    <cfRule type="cellIs" dxfId="42" priority="16" stopIfTrue="1" operator="equal">
      <formula>"ADMISIBLE"</formula>
    </cfRule>
  </conditionalFormatting>
  <conditionalFormatting sqref="Y6:Z6">
    <cfRule type="cellIs" dxfId="41" priority="13" stopIfTrue="1" operator="equal">
      <formula>"NO ADMISIBLE"</formula>
    </cfRule>
  </conditionalFormatting>
  <conditionalFormatting sqref="Z6">
    <cfRule type="cellIs" dxfId="40" priority="11" stopIfTrue="1" operator="equal">
      <formula>"NO ADMISIBLE"</formula>
    </cfRule>
    <cfRule type="cellIs" dxfId="39" priority="12" stopIfTrue="1" operator="equal">
      <formula>"ADMISIBLE"</formula>
    </cfRule>
  </conditionalFormatting>
  <conditionalFormatting sqref="Z1:IN5">
    <cfRule type="cellIs" dxfId="38" priority="21" stopIfTrue="1" operator="equal">
      <formula>"NO ADMISIBLE"</formula>
    </cfRule>
  </conditionalFormatting>
  <dataValidations count="1">
    <dataValidation type="list" allowBlank="1" showInputMessage="1" showErrorMessage="1" sqref="B6:B7 C7:D7" xr:uid="{0B9D669F-17A6-41A1-8088-5BA8876ED7C2}">
      <formula1>prueba</formula1>
    </dataValidation>
  </dataValidations>
  <pageMargins left="0.7" right="0.7" top="0.75" bottom="0.75" header="0.3" footer="0.3"/>
  <pageSetup scale="2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2F7C4-8B73-4A21-9C16-B2437A44B6BD}">
  <dimension ref="A1:Z11"/>
  <sheetViews>
    <sheetView view="pageBreakPreview" zoomScale="170" zoomScaleNormal="170" zoomScaleSheetLayoutView="170" workbookViewId="0">
      <selection activeCell="H6" sqref="H6"/>
    </sheetView>
  </sheetViews>
  <sheetFormatPr baseColWidth="10" defaultColWidth="11.44140625" defaultRowHeight="18" customHeight="1" x14ac:dyDescent="0.15"/>
  <cols>
    <col min="1" max="1" width="5.33203125" style="1" customWidth="1"/>
    <col min="2" max="2" width="20.6640625" style="1" customWidth="1"/>
    <col min="3" max="3" width="9.44140625" style="1" customWidth="1"/>
    <col min="4" max="4" width="6.6640625" style="5" customWidth="1"/>
    <col min="5" max="5" width="14.44140625" style="1" customWidth="1"/>
    <col min="6" max="6" width="13.33203125" style="6" customWidth="1"/>
    <col min="7" max="7" width="13.6640625" style="6" customWidth="1"/>
    <col min="8" max="8" width="13.33203125" style="6" customWidth="1"/>
    <col min="9" max="9" width="14" style="7" customWidth="1"/>
    <col min="10" max="10" width="14.33203125" style="8" customWidth="1"/>
    <col min="11" max="11" width="14" style="8" customWidth="1"/>
    <col min="12" max="12" width="5.109375" style="9" customWidth="1"/>
    <col min="13" max="13" width="17" style="9" customWidth="1"/>
    <col min="14" max="14" width="15.6640625" style="9" customWidth="1"/>
    <col min="15" max="15" width="17" style="9" customWidth="1"/>
    <col min="16" max="16" width="10.109375" style="9" bestFit="1" customWidth="1"/>
    <col min="17" max="17" width="16.6640625" style="9" customWidth="1"/>
    <col min="18" max="18" width="15" style="9" customWidth="1"/>
    <col min="19" max="19" width="16.44140625" style="9" customWidth="1"/>
    <col min="20" max="20" width="15.6640625" style="9" customWidth="1"/>
    <col min="21" max="21" width="13.33203125" style="9" customWidth="1"/>
    <col min="22" max="22" width="14.6640625" style="1" customWidth="1"/>
    <col min="23" max="23" width="11.44140625" style="1" customWidth="1"/>
    <col min="24" max="24" width="16.109375" style="1" customWidth="1"/>
    <col min="25" max="25" width="11.6640625" style="1" bestFit="1" customWidth="1"/>
    <col min="26" max="26" width="15.6640625" style="1" customWidth="1"/>
    <col min="27" max="27" width="14.44140625" style="1" customWidth="1"/>
    <col min="28" max="16384" width="11.44140625" style="1"/>
  </cols>
  <sheetData>
    <row r="1" spans="1:26" ht="19.2" customHeight="1" x14ac:dyDescent="0.15">
      <c r="A1" s="143" t="s">
        <v>0</v>
      </c>
      <c r="B1" s="143"/>
      <c r="C1" s="143"/>
      <c r="D1" s="143"/>
      <c r="E1" s="144" t="s">
        <v>1</v>
      </c>
      <c r="F1" s="144"/>
      <c r="G1" s="144"/>
      <c r="H1" s="144"/>
      <c r="I1" s="144"/>
      <c r="J1" s="144"/>
      <c r="K1" s="144"/>
      <c r="L1" s="145" t="s">
        <v>2</v>
      </c>
      <c r="M1" s="142" t="s">
        <v>39</v>
      </c>
      <c r="N1" s="142"/>
      <c r="O1" s="142" t="s">
        <v>3</v>
      </c>
      <c r="P1" s="142"/>
      <c r="Q1" s="142" t="s">
        <v>4</v>
      </c>
      <c r="R1" s="142"/>
      <c r="S1" s="142" t="s">
        <v>5</v>
      </c>
      <c r="T1" s="142"/>
      <c r="U1" s="24" t="s">
        <v>6</v>
      </c>
      <c r="V1" s="142" t="s">
        <v>7</v>
      </c>
      <c r="W1" s="142"/>
      <c r="X1" s="142" t="s">
        <v>8</v>
      </c>
      <c r="Y1" s="142"/>
      <c r="Z1" s="24" t="s">
        <v>9</v>
      </c>
    </row>
    <row r="2" spans="1:26" s="2" customFormat="1" ht="18" customHeight="1" x14ac:dyDescent="0.3">
      <c r="A2" s="95" t="s">
        <v>2</v>
      </c>
      <c r="B2" s="89" t="s">
        <v>10</v>
      </c>
      <c r="C2" s="89" t="s">
        <v>37</v>
      </c>
      <c r="D2" s="89" t="s">
        <v>11</v>
      </c>
      <c r="E2" s="89" t="s">
        <v>12</v>
      </c>
      <c r="F2" s="95" t="s">
        <v>13</v>
      </c>
      <c r="G2" s="95" t="s">
        <v>14</v>
      </c>
      <c r="H2" s="95" t="s">
        <v>15</v>
      </c>
      <c r="I2" s="84" t="s">
        <v>38</v>
      </c>
      <c r="J2" s="84" t="s">
        <v>16</v>
      </c>
      <c r="K2" s="84" t="s">
        <v>17</v>
      </c>
      <c r="L2" s="145"/>
      <c r="M2" s="135" t="s">
        <v>40</v>
      </c>
      <c r="N2" s="135"/>
      <c r="O2" s="135" t="s">
        <v>18</v>
      </c>
      <c r="P2" s="135"/>
      <c r="Q2" s="135" t="s">
        <v>19</v>
      </c>
      <c r="R2" s="135"/>
      <c r="S2" s="135" t="s">
        <v>20</v>
      </c>
      <c r="T2" s="135"/>
      <c r="U2" s="131" t="s">
        <v>21</v>
      </c>
      <c r="V2" s="135" t="s">
        <v>22</v>
      </c>
      <c r="W2" s="135"/>
      <c r="X2" s="135" t="s">
        <v>23</v>
      </c>
      <c r="Y2" s="135"/>
      <c r="Z2" s="131" t="s">
        <v>21</v>
      </c>
    </row>
    <row r="3" spans="1:26" s="2" customFormat="1" ht="16.95" customHeight="1" x14ac:dyDescent="0.3">
      <c r="A3" s="95"/>
      <c r="B3" s="89"/>
      <c r="C3" s="89"/>
      <c r="D3" s="89"/>
      <c r="E3" s="89"/>
      <c r="F3" s="95"/>
      <c r="G3" s="95"/>
      <c r="H3" s="95"/>
      <c r="I3" s="84"/>
      <c r="J3" s="84"/>
      <c r="K3" s="84"/>
      <c r="L3" s="145"/>
      <c r="M3" s="132" t="s">
        <v>41</v>
      </c>
      <c r="N3" s="133">
        <v>19617710652.299999</v>
      </c>
      <c r="O3" s="25" t="s">
        <v>24</v>
      </c>
      <c r="P3" s="26">
        <v>1.1100000000000001</v>
      </c>
      <c r="Q3" s="25" t="s">
        <v>25</v>
      </c>
      <c r="R3" s="27">
        <v>0.75</v>
      </c>
      <c r="S3" s="25" t="s">
        <v>26</v>
      </c>
      <c r="T3" s="28">
        <v>0</v>
      </c>
      <c r="U3" s="131"/>
      <c r="V3" s="29" t="s">
        <v>27</v>
      </c>
      <c r="W3" s="30">
        <v>0</v>
      </c>
      <c r="X3" s="29" t="s">
        <v>28</v>
      </c>
      <c r="Y3" s="30">
        <v>0</v>
      </c>
      <c r="Z3" s="131"/>
    </row>
    <row r="4" spans="1:26" s="2" customFormat="1" ht="15" customHeight="1" x14ac:dyDescent="0.3">
      <c r="A4" s="95"/>
      <c r="B4" s="89"/>
      <c r="C4" s="89"/>
      <c r="D4" s="89"/>
      <c r="E4" s="89"/>
      <c r="F4" s="95"/>
      <c r="G4" s="95"/>
      <c r="H4" s="95"/>
      <c r="I4" s="84"/>
      <c r="J4" s="84"/>
      <c r="K4" s="84"/>
      <c r="L4" s="145"/>
      <c r="M4" s="132"/>
      <c r="N4" s="133"/>
      <c r="O4" s="25" t="s">
        <v>29</v>
      </c>
      <c r="P4" s="26">
        <v>1.21</v>
      </c>
      <c r="Q4" s="25" t="s">
        <v>30</v>
      </c>
      <c r="R4" s="27">
        <v>0.7</v>
      </c>
      <c r="S4" s="25" t="s">
        <v>31</v>
      </c>
      <c r="T4" s="28">
        <v>1</v>
      </c>
      <c r="U4" s="131"/>
      <c r="V4" s="29" t="s">
        <v>32</v>
      </c>
      <c r="W4" s="31">
        <v>0.04</v>
      </c>
      <c r="X4" s="29" t="s">
        <v>33</v>
      </c>
      <c r="Y4" s="31">
        <v>0.02</v>
      </c>
      <c r="Z4" s="131"/>
    </row>
    <row r="5" spans="1:26" s="2" customFormat="1" ht="16.2" customHeight="1" x14ac:dyDescent="0.3">
      <c r="A5" s="95"/>
      <c r="B5" s="89"/>
      <c r="C5" s="89"/>
      <c r="D5" s="89"/>
      <c r="E5" s="89"/>
      <c r="F5" s="95"/>
      <c r="G5" s="95"/>
      <c r="H5" s="95"/>
      <c r="I5" s="84"/>
      <c r="J5" s="84"/>
      <c r="K5" s="84"/>
      <c r="L5" s="145"/>
      <c r="M5" s="32" t="s">
        <v>34</v>
      </c>
      <c r="N5" s="32" t="s">
        <v>35</v>
      </c>
      <c r="O5" s="32" t="s">
        <v>34</v>
      </c>
      <c r="P5" s="32" t="s">
        <v>35</v>
      </c>
      <c r="Q5" s="32" t="s">
        <v>34</v>
      </c>
      <c r="R5" s="32" t="s">
        <v>35</v>
      </c>
      <c r="S5" s="32" t="s">
        <v>34</v>
      </c>
      <c r="T5" s="32" t="s">
        <v>35</v>
      </c>
      <c r="U5" s="131"/>
      <c r="V5" s="33" t="s">
        <v>34</v>
      </c>
      <c r="W5" s="32" t="s">
        <v>35</v>
      </c>
      <c r="X5" s="33" t="s">
        <v>34</v>
      </c>
      <c r="Y5" s="32" t="s">
        <v>35</v>
      </c>
      <c r="Z5" s="131"/>
    </row>
    <row r="6" spans="1:26" ht="18" customHeight="1" x14ac:dyDescent="0.15">
      <c r="A6" s="137">
        <v>2</v>
      </c>
      <c r="B6" s="138" t="s">
        <v>70</v>
      </c>
      <c r="C6" s="138"/>
      <c r="D6" s="34">
        <v>2023</v>
      </c>
      <c r="E6" s="83">
        <f>E7+E8+E9+E10</f>
        <v>59645758561</v>
      </c>
      <c r="F6" s="83">
        <f t="shared" ref="F6:K6" si="0">F7+F8+F9+F10</f>
        <v>60419733740</v>
      </c>
      <c r="G6" s="83">
        <f t="shared" si="0"/>
        <v>8598654665</v>
      </c>
      <c r="H6" s="83">
        <f t="shared" si="0"/>
        <v>9707309993</v>
      </c>
      <c r="I6" s="83">
        <f t="shared" si="0"/>
        <v>50712423747</v>
      </c>
      <c r="J6" s="83">
        <f t="shared" si="0"/>
        <v>12083795657</v>
      </c>
      <c r="K6" s="83">
        <f t="shared" si="0"/>
        <v>123623845</v>
      </c>
      <c r="L6" s="139">
        <v>2</v>
      </c>
      <c r="M6" s="140">
        <f>(E7-G7)+(E8-G8)+(E10-G10)+(E9-G9)</f>
        <v>51047103896</v>
      </c>
      <c r="N6" s="141" t="str">
        <f>IF(M6&gt;=$N$3,"CUMPLE","NO CUMPLE")</f>
        <v>CUMPLE</v>
      </c>
      <c r="O6" s="134">
        <f>E6/G6</f>
        <v>6.9366384492428041</v>
      </c>
      <c r="P6" s="129" t="str">
        <f>IF(O6&gt;=$P$4,"CUMPLE","NO CUMPLE")</f>
        <v>CUMPLE</v>
      </c>
      <c r="Q6" s="136">
        <f>H6/F6</f>
        <v>0.16066456093257189</v>
      </c>
      <c r="R6" s="129" t="str">
        <f>IF(Q6&lt;=$R$4,"CUMPLE","NO CUMPLE")</f>
        <v>CUMPLE</v>
      </c>
      <c r="S6" s="128">
        <f>J6/K6</f>
        <v>97.746479710285669</v>
      </c>
      <c r="T6" s="129" t="str">
        <f>IF(S6&gt;=$T$4,"CUMPLE","NO CUMPLE")</f>
        <v>CUMPLE</v>
      </c>
      <c r="U6" s="130" t="s">
        <v>36</v>
      </c>
      <c r="V6" s="128">
        <f>J6/I6</f>
        <v>0.23828077548186291</v>
      </c>
      <c r="W6" s="129" t="str">
        <f>IF(V6&gt;=$W$4,"CUMPLE","NO CUMPLE")</f>
        <v>CUMPLE</v>
      </c>
      <c r="X6" s="128">
        <f>J6/F6</f>
        <v>0.19999749931039668</v>
      </c>
      <c r="Y6" s="129" t="str">
        <f>IF(X6&gt;=$Y$4,"CUMPLE","NO CUMPLE")</f>
        <v>CUMPLE</v>
      </c>
      <c r="Z6" s="130" t="s">
        <v>36</v>
      </c>
    </row>
    <row r="7" spans="1:26" ht="18" customHeight="1" x14ac:dyDescent="0.15">
      <c r="A7" s="137"/>
      <c r="B7" s="4" t="s">
        <v>65</v>
      </c>
      <c r="C7" s="21">
        <v>0.5</v>
      </c>
      <c r="D7" s="35">
        <v>2023</v>
      </c>
      <c r="E7" s="3">
        <v>4508527902</v>
      </c>
      <c r="F7" s="3">
        <v>4714818537</v>
      </c>
      <c r="G7" s="3">
        <v>2723843235</v>
      </c>
      <c r="H7" s="3">
        <v>2723843235</v>
      </c>
      <c r="I7" s="3">
        <v>1990975302</v>
      </c>
      <c r="J7" s="3">
        <v>1983515287</v>
      </c>
      <c r="K7" s="3">
        <v>101472720</v>
      </c>
      <c r="L7" s="139"/>
      <c r="M7" s="140"/>
      <c r="N7" s="141"/>
      <c r="O7" s="134"/>
      <c r="P7" s="129"/>
      <c r="Q7" s="136"/>
      <c r="R7" s="129"/>
      <c r="S7" s="128"/>
      <c r="T7" s="129"/>
      <c r="U7" s="130"/>
      <c r="V7" s="128"/>
      <c r="W7" s="129"/>
      <c r="X7" s="128"/>
      <c r="Y7" s="129"/>
      <c r="Z7" s="130"/>
    </row>
    <row r="8" spans="1:26" ht="18" customHeight="1" x14ac:dyDescent="0.15">
      <c r="A8" s="137"/>
      <c r="B8" s="4" t="s">
        <v>67</v>
      </c>
      <c r="C8" s="21">
        <v>0.1</v>
      </c>
      <c r="D8" s="35">
        <v>2023</v>
      </c>
      <c r="E8" s="3">
        <v>51827218213</v>
      </c>
      <c r="F8" s="3">
        <v>52106108713</v>
      </c>
      <c r="G8" s="3">
        <v>4285154795</v>
      </c>
      <c r="H8" s="3">
        <v>4285154795</v>
      </c>
      <c r="I8" s="3">
        <v>47820953918</v>
      </c>
      <c r="J8" s="3">
        <v>9972188391</v>
      </c>
      <c r="K8" s="3">
        <v>22012541</v>
      </c>
      <c r="L8" s="139"/>
      <c r="M8" s="140"/>
      <c r="N8" s="141"/>
      <c r="O8" s="134"/>
      <c r="P8" s="129"/>
      <c r="Q8" s="136"/>
      <c r="R8" s="129"/>
      <c r="S8" s="128"/>
      <c r="T8" s="129"/>
      <c r="U8" s="130"/>
      <c r="V8" s="128"/>
      <c r="W8" s="129"/>
      <c r="X8" s="128"/>
      <c r="Y8" s="129"/>
      <c r="Z8" s="130"/>
    </row>
    <row r="9" spans="1:26" ht="18" customHeight="1" x14ac:dyDescent="0.15">
      <c r="A9" s="137"/>
      <c r="B9" s="4" t="s">
        <v>69</v>
      </c>
      <c r="C9" s="21">
        <v>0.2</v>
      </c>
      <c r="D9" s="35">
        <v>2023</v>
      </c>
      <c r="E9" s="3">
        <v>2751131138</v>
      </c>
      <c r="F9" s="3">
        <v>3039925182</v>
      </c>
      <c r="G9" s="3">
        <v>1582306702</v>
      </c>
      <c r="H9" s="3">
        <v>2690962030</v>
      </c>
      <c r="I9" s="3">
        <v>348963152</v>
      </c>
      <c r="J9" s="3">
        <v>113285542</v>
      </c>
      <c r="K9" s="3">
        <v>138584</v>
      </c>
      <c r="L9" s="139"/>
      <c r="M9" s="140"/>
      <c r="N9" s="141"/>
      <c r="O9" s="134"/>
      <c r="P9" s="129"/>
      <c r="Q9" s="136"/>
      <c r="R9" s="129"/>
      <c r="S9" s="128"/>
      <c r="T9" s="129"/>
      <c r="U9" s="130"/>
      <c r="V9" s="128"/>
      <c r="W9" s="129"/>
      <c r="X9" s="128"/>
      <c r="Y9" s="129"/>
      <c r="Z9" s="130"/>
    </row>
    <row r="10" spans="1:26" ht="18" customHeight="1" x14ac:dyDescent="0.15">
      <c r="A10" s="137"/>
      <c r="B10" s="4" t="s">
        <v>68</v>
      </c>
      <c r="C10" s="21">
        <v>0.2</v>
      </c>
      <c r="D10" s="35">
        <v>2023</v>
      </c>
      <c r="E10" s="3">
        <v>558881308</v>
      </c>
      <c r="F10" s="3">
        <v>558881308</v>
      </c>
      <c r="G10" s="3">
        <v>7349933</v>
      </c>
      <c r="H10" s="3">
        <v>7349933</v>
      </c>
      <c r="I10" s="3">
        <v>551531375</v>
      </c>
      <c r="J10" s="3">
        <v>14806437</v>
      </c>
      <c r="K10" s="3">
        <v>0</v>
      </c>
      <c r="L10" s="139"/>
      <c r="M10" s="140"/>
      <c r="N10" s="141"/>
      <c r="O10" s="134"/>
      <c r="P10" s="129"/>
      <c r="Q10" s="136"/>
      <c r="R10" s="129"/>
      <c r="S10" s="128"/>
      <c r="T10" s="129"/>
      <c r="U10" s="130"/>
      <c r="V10" s="128"/>
      <c r="W10" s="129"/>
      <c r="X10" s="128"/>
      <c r="Y10" s="129"/>
      <c r="Z10" s="130"/>
    </row>
    <row r="11" spans="1:26" ht="18" customHeight="1" x14ac:dyDescent="0.15">
      <c r="E11" s="80"/>
      <c r="G11" s="81"/>
    </row>
  </sheetData>
  <mergeCells count="47">
    <mergeCell ref="I2:I5"/>
    <mergeCell ref="J2:J5"/>
    <mergeCell ref="K2:K5"/>
    <mergeCell ref="S1:T1"/>
    <mergeCell ref="V1:W1"/>
    <mergeCell ref="X1:Y1"/>
    <mergeCell ref="A2:A5"/>
    <mergeCell ref="B2:B5"/>
    <mergeCell ref="C2:C5"/>
    <mergeCell ref="D2:D5"/>
    <mergeCell ref="E2:E5"/>
    <mergeCell ref="F2:F5"/>
    <mergeCell ref="G2:G5"/>
    <mergeCell ref="A1:D1"/>
    <mergeCell ref="E1:K1"/>
    <mergeCell ref="L1:L5"/>
    <mergeCell ref="M1:N1"/>
    <mergeCell ref="O1:P1"/>
    <mergeCell ref="Q1:R1"/>
    <mergeCell ref="H2:H5"/>
    <mergeCell ref="X2:Y2"/>
    <mergeCell ref="A6:A10"/>
    <mergeCell ref="B6:C6"/>
    <mergeCell ref="L6:L10"/>
    <mergeCell ref="M6:M10"/>
    <mergeCell ref="N6:N10"/>
    <mergeCell ref="Z2:Z5"/>
    <mergeCell ref="M3:M4"/>
    <mergeCell ref="N3:N4"/>
    <mergeCell ref="O6:O10"/>
    <mergeCell ref="M2:N2"/>
    <mergeCell ref="O2:P2"/>
    <mergeCell ref="Q2:R2"/>
    <mergeCell ref="S2:T2"/>
    <mergeCell ref="U2:U5"/>
    <mergeCell ref="V2:W2"/>
    <mergeCell ref="P6:P10"/>
    <mergeCell ref="Q6:Q10"/>
    <mergeCell ref="R6:R10"/>
    <mergeCell ref="S6:S10"/>
    <mergeCell ref="Z6:Z10"/>
    <mergeCell ref="T6:T10"/>
    <mergeCell ref="V6:V10"/>
    <mergeCell ref="W6:W10"/>
    <mergeCell ref="X6:X10"/>
    <mergeCell ref="Y6:Y10"/>
    <mergeCell ref="U6:U10"/>
  </mergeCells>
  <conditionalFormatting sqref="B6">
    <cfRule type="cellIs" dxfId="37" priority="19" stopIfTrue="1" operator="equal">
      <formula>"NO ADMISIBLE"</formula>
    </cfRule>
  </conditionalFormatting>
  <conditionalFormatting sqref="B7:D10">
    <cfRule type="cellIs" dxfId="36" priority="18" stopIfTrue="1" operator="equal">
      <formula>"NO ADMISIBLE"</formula>
    </cfRule>
  </conditionalFormatting>
  <conditionalFormatting sqref="L6:N6">
    <cfRule type="cellIs" dxfId="35" priority="1" stopIfTrue="1" operator="equal">
      <formula>"NO ADMISIBLE"</formula>
    </cfRule>
  </conditionalFormatting>
  <conditionalFormatting sqref="O6:U6">
    <cfRule type="cellIs" dxfId="34" priority="14" stopIfTrue="1" operator="equal">
      <formula>"NO ADMISIBLE"</formula>
    </cfRule>
  </conditionalFormatting>
  <conditionalFormatting sqref="P6:S6">
    <cfRule type="cellIs" dxfId="33" priority="9" stopIfTrue="1" operator="equal">
      <formula>"ADMISIBLE"</formula>
    </cfRule>
  </conditionalFormatting>
  <conditionalFormatting sqref="S6">
    <cfRule type="cellIs" dxfId="32" priority="8" stopIfTrue="1" operator="equal">
      <formula>"NO ADMISIBLE"</formula>
    </cfRule>
  </conditionalFormatting>
  <conditionalFormatting sqref="T6">
    <cfRule type="cellIs" dxfId="31" priority="17" stopIfTrue="1" operator="equal">
      <formula>"ADMISIBLE"</formula>
    </cfRule>
  </conditionalFormatting>
  <conditionalFormatting sqref="U1:U5">
    <cfRule type="cellIs" dxfId="30" priority="21" stopIfTrue="1" operator="equal">
      <formula>"NO ADMISIBLE"</formula>
    </cfRule>
  </conditionalFormatting>
  <conditionalFormatting sqref="U6">
    <cfRule type="cellIs" dxfId="29" priority="13" stopIfTrue="1" operator="equal">
      <formula>"ADMISIBLE"</formula>
    </cfRule>
  </conditionalFormatting>
  <conditionalFormatting sqref="U6:W6">
    <cfRule type="cellIs" dxfId="28" priority="7" stopIfTrue="1" operator="equal">
      <formula>"NO ADMISIBLE"</formula>
    </cfRule>
  </conditionalFormatting>
  <conditionalFormatting sqref="V6">
    <cfRule type="cellIs" dxfId="27" priority="5" stopIfTrue="1" operator="equal">
      <formula>"NO ADMISIBLE"</formula>
    </cfRule>
    <cfRule type="cellIs" dxfId="26" priority="6" stopIfTrue="1" operator="equal">
      <formula>"ADMISIBLE"</formula>
    </cfRule>
  </conditionalFormatting>
  <conditionalFormatting sqref="W6">
    <cfRule type="cellIs" dxfId="25" priority="16" stopIfTrue="1" operator="equal">
      <formula>"ADMISIBLE"</formula>
    </cfRule>
  </conditionalFormatting>
  <conditionalFormatting sqref="X6">
    <cfRule type="cellIs" dxfId="24" priority="2" stopIfTrue="1" operator="equal">
      <formula>"NO ADMISIBLE"</formula>
    </cfRule>
    <cfRule type="cellIs" dxfId="23" priority="3" stopIfTrue="1" operator="equal">
      <formula>"ADMISIBLE"</formula>
    </cfRule>
    <cfRule type="cellIs" dxfId="22" priority="4" stopIfTrue="1" operator="equal">
      <formula>"NO ADMISIBLE"</formula>
    </cfRule>
  </conditionalFormatting>
  <conditionalFormatting sqref="Y6">
    <cfRule type="cellIs" dxfId="21" priority="15" stopIfTrue="1" operator="equal">
      <formula>"ADMISIBLE"</formula>
    </cfRule>
  </conditionalFormatting>
  <conditionalFormatting sqref="Y6:Z6">
    <cfRule type="cellIs" dxfId="20" priority="12" stopIfTrue="1" operator="equal">
      <formula>"NO ADMISIBLE"</formula>
    </cfRule>
  </conditionalFormatting>
  <conditionalFormatting sqref="Z6">
    <cfRule type="cellIs" dxfId="19" priority="10" stopIfTrue="1" operator="equal">
      <formula>"NO ADMISIBLE"</formula>
    </cfRule>
    <cfRule type="cellIs" dxfId="18" priority="11" stopIfTrue="1" operator="equal">
      <formula>"ADMISIBLE"</formula>
    </cfRule>
  </conditionalFormatting>
  <conditionalFormatting sqref="Z1:IN5">
    <cfRule type="cellIs" dxfId="17" priority="20" stopIfTrue="1" operator="equal">
      <formula>"NO ADMISIBLE"</formula>
    </cfRule>
  </conditionalFormatting>
  <dataValidations count="1">
    <dataValidation type="list" allowBlank="1" showInputMessage="1" showErrorMessage="1" sqref="B6:B10 C7:D10" xr:uid="{324A8DFE-0B6C-47E5-98B1-DCFA3703D57A}">
      <formula1>prueba</formula1>
    </dataValidation>
  </dataValidations>
  <pageMargins left="0.7" right="0.7" top="0.75" bottom="0.75" header="0.3" footer="0.3"/>
  <pageSetup scale="25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C4490-417D-4B6C-A868-DBFCDAB88C08}">
  <sheetPr>
    <pageSetUpPr fitToPage="1"/>
  </sheetPr>
  <dimension ref="A1:U13"/>
  <sheetViews>
    <sheetView zoomScaleNormal="100" zoomScaleSheetLayoutView="130" workbookViewId="0">
      <selection activeCell="O8" sqref="O8"/>
    </sheetView>
  </sheetViews>
  <sheetFormatPr baseColWidth="10" defaultColWidth="11.44140625" defaultRowHeight="14.4" x14ac:dyDescent="0.3"/>
  <cols>
    <col min="1" max="1" width="3.6640625" style="49" customWidth="1"/>
    <col min="2" max="2" width="26.6640625" style="57" customWidth="1"/>
    <col min="3" max="3" width="10.44140625" style="49" customWidth="1"/>
    <col min="4" max="4" width="13.33203125" style="49" customWidth="1"/>
    <col min="5" max="5" width="13.44140625" style="49" customWidth="1"/>
    <col min="6" max="6" width="17.33203125" style="49" customWidth="1"/>
    <col min="7" max="7" width="17.6640625" style="58" customWidth="1"/>
    <col min="8" max="8" width="9.33203125" style="58" customWidth="1"/>
    <col min="9" max="9" width="8" style="58" customWidth="1"/>
    <col min="10" max="10" width="7.109375" style="58" customWidth="1"/>
    <col min="11" max="11" width="7" style="58" customWidth="1"/>
    <col min="12" max="12" width="8.109375" style="58" customWidth="1"/>
    <col min="13" max="13" width="7.6640625" style="58" customWidth="1"/>
    <col min="14" max="14" width="16.44140625" style="58" customWidth="1"/>
    <col min="15" max="15" width="17.44140625" style="58" customWidth="1"/>
    <col min="16" max="16" width="20.33203125" style="49" customWidth="1"/>
    <col min="17" max="17" width="11.44140625" style="46"/>
    <col min="18" max="18" width="13.6640625" style="47" customWidth="1"/>
    <col min="19" max="19" width="9.6640625" style="48" customWidth="1"/>
    <col min="20" max="20" width="12.44140625" style="49" customWidth="1"/>
    <col min="21" max="21" width="12.6640625" style="49" customWidth="1"/>
    <col min="22" max="16384" width="11.44140625" style="49"/>
  </cols>
  <sheetData>
    <row r="1" spans="1:21" s="39" customFormat="1" ht="20.25" customHeight="1" x14ac:dyDescent="0.3">
      <c r="A1" s="146" t="s">
        <v>63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36"/>
      <c r="R1" s="37"/>
      <c r="S1" s="38"/>
    </row>
    <row r="2" spans="1:21" s="39" customFormat="1" ht="16.2" customHeight="1" x14ac:dyDescent="0.3">
      <c r="A2" s="146" t="s">
        <v>75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36"/>
      <c r="R2" s="37"/>
      <c r="S2" s="38"/>
    </row>
    <row r="3" spans="1:21" s="39" customFormat="1" ht="16.2" customHeight="1" x14ac:dyDescent="0.3">
      <c r="A3" s="146" t="s">
        <v>42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36"/>
      <c r="R3" s="37"/>
      <c r="S3" s="38"/>
    </row>
    <row r="4" spans="1:21" s="39" customFormat="1" ht="7.2" customHeight="1" x14ac:dyDescent="0.3">
      <c r="A4" s="40"/>
      <c r="B4" s="40"/>
      <c r="C4" s="41"/>
      <c r="D4" s="42"/>
      <c r="E4" s="42"/>
      <c r="F4" s="43"/>
      <c r="I4" s="44"/>
      <c r="J4" s="44"/>
      <c r="K4" s="44"/>
      <c r="L4" s="44"/>
      <c r="M4" s="44"/>
      <c r="N4" s="44"/>
      <c r="O4" s="44"/>
      <c r="P4" s="45"/>
      <c r="Q4" s="36"/>
      <c r="R4" s="37"/>
      <c r="S4" s="38"/>
    </row>
    <row r="5" spans="1:21" ht="31.95" customHeight="1" x14ac:dyDescent="0.3">
      <c r="A5" s="147" t="s">
        <v>2</v>
      </c>
      <c r="B5" s="148" t="s">
        <v>10</v>
      </c>
      <c r="C5" s="59" t="s">
        <v>43</v>
      </c>
      <c r="D5" s="59" t="s">
        <v>44</v>
      </c>
      <c r="E5" s="59" t="s">
        <v>45</v>
      </c>
      <c r="F5" s="60" t="s">
        <v>46</v>
      </c>
      <c r="G5" s="59" t="s">
        <v>47</v>
      </c>
      <c r="H5" s="149" t="s">
        <v>48</v>
      </c>
      <c r="I5" s="149"/>
      <c r="J5" s="149" t="s">
        <v>49</v>
      </c>
      <c r="K5" s="149"/>
      <c r="L5" s="150" t="s">
        <v>50</v>
      </c>
      <c r="M5" s="150"/>
      <c r="N5" s="61" t="s">
        <v>51</v>
      </c>
      <c r="O5" s="60" t="s">
        <v>52</v>
      </c>
      <c r="P5" s="62" t="s">
        <v>53</v>
      </c>
    </row>
    <row r="6" spans="1:21" ht="16.2" customHeight="1" x14ac:dyDescent="0.3">
      <c r="A6" s="147"/>
      <c r="B6" s="148"/>
      <c r="C6" s="59" t="s">
        <v>54</v>
      </c>
      <c r="D6" s="59" t="s">
        <v>55</v>
      </c>
      <c r="E6" s="59" t="s">
        <v>55</v>
      </c>
      <c r="F6" s="60" t="s">
        <v>56</v>
      </c>
      <c r="G6" s="61" t="s">
        <v>57</v>
      </c>
      <c r="H6" s="61" t="s">
        <v>58</v>
      </c>
      <c r="I6" s="61" t="s">
        <v>59</v>
      </c>
      <c r="J6" s="61" t="s">
        <v>60</v>
      </c>
      <c r="K6" s="61" t="s">
        <v>59</v>
      </c>
      <c r="L6" s="61" t="s">
        <v>61</v>
      </c>
      <c r="M6" s="61" t="s">
        <v>59</v>
      </c>
      <c r="N6" s="61" t="s">
        <v>57</v>
      </c>
      <c r="O6" s="60" t="s">
        <v>64</v>
      </c>
      <c r="P6" s="62" t="s">
        <v>62</v>
      </c>
    </row>
    <row r="7" spans="1:21" ht="25.2" x14ac:dyDescent="0.25">
      <c r="A7" s="63">
        <v>1</v>
      </c>
      <c r="B7" s="64" t="s">
        <v>66</v>
      </c>
      <c r="C7" s="65">
        <f>SUM(C8:C8)</f>
        <v>1</v>
      </c>
      <c r="D7" s="153">
        <v>65392368841</v>
      </c>
      <c r="E7" s="153">
        <f>D7*50%</f>
        <v>32696184420.5</v>
      </c>
      <c r="F7" s="153">
        <f>D7-E7</f>
        <v>32696184420.5</v>
      </c>
      <c r="G7" s="155" t="str">
        <f>B7</f>
        <v>TRANSPORTE INGENIERIA CONSTRUCCIONES Y MAQUINARIA S.A. TICOM S.A.</v>
      </c>
      <c r="H7" s="155"/>
      <c r="I7" s="155"/>
      <c r="J7" s="155"/>
      <c r="K7" s="155"/>
      <c r="L7" s="155"/>
      <c r="M7" s="155"/>
      <c r="N7" s="155"/>
      <c r="O7" s="66">
        <f>O8</f>
        <v>184198386879.25</v>
      </c>
      <c r="P7" s="151" t="str">
        <f>IF(O7&gt;=F7,"HABIL","NO HABIL")</f>
        <v>HABIL</v>
      </c>
      <c r="R7" s="50"/>
      <c r="S7" s="51"/>
      <c r="T7" s="52"/>
      <c r="U7" s="52"/>
    </row>
    <row r="8" spans="1:21" s="56" customFormat="1" ht="25.2" x14ac:dyDescent="0.3">
      <c r="A8" s="67">
        <v>1.1000000000000001</v>
      </c>
      <c r="B8" s="68" t="s">
        <v>66</v>
      </c>
      <c r="C8" s="69">
        <v>1</v>
      </c>
      <c r="D8" s="154"/>
      <c r="E8" s="154"/>
      <c r="F8" s="154"/>
      <c r="G8" s="76">
        <v>94073641315</v>
      </c>
      <c r="H8" s="70">
        <f>(741396315738/($D$7*C8))</f>
        <v>11.33765803072049</v>
      </c>
      <c r="I8" s="77">
        <v>120</v>
      </c>
      <c r="J8" s="71">
        <v>11</v>
      </c>
      <c r="K8" s="77">
        <v>40</v>
      </c>
      <c r="L8" s="72">
        <v>4.51</v>
      </c>
      <c r="M8" s="77">
        <v>40</v>
      </c>
      <c r="N8" s="82">
        <v>3948895750.75</v>
      </c>
      <c r="O8" s="73">
        <f>G8*((I8+K8+M8)/100)-N8</f>
        <v>184198386879.25</v>
      </c>
      <c r="P8" s="151"/>
      <c r="Q8" s="53"/>
      <c r="R8" s="54"/>
      <c r="S8" s="55"/>
    </row>
    <row r="9" spans="1:21" ht="10.95" customHeight="1" x14ac:dyDescent="0.3">
      <c r="A9" s="63">
        <v>2</v>
      </c>
      <c r="B9" s="64" t="s">
        <v>70</v>
      </c>
      <c r="C9" s="65">
        <f>SUM(C10:C13)</f>
        <v>1</v>
      </c>
      <c r="D9" s="154"/>
      <c r="E9" s="154"/>
      <c r="F9" s="154"/>
      <c r="G9" s="155" t="str">
        <f>B9</f>
        <v>CONSORCIO RW</v>
      </c>
      <c r="H9" s="155"/>
      <c r="I9" s="155"/>
      <c r="J9" s="155"/>
      <c r="K9" s="155"/>
      <c r="L9" s="155"/>
      <c r="M9" s="155"/>
      <c r="N9" s="155"/>
      <c r="O9" s="74">
        <f>O10+O11+O12+O13</f>
        <v>104945944033.95</v>
      </c>
      <c r="P9" s="151" t="str">
        <f>IF(O9&gt;=F7,"HABIL","NO HABIL")</f>
        <v>HABIL</v>
      </c>
      <c r="Q9" s="152"/>
    </row>
    <row r="10" spans="1:21" ht="10.95" customHeight="1" x14ac:dyDescent="0.3">
      <c r="A10" s="67">
        <v>2.1</v>
      </c>
      <c r="B10" s="68" t="s">
        <v>72</v>
      </c>
      <c r="C10" s="69">
        <v>0.5</v>
      </c>
      <c r="D10" s="154"/>
      <c r="E10" s="154"/>
      <c r="F10" s="154"/>
      <c r="G10" s="76">
        <v>46143658009</v>
      </c>
      <c r="H10" s="70">
        <f>(224665871498.56/($D$7*C10))</f>
        <v>6.8713177234741183</v>
      </c>
      <c r="I10" s="77">
        <v>100</v>
      </c>
      <c r="J10" s="77">
        <v>1</v>
      </c>
      <c r="K10" s="77">
        <v>20</v>
      </c>
      <c r="L10" s="78">
        <v>1.65</v>
      </c>
      <c r="M10" s="77">
        <v>40</v>
      </c>
      <c r="N10" s="76">
        <v>6630719438.2600002</v>
      </c>
      <c r="O10" s="73">
        <f>G10*((I10+K10+M10)/100)-N10</f>
        <v>67199133376.140007</v>
      </c>
      <c r="P10" s="151"/>
      <c r="Q10" s="152"/>
    </row>
    <row r="11" spans="1:21" x14ac:dyDescent="0.3">
      <c r="A11" s="67">
        <v>2.2000000000000002</v>
      </c>
      <c r="B11" s="68" t="s">
        <v>71</v>
      </c>
      <c r="C11" s="69">
        <v>0.1</v>
      </c>
      <c r="D11" s="154"/>
      <c r="E11" s="154"/>
      <c r="F11" s="154"/>
      <c r="G11" s="76">
        <v>44435512487</v>
      </c>
      <c r="H11" s="70">
        <f>(27550523000/($D$7*C11))</f>
        <v>4.2131097998588247</v>
      </c>
      <c r="I11" s="77">
        <v>80</v>
      </c>
      <c r="J11" s="77">
        <v>1</v>
      </c>
      <c r="K11" s="77">
        <v>20</v>
      </c>
      <c r="L11" s="78">
        <v>12.09</v>
      </c>
      <c r="M11" s="77">
        <v>40</v>
      </c>
      <c r="N11" s="79">
        <v>0</v>
      </c>
      <c r="O11" s="73">
        <f>G11*((I11+K11+M11)/100)-N11</f>
        <v>62209717481.799995</v>
      </c>
      <c r="P11" s="151"/>
      <c r="Q11" s="152"/>
    </row>
    <row r="12" spans="1:21" x14ac:dyDescent="0.3">
      <c r="A12" s="67">
        <v>2.2999999999999998</v>
      </c>
      <c r="B12" s="68" t="s">
        <v>73</v>
      </c>
      <c r="C12" s="69">
        <v>0.2</v>
      </c>
      <c r="D12" s="154"/>
      <c r="E12" s="154"/>
      <c r="F12" s="154"/>
      <c r="G12" s="76">
        <v>532338092</v>
      </c>
      <c r="H12" s="70">
        <f>(5065536001201.65 /($D$7*C12))</f>
        <v>387.31858861990315</v>
      </c>
      <c r="I12" s="77">
        <v>120</v>
      </c>
      <c r="J12" s="77">
        <v>1</v>
      </c>
      <c r="K12" s="77">
        <v>20</v>
      </c>
      <c r="L12" s="78">
        <v>76.03</v>
      </c>
      <c r="M12" s="77">
        <v>40</v>
      </c>
      <c r="N12" s="79">
        <v>28959199189.389999</v>
      </c>
      <c r="O12" s="73">
        <f>G12*((I12+K12+M12)/100)-N12</f>
        <v>-28000990623.790001</v>
      </c>
      <c r="P12" s="151"/>
      <c r="Q12" s="152"/>
    </row>
    <row r="13" spans="1:21" ht="10.95" customHeight="1" x14ac:dyDescent="0.3">
      <c r="A13" s="67">
        <v>2.4</v>
      </c>
      <c r="B13" s="68" t="s">
        <v>74</v>
      </c>
      <c r="C13" s="75">
        <v>0.2</v>
      </c>
      <c r="D13" s="154"/>
      <c r="E13" s="154"/>
      <c r="F13" s="154"/>
      <c r="G13" s="76">
        <v>1965602111</v>
      </c>
      <c r="H13" s="70">
        <f>(359729333155.73/($D$7*C13))</f>
        <v>27.505452052853702</v>
      </c>
      <c r="I13" s="77">
        <v>120</v>
      </c>
      <c r="J13" s="77">
        <v>1</v>
      </c>
      <c r="K13" s="77">
        <v>20</v>
      </c>
      <c r="L13" s="78">
        <v>1.74</v>
      </c>
      <c r="M13" s="77">
        <v>40</v>
      </c>
      <c r="N13" s="79">
        <v>0</v>
      </c>
      <c r="O13" s="73">
        <f>G13*((I13+K13+M13)/100)-N13</f>
        <v>3538083799.8000002</v>
      </c>
      <c r="P13" s="151"/>
      <c r="Q13" s="152"/>
    </row>
  </sheetData>
  <sheetProtection formatCells="0" formatColumns="0" formatRows="0" insertColumns="0" insertRows="0" insertHyperlinks="0" deleteColumns="0" deleteRows="0" sort="0" autoFilter="0" pivotTables="0"/>
  <mergeCells count="16">
    <mergeCell ref="P9:P13"/>
    <mergeCell ref="Q9:Q13"/>
    <mergeCell ref="D7:D13"/>
    <mergeCell ref="E7:E13"/>
    <mergeCell ref="F7:F13"/>
    <mergeCell ref="G7:N7"/>
    <mergeCell ref="P7:P8"/>
    <mergeCell ref="G9:N9"/>
    <mergeCell ref="A1:P1"/>
    <mergeCell ref="A2:P2"/>
    <mergeCell ref="A3:P3"/>
    <mergeCell ref="A5:A6"/>
    <mergeCell ref="B5:B6"/>
    <mergeCell ref="H5:I5"/>
    <mergeCell ref="J5:K5"/>
    <mergeCell ref="L5:M5"/>
  </mergeCells>
  <conditionalFormatting sqref="B4 I4:O4 B7:B13">
    <cfRule type="cellIs" dxfId="16" priority="201" stopIfTrue="1" operator="equal">
      <formula>"NO ADMISIBLE"</formula>
    </cfRule>
  </conditionalFormatting>
  <conditionalFormatting sqref="C8">
    <cfRule type="expression" dxfId="15" priority="196" stopIfTrue="1">
      <formula>IF(#REF!-INT(#REF!)&gt;0,TRUE,FALSE)</formula>
    </cfRule>
  </conditionalFormatting>
  <conditionalFormatting sqref="C13 J13 L13">
    <cfRule type="expression" dxfId="14" priority="195" stopIfTrue="1">
      <formula>IF(#REF!-INT(#REF!)&gt;0,TRUE,FALSE)</formula>
    </cfRule>
  </conditionalFormatting>
  <conditionalFormatting sqref="C4:F4 P4">
    <cfRule type="expression" dxfId="13" priority="200" stopIfTrue="1">
      <formula>IF(#REF!-INT(#REF!)&gt;0,TRUE,FALSE)</formula>
    </cfRule>
  </conditionalFormatting>
  <conditionalFormatting sqref="C7:G7 C9:C12">
    <cfRule type="expression" dxfId="12" priority="202" stopIfTrue="1">
      <formula>IF(#REF!-INT(#REF!)&gt;0,TRUE,FALSE)</formula>
    </cfRule>
  </conditionalFormatting>
  <conditionalFormatting sqref="G9:G13">
    <cfRule type="expression" dxfId="11" priority="158" stopIfTrue="1">
      <formula>IF(#REF!-INT(#REF!)&gt;0,TRUE,FALSE)</formula>
    </cfRule>
  </conditionalFormatting>
  <conditionalFormatting sqref="G8:N8">
    <cfRule type="expression" dxfId="10" priority="129" stopIfTrue="1">
      <formula>IF(#REF!-INT(#REF!)&gt;0,TRUE,FALSE)</formula>
    </cfRule>
  </conditionalFormatting>
  <conditionalFormatting sqref="H10:I13">
    <cfRule type="expression" dxfId="9" priority="110" stopIfTrue="1">
      <formula>IF(#REF!-INT(#REF!)&gt;0,TRUE,FALSE)</formula>
    </cfRule>
  </conditionalFormatting>
  <conditionalFormatting sqref="J10:J12">
    <cfRule type="expression" dxfId="8" priority="162" stopIfTrue="1">
      <formula>IF(#REF!-INT(#REF!)&gt;0,TRUE,FALSE)</formula>
    </cfRule>
  </conditionalFormatting>
  <conditionalFormatting sqref="K10:K13">
    <cfRule type="expression" dxfId="7" priority="108" stopIfTrue="1">
      <formula>IF(#REF!-INT(#REF!)&gt;0,TRUE,FALSE)</formula>
    </cfRule>
  </conditionalFormatting>
  <conditionalFormatting sqref="L10:L12">
    <cfRule type="expression" dxfId="6" priority="164" stopIfTrue="1">
      <formula>IF(#REF!-INT(#REF!)&gt;0,TRUE,FALSE)</formula>
    </cfRule>
  </conditionalFormatting>
  <conditionalFormatting sqref="M10 M11:N13">
    <cfRule type="expression" dxfId="5" priority="115" stopIfTrue="1">
      <formula>IF(#REF!-INT(#REF!)&gt;0,TRUE,FALSE)</formula>
    </cfRule>
  </conditionalFormatting>
  <conditionalFormatting sqref="N10">
    <cfRule type="expression" dxfId="4" priority="1" stopIfTrue="1">
      <formula>IF(#REF!-INT(#REF!)&gt;0,TRUE,FALSE)</formula>
    </cfRule>
  </conditionalFormatting>
  <conditionalFormatting sqref="O7:O13">
    <cfRule type="expression" dxfId="3" priority="86" stopIfTrue="1">
      <formula>IF(#REF!-INT(#REF!)&gt;0,TRUE,FALSE)</formula>
    </cfRule>
  </conditionalFormatting>
  <conditionalFormatting sqref="P7 P9:P12">
    <cfRule type="cellIs" dxfId="2" priority="197" stopIfTrue="1" operator="equal">
      <formula>"PENDIENTE"</formula>
    </cfRule>
    <cfRule type="cellIs" dxfId="1" priority="198" stopIfTrue="1" operator="equal">
      <formula>"NO ADMISIBLE"</formula>
    </cfRule>
    <cfRule type="cellIs" dxfId="0" priority="199" stopIfTrue="1" operator="equal">
      <formula>"ADMISIBLE"</formula>
    </cfRule>
  </conditionalFormatting>
  <dataValidations count="1">
    <dataValidation type="list" allowBlank="1" showInputMessage="1" showErrorMessage="1" sqref="B4 B7:B13" xr:uid="{DA847411-59E8-4124-B330-63363EAA7976}">
      <formula1>prueba</formula1>
    </dataValidation>
  </dataValidations>
  <pageMargins left="0.75" right="0.75" top="1" bottom="1" header="0" footer="0"/>
  <pageSetup paperSize="9" scale="33" orientation="portrait" r:id="rId1"/>
  <headerFooter alignWithMargins="0"/>
  <ignoredErrors>
    <ignoredError sqref="C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TICOM S.A.S.</vt:lpstr>
      <vt:lpstr>CONSORCIO RW</vt:lpstr>
      <vt:lpstr>K RESIDUAL</vt:lpstr>
      <vt:lpstr>'CONSORCIO RW'!Área_de_impresión</vt:lpstr>
      <vt:lpstr>'TICOM S.A.S.'!Área_de_impresión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2025-01-10T21:38:06Z</dcterms:created>
  <dcterms:modified xsi:type="dcterms:W3CDTF">2025-01-10T21:38:11Z</dcterms:modified>
</cp:coreProperties>
</file>