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reth Gomez\Downloads\"/>
    </mc:Choice>
  </mc:AlternateContent>
  <xr:revisionPtr revIDLastSave="0" documentId="8_{13701870-ACA6-4139-B7E0-410B4BC212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OPERATIVA" sheetId="1" r:id="rId1"/>
    <sheet name="INFORME FINANCIER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O10" i="1" l="1"/>
  <c r="DJ10" i="1"/>
  <c r="DQ10" i="1"/>
  <c r="DP10" i="1"/>
  <c r="DD10" i="1"/>
  <c r="DE10" i="1"/>
  <c r="DB10" i="1"/>
  <c r="DC10" i="1"/>
  <c r="CZ10" i="1"/>
  <c r="DA10" i="1"/>
  <c r="CX10" i="1"/>
  <c r="CY10" i="1"/>
  <c r="CS10" i="1"/>
  <c r="CL10" i="1"/>
  <c r="BT10" i="1"/>
  <c r="BU10" i="1"/>
  <c r="CF10" i="1"/>
  <c r="CK10" i="1"/>
  <c r="CM10" i="1"/>
  <c r="BY10" i="1"/>
  <c r="BW10" i="1"/>
  <c r="BO10" i="1"/>
  <c r="BZ10" i="1"/>
  <c r="CA10" i="1"/>
  <c r="BX10" i="1"/>
  <c r="BV10" i="1"/>
  <c r="CI10" i="1"/>
  <c r="AD10" i="1"/>
  <c r="AE10" i="1"/>
  <c r="S10" i="1"/>
  <c r="P10" i="1"/>
  <c r="Q10" i="1"/>
  <c r="N10" i="1"/>
  <c r="O10" i="1"/>
  <c r="X10" i="1"/>
  <c r="G10" i="1"/>
  <c r="M10" i="1"/>
  <c r="R10" i="1"/>
  <c r="BH10" i="1"/>
  <c r="AP10" i="1"/>
  <c r="AQ10" i="1"/>
  <c r="AN10" i="1"/>
  <c r="AO10" i="1"/>
  <c r="BG10" i="1"/>
  <c r="BI10" i="1"/>
  <c r="AV10" i="1"/>
  <c r="AT10" i="1"/>
  <c r="BB10" i="1"/>
  <c r="AW10" i="1"/>
  <c r="AU10" i="1"/>
  <c r="AR10" i="1"/>
  <c r="AS10" i="1"/>
  <c r="BE10" i="1"/>
  <c r="BF10" i="1"/>
  <c r="BA10" i="1"/>
  <c r="BC10" i="1"/>
  <c r="BJ10" i="1"/>
  <c r="CC10" i="1" l="1"/>
  <c r="DG10" i="1"/>
  <c r="DF10" i="1"/>
  <c r="CB10" i="1"/>
  <c r="AX10" i="1"/>
  <c r="AY10" i="1"/>
  <c r="L10" i="1"/>
  <c r="J10" i="1"/>
  <c r="K10" i="1"/>
  <c r="U10" i="1" s="1"/>
  <c r="AF10" i="1"/>
  <c r="AC10" i="1"/>
  <c r="AN8" i="2"/>
  <c r="AD8" i="2"/>
  <c r="Y8" i="2"/>
  <c r="T8" i="2"/>
  <c r="O8" i="2"/>
  <c r="AM8" i="2"/>
  <c r="AL8" i="2"/>
  <c r="AC8" i="2"/>
  <c r="AB8" i="2"/>
  <c r="X8" i="2"/>
  <c r="W8" i="2"/>
  <c r="S8" i="2"/>
  <c r="N8" i="2"/>
  <c r="R8" i="2"/>
  <c r="M8" i="2"/>
  <c r="Q8" i="2"/>
  <c r="L8" i="2"/>
  <c r="DL10" i="1" l="1"/>
  <c r="CH10" i="1"/>
  <c r="T10" i="1"/>
  <c r="Z10" i="1" s="1"/>
  <c r="BD10" i="1"/>
  <c r="J8" i="2"/>
  <c r="AO8" i="2"/>
  <c r="AJ8" i="2"/>
  <c r="AE8" i="2"/>
  <c r="Z8" i="2"/>
  <c r="U8" i="2"/>
  <c r="P8" i="2" l="1"/>
</calcChain>
</file>

<file path=xl/sharedStrings.xml><?xml version="1.0" encoding="utf-8"?>
<sst xmlns="http://schemas.openxmlformats.org/spreadsheetml/2006/main" count="283" uniqueCount="99">
  <si>
    <t>CONTRATANTE DEL PIC</t>
  </si>
  <si>
    <t>POBLACIÒN OBJETO</t>
  </si>
  <si>
    <t>ENTIDAD EJECUTORA</t>
  </si>
  <si>
    <t>REPRESENTANTE LEGAL DE LA ENTIDAD EJECUTORA</t>
  </si>
  <si>
    <t>No.CONTRATO O CONVENIO</t>
  </si>
  <si>
    <t>FECHA DE ACTA DE INICIO</t>
  </si>
  <si>
    <t>SUPERVISOR</t>
  </si>
  <si>
    <t>VALOR TOTAL CONTRATADO PIC</t>
  </si>
  <si>
    <t>CANTIDAD Y ACTIVIDADES CONTRATADAS</t>
  </si>
  <si>
    <t>CANTIDAD Y ACTIVIDADES EJECUTADAS</t>
  </si>
  <si>
    <t>PRIMERA INFANCIA (0 A 5 AÑOS)</t>
  </si>
  <si>
    <t>INFANCIA (6 A 11 AÑOS)</t>
  </si>
  <si>
    <t>ADOLESCENCIA (12 A 17)</t>
  </si>
  <si>
    <t>JOVENES (18 A27 AÑOS)</t>
  </si>
  <si>
    <t>ADULTEZ (28 A 59 AÑOS)</t>
  </si>
  <si>
    <t xml:space="preserve">PERSONA MAYOR (60 O MÀS) </t>
  </si>
  <si>
    <t>ENFOQUE DE GENERO</t>
  </si>
  <si>
    <t>ETNIAS</t>
  </si>
  <si>
    <t>POBLACIÒN FOCALIZADA</t>
  </si>
  <si>
    <t>SGSSS</t>
  </si>
  <si>
    <t>VALOR EJECUTADO</t>
  </si>
  <si>
    <t>VALOR FINAL PAGADO</t>
  </si>
  <si>
    <t>% DE CUMPLIMIENTO FINANCIERO</t>
  </si>
  <si>
    <t>Nº GESTANTES</t>
  </si>
  <si>
    <t>Nº DE NIÑOS</t>
  </si>
  <si>
    <t>Nº DE NIÑAS</t>
  </si>
  <si>
    <t xml:space="preserve">N. NIÑOS </t>
  </si>
  <si>
    <t>Nº NIÑAS</t>
  </si>
  <si>
    <t>Nº NIÑOS ADOLSCENTES</t>
  </si>
  <si>
    <t>Nº NIÑA ADOLSCENTES</t>
  </si>
  <si>
    <t>Nº DE JOVENES MASCULINOS</t>
  </si>
  <si>
    <t>Nº DE JOVENES FEMENINOS</t>
  </si>
  <si>
    <t>Nº DE ADULTOS MASCULNOS</t>
  </si>
  <si>
    <t>Nº DE ADULTOS FEMENINOS</t>
  </si>
  <si>
    <t>Nº DE PERSONAMAYOR MASCULINO</t>
  </si>
  <si>
    <t>Nº DE PERSONA MAYOR FEMENINO</t>
  </si>
  <si>
    <t>HOMBRE</t>
  </si>
  <si>
    <t>MUJER</t>
  </si>
  <si>
    <t>OTRO</t>
  </si>
  <si>
    <t>AFROCOLOMBIANO</t>
  </si>
  <si>
    <t>INDIGENA</t>
  </si>
  <si>
    <t>RROM</t>
  </si>
  <si>
    <t>PERSONAS EN CONDICIÓN DE DISCAPACIDAD</t>
  </si>
  <si>
    <t>VÍCTIMAS DEL CONFLICTO ARMADO</t>
  </si>
  <si>
    <t>TRABAJADORES INFORMALES</t>
  </si>
  <si>
    <t>SUBSIDIADO</t>
  </si>
  <si>
    <t>CONTRIBUTIVO</t>
  </si>
  <si>
    <t>UBICACIÓN GEOGRAFICA</t>
  </si>
  <si>
    <t>NIT DE LA ENTIDAD EJECUTORA</t>
  </si>
  <si>
    <t>POBLACIÓN OBJETO</t>
  </si>
  <si>
    <t>% PAGO ANTICIPADO</t>
  </si>
  <si>
    <t>VALOR PAGO ANTICIPADO</t>
  </si>
  <si>
    <t>VALOR DE ACTIVIDADES SIN EJECUTAR</t>
  </si>
  <si>
    <t>MUNICIPIO</t>
  </si>
  <si>
    <t xml:space="preserve">     VIGENCIA:</t>
  </si>
  <si>
    <t xml:space="preserve">           MATRIZ DE EJECUCIÓN Y CUMPLIMIENTO DEL PLAN DE INTERVENCIONES COLECTIVAS -PIC-</t>
  </si>
  <si>
    <t xml:space="preserve">                               INFORME FINANCIERO</t>
  </si>
  <si>
    <t>MICRO TERRITORIO URBANO</t>
  </si>
  <si>
    <t>FECHA DE SUSCRIPCIÓN DEL CONTRATO O CONVENIO</t>
  </si>
  <si>
    <t>EJE 2. PUEBLOS Y COMUNIDADES, GÉNERO-DIVERSIDADES, CONDICIONES Y SITUACIONES.</t>
  </si>
  <si>
    <t>EJE 3. DETERMINANTES SOCIALES DE LA SALUD.</t>
  </si>
  <si>
    <t>EJE 4. ATENCIÓN PRIMARIA EN SALUD.</t>
  </si>
  <si>
    <t>EJE 5. CAMBIO CLIMÁTICO, EMERGENCIAS, DESASTRES Y PANDEMIAS.</t>
  </si>
  <si>
    <t>EJE 7. PERSONAL DE SALUD.</t>
  </si>
  <si>
    <t>VALOR DEL EJE</t>
  </si>
  <si>
    <t>MICRO TERRITORIO RURAL</t>
  </si>
  <si>
    <t>PERFIL PROFESIONAL</t>
  </si>
  <si>
    <t>TIEMPO DEL CONTRATO</t>
  </si>
  <si>
    <t>ASIGNACIÓN SALARIAL</t>
  </si>
  <si>
    <t>VALOR TOTAL DEL CONTRATO</t>
  </si>
  <si>
    <t xml:space="preserve">EJE 6. TRANSMISBLES </t>
  </si>
  <si>
    <t>CONVENIO INTERADMINISTRATIVO N° SS-017-2024</t>
  </si>
  <si>
    <t>E.S.E. CAMU SAN RAFAEL</t>
  </si>
  <si>
    <t>812001579-2</t>
  </si>
  <si>
    <t>GHASSAN NADER NAME</t>
  </si>
  <si>
    <t>MAIRETH PAOLA GOMEZ NEGRETE</t>
  </si>
  <si>
    <t>17 de septiembre de 2024</t>
  </si>
  <si>
    <t>EJE 2. PUEBLOS Y COMUNIDADES</t>
  </si>
  <si>
    <t>EJE 3. DETERMINANTES SOCIALES</t>
  </si>
  <si>
    <t>EJE 4. ATENCIÓN PRIMARIA EN SALUD</t>
  </si>
  <si>
    <t>EJE 5. CAMBIO CLIMATICO</t>
  </si>
  <si>
    <t>EJE 7. PERSONAL DE LA SALUD</t>
  </si>
  <si>
    <t xml:space="preserve">ESE CAMU SAN RAFEAL </t>
  </si>
  <si>
    <t xml:space="preserve">SAHAGUN </t>
  </si>
  <si>
    <t>BOSQUE BARAJI</t>
  </si>
  <si>
    <t xml:space="preserve">BOSQUE BARAJI </t>
  </si>
  <si>
    <t>LA YE</t>
  </si>
  <si>
    <t>MEDICO GENERAL</t>
  </si>
  <si>
    <t xml:space="preserve">ENFEREMERA </t>
  </si>
  <si>
    <t>PSICOLOGO</t>
  </si>
  <si>
    <t xml:space="preserve">AUX ENFERERIA </t>
  </si>
  <si>
    <t xml:space="preserve">PSICOLOGO </t>
  </si>
  <si>
    <t>ENFERMERO</t>
  </si>
  <si>
    <t xml:space="preserve">AUXILIAR ENFERMERIA </t>
  </si>
  <si>
    <t xml:space="preserve">NUTRICIONISTA </t>
  </si>
  <si>
    <t>LICENCIADO EN EDUCACION F</t>
  </si>
  <si>
    <t xml:space="preserve">VETERINARIO </t>
  </si>
  <si>
    <t>HIGIENEISTA ORAL</t>
  </si>
  <si>
    <t>APOYO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</si>
</sst>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20" x14ac:knownFonts="1"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b/>
      <sz val="36"/>
      <color theme="1"/>
      <name val="Arial Narrow"/>
      <family val="2"/>
    </font>
    <font>
      <b/>
      <sz val="10"/>
      <color theme="1"/>
      <name val="Arial Narrow"/>
      <family val="2"/>
    </font>
    <font>
      <b/>
      <sz val="22"/>
      <color theme="1"/>
      <name val="Arial Narrow"/>
      <family val="2"/>
    </font>
    <font>
      <b/>
      <sz val="20"/>
      <color theme="1"/>
      <name val="Arial Narrow"/>
      <family val="2"/>
    </font>
    <font>
      <b/>
      <sz val="19"/>
      <color theme="1"/>
      <name val="Arial Narrow"/>
      <family val="2"/>
    </font>
    <font>
      <b/>
      <sz val="11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10"/>
      <color rgb="FF000000"/>
      <name val="Arial Narrow"/>
      <family val="2"/>
    </font>
    <font>
      <b/>
      <sz val="18"/>
      <color theme="1"/>
      <name val="Arial Narrow"/>
      <family val="2"/>
    </font>
    <font>
      <sz val="11"/>
      <color theme="1"/>
      <name val="Arial Narrow"/>
      <family val="2"/>
    </font>
    <font>
      <sz val="10"/>
      <color rgb="FF000000"/>
      <name val="Arial"/>
      <family val="2"/>
    </font>
    <font>
      <b/>
      <sz val="12"/>
      <color theme="1"/>
      <name val="Arial Narrow"/>
      <family val="2"/>
    </font>
    <font>
      <b/>
      <sz val="28"/>
      <color theme="1"/>
      <name val="Arial Narrow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03">
    <xf numFmtId="0" fontId="0" fillId="0" borderId="0" xfId="0"/>
    <xf numFmtId="0" fontId="3" fillId="12" borderId="3" xfId="0" applyFont="1" applyFill="1" applyBorder="1" applyAlignment="1">
      <alignment horizontal="center" vertical="center" textRotation="90" wrapText="1"/>
    </xf>
    <xf numFmtId="0" fontId="10" fillId="10" borderId="3" xfId="0" applyFont="1" applyFill="1" applyBorder="1" applyAlignment="1">
      <alignment horizontal="center" vertical="center" textRotation="90" wrapText="1"/>
    </xf>
    <xf numFmtId="0" fontId="3" fillId="16" borderId="6" xfId="0" applyFont="1" applyFill="1" applyBorder="1" applyAlignment="1">
      <alignment horizontal="center" vertical="center" textRotation="90" wrapText="1"/>
    </xf>
    <xf numFmtId="0" fontId="3" fillId="17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3" fillId="12" borderId="7" xfId="0" applyFont="1" applyFill="1" applyBorder="1" applyAlignment="1">
      <alignment horizontal="center" vertical="center" textRotation="90" wrapText="1"/>
    </xf>
    <xf numFmtId="4" fontId="11" fillId="17" borderId="3" xfId="0" applyNumberFormat="1" applyFont="1" applyFill="1" applyBorder="1" applyAlignment="1">
      <alignment horizontal="center" vertical="center" textRotation="90" wrapText="1"/>
    </xf>
    <xf numFmtId="4" fontId="11" fillId="17" borderId="3" xfId="0" applyNumberFormat="1" applyFont="1" applyFill="1" applyBorder="1" applyAlignment="1">
      <alignment vertical="center" textRotation="90" wrapText="1"/>
    </xf>
    <xf numFmtId="0" fontId="14" fillId="0" borderId="3" xfId="0" applyFont="1" applyBorder="1" applyAlignment="1">
      <alignment vertical="center" textRotation="90" wrapText="1"/>
    </xf>
    <xf numFmtId="0" fontId="14" fillId="0" borderId="3" xfId="0" applyFont="1" applyBorder="1" applyAlignment="1">
      <alignment horizontal="center" vertical="center" textRotation="90" wrapText="1"/>
    </xf>
    <xf numFmtId="4" fontId="7" fillId="17" borderId="3" xfId="0" applyNumberFormat="1" applyFont="1" applyFill="1" applyBorder="1" applyAlignment="1">
      <alignment vertical="center" textRotation="90"/>
    </xf>
    <xf numFmtId="0" fontId="12" fillId="17" borderId="3" xfId="0" applyFont="1" applyFill="1" applyBorder="1"/>
    <xf numFmtId="0" fontId="3" fillId="11" borderId="3" xfId="0" applyFont="1" applyFill="1" applyBorder="1" applyAlignment="1">
      <alignment horizontal="center" vertical="center" textRotation="90" wrapText="1"/>
    </xf>
    <xf numFmtId="0" fontId="14" fillId="0" borderId="6" xfId="0" applyFont="1" applyBorder="1" applyAlignment="1">
      <alignment vertical="center" textRotation="90" wrapText="1"/>
    </xf>
    <xf numFmtId="0" fontId="14" fillId="0" borderId="6" xfId="0" applyFont="1" applyBorder="1" applyAlignment="1">
      <alignment horizontal="center" vertical="center" textRotation="90" wrapText="1"/>
    </xf>
    <xf numFmtId="4" fontId="11" fillId="17" borderId="6" xfId="0" applyNumberFormat="1" applyFont="1" applyFill="1" applyBorder="1" applyAlignment="1">
      <alignment vertical="center" textRotation="90" wrapText="1"/>
    </xf>
    <xf numFmtId="4" fontId="11" fillId="17" borderId="6" xfId="0" applyNumberFormat="1" applyFont="1" applyFill="1" applyBorder="1" applyAlignment="1">
      <alignment horizontal="center" vertical="center" textRotation="90" wrapText="1"/>
    </xf>
    <xf numFmtId="4" fontId="7" fillId="17" borderId="6" xfId="0" applyNumberFormat="1" applyFont="1" applyFill="1" applyBorder="1" applyAlignment="1">
      <alignment vertical="center" textRotation="90"/>
    </xf>
    <xf numFmtId="0" fontId="12" fillId="17" borderId="6" xfId="0" applyFont="1" applyFill="1" applyBorder="1"/>
    <xf numFmtId="0" fontId="7" fillId="0" borderId="3" xfId="0" applyFont="1" applyBorder="1" applyAlignment="1">
      <alignment horizontal="center" vertical="center" textRotation="90" wrapText="1"/>
    </xf>
    <xf numFmtId="4" fontId="7" fillId="17" borderId="3" xfId="0" applyNumberFormat="1" applyFont="1" applyFill="1" applyBorder="1" applyAlignment="1">
      <alignment horizontal="center" vertical="center" textRotation="90" wrapText="1"/>
    </xf>
    <xf numFmtId="0" fontId="3" fillId="14" borderId="6" xfId="0" applyFont="1" applyFill="1" applyBorder="1" applyAlignment="1">
      <alignment horizontal="center" vertical="center" textRotation="90" wrapText="1"/>
    </xf>
    <xf numFmtId="0" fontId="3" fillId="15" borderId="6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12" fillId="0" borderId="0" xfId="0" applyFont="1"/>
    <xf numFmtId="0" fontId="0" fillId="0" borderId="0" xfId="0" applyAlignment="1">
      <alignment horizontal="center"/>
    </xf>
    <xf numFmtId="9" fontId="7" fillId="17" borderId="3" xfId="2" applyFont="1" applyFill="1" applyBorder="1" applyAlignment="1">
      <alignment horizontal="center" vertical="center" textRotation="90" wrapText="1"/>
    </xf>
    <xf numFmtId="164" fontId="7" fillId="17" borderId="3" xfId="1" applyNumberFormat="1" applyFont="1" applyFill="1" applyBorder="1" applyAlignment="1">
      <alignment horizontal="center" vertical="center" textRotation="90" wrapText="1"/>
    </xf>
    <xf numFmtId="164" fontId="7" fillId="17" borderId="3" xfId="0" applyNumberFormat="1" applyFont="1" applyFill="1" applyBorder="1" applyAlignment="1">
      <alignment horizontal="center" vertical="center" textRotation="90"/>
    </xf>
    <xf numFmtId="164" fontId="0" fillId="0" borderId="0" xfId="0" applyNumberFormat="1"/>
    <xf numFmtId="164" fontId="7" fillId="0" borderId="3" xfId="1" applyNumberFormat="1" applyFont="1" applyFill="1" applyBorder="1" applyAlignment="1">
      <alignment horizontal="center" vertical="center" textRotation="90" wrapText="1"/>
    </xf>
    <xf numFmtId="0" fontId="1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8" fillId="17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165" fontId="19" fillId="0" borderId="3" xfId="1" applyNumberFormat="1" applyFont="1" applyBorder="1" applyAlignment="1">
      <alignment horizontal="center"/>
    </xf>
    <xf numFmtId="0" fontId="18" fillId="17" borderId="3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/>
    </xf>
    <xf numFmtId="165" fontId="19" fillId="0" borderId="3" xfId="1" applyNumberFormat="1" applyFont="1" applyBorder="1" applyAlignment="1">
      <alignment horizontal="center" vertical="top"/>
    </xf>
    <xf numFmtId="0" fontId="3" fillId="13" borderId="8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2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 vertical="center" wrapText="1"/>
    </xf>
    <xf numFmtId="0" fontId="3" fillId="17" borderId="0" xfId="0" applyFont="1" applyFill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5" fillId="4" borderId="14" xfId="0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textRotation="90" wrapText="1"/>
    </xf>
    <xf numFmtId="0" fontId="3" fillId="11" borderId="16" xfId="0" applyFont="1" applyFill="1" applyBorder="1" applyAlignment="1">
      <alignment horizontal="center" vertical="center" textRotation="90" wrapText="1"/>
    </xf>
    <xf numFmtId="0" fontId="3" fillId="11" borderId="8" xfId="0" applyFont="1" applyFill="1" applyBorder="1" applyAlignment="1">
      <alignment horizontal="center" vertical="center" textRotation="90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7" fillId="19" borderId="8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9" borderId="8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A8F64"/>
      <color rgb="FFF4D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I21"/>
  <sheetViews>
    <sheetView showGridLines="0" tabSelected="1" topLeftCell="A4" zoomScale="86" zoomScaleNormal="80" workbookViewId="0">
      <selection activeCell="Y12" sqref="Y12"/>
    </sheetView>
  </sheetViews>
  <sheetFormatPr baseColWidth="10" defaultRowHeight="16.5" x14ac:dyDescent="0.3"/>
  <cols>
    <col min="1" max="2" width="19.42578125" customWidth="1"/>
    <col min="3" max="4" width="31.42578125" customWidth="1"/>
    <col min="5" max="32" width="9.42578125" style="26" customWidth="1"/>
    <col min="33" max="34" width="31.42578125" customWidth="1"/>
    <col min="35" max="62" width="9.42578125" style="25" customWidth="1"/>
    <col min="63" max="64" width="31.42578125" customWidth="1"/>
    <col min="65" max="92" width="9.42578125" style="26" customWidth="1"/>
    <col min="93" max="94" width="31.42578125" customWidth="1"/>
    <col min="95" max="122" width="9.42578125" style="26" customWidth="1"/>
    <col min="123" max="124" width="31.42578125" customWidth="1"/>
    <col min="125" max="125" width="18.140625" style="26" customWidth="1"/>
    <col min="126" max="126" width="9.42578125" style="26" customWidth="1"/>
    <col min="127" max="127" width="33.28515625" customWidth="1"/>
    <col min="129" max="129" width="16.140625" bestFit="1" customWidth="1"/>
    <col min="130" max="130" width="17.28515625" bestFit="1" customWidth="1"/>
  </cols>
  <sheetData>
    <row r="1" spans="1:217" ht="41.25" customHeight="1" thickBot="1" x14ac:dyDescent="0.55000000000000004">
      <c r="A1" s="70" t="s">
        <v>55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  <c r="DV1" s="71"/>
      <c r="DW1" s="71"/>
      <c r="DX1" s="71"/>
      <c r="DY1" s="71"/>
      <c r="DZ1" s="71"/>
    </row>
    <row r="2" spans="1:217" ht="45" customHeight="1" x14ac:dyDescent="0.25">
      <c r="A2" s="72" t="s">
        <v>54</v>
      </c>
      <c r="B2" s="72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</row>
    <row r="3" spans="1:217" ht="15" customHeight="1" x14ac:dyDescent="0.25">
      <c r="A3" s="75" t="s">
        <v>0</v>
      </c>
      <c r="B3" s="76" t="s">
        <v>53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</row>
    <row r="4" spans="1:217" ht="15" customHeight="1" x14ac:dyDescent="0.25">
      <c r="A4" s="75"/>
      <c r="B4" s="76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</row>
    <row r="5" spans="1:217" ht="15" customHeight="1" thickBot="1" x14ac:dyDescent="0.3">
      <c r="A5" s="75"/>
      <c r="B5" s="76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  <c r="DV5" s="68"/>
      <c r="DW5" s="68"/>
      <c r="DX5" s="68"/>
      <c r="DY5" s="68"/>
      <c r="DZ5" s="68"/>
    </row>
    <row r="6" spans="1:217" ht="91.5" customHeight="1" thickBot="1" x14ac:dyDescent="0.3">
      <c r="A6" s="75"/>
      <c r="B6" s="77"/>
      <c r="C6" s="78" t="s">
        <v>59</v>
      </c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80"/>
      <c r="AG6" s="81" t="s">
        <v>60</v>
      </c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3"/>
      <c r="BK6" s="84" t="s">
        <v>61</v>
      </c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6"/>
      <c r="CO6" s="61" t="s">
        <v>62</v>
      </c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3"/>
      <c r="DS6" s="90" t="s">
        <v>63</v>
      </c>
      <c r="DT6" s="91"/>
      <c r="DU6" s="91"/>
      <c r="DV6" s="91"/>
      <c r="DW6" s="91"/>
      <c r="DX6" s="91"/>
      <c r="DY6" s="91"/>
      <c r="DZ6" s="91"/>
    </row>
    <row r="7" spans="1:217" ht="41.25" customHeight="1" x14ac:dyDescent="0.25">
      <c r="A7" s="75"/>
      <c r="B7" s="76"/>
      <c r="C7" s="40" t="s">
        <v>8</v>
      </c>
      <c r="D7" s="40" t="s">
        <v>9</v>
      </c>
      <c r="E7" s="51" t="s">
        <v>47</v>
      </c>
      <c r="F7" s="51"/>
      <c r="G7" s="73" t="s">
        <v>49</v>
      </c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4"/>
      <c r="AG7" s="40" t="s">
        <v>8</v>
      </c>
      <c r="AH7" s="40" t="s">
        <v>9</v>
      </c>
      <c r="AI7" s="51" t="s">
        <v>47</v>
      </c>
      <c r="AJ7" s="51"/>
      <c r="AK7" s="57" t="s">
        <v>49</v>
      </c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8"/>
      <c r="BK7" s="40" t="s">
        <v>8</v>
      </c>
      <c r="BL7" s="40" t="s">
        <v>9</v>
      </c>
      <c r="BM7" s="51" t="s">
        <v>47</v>
      </c>
      <c r="BN7" s="51"/>
      <c r="BO7" s="53" t="s">
        <v>49</v>
      </c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4"/>
      <c r="CO7" s="40" t="s">
        <v>8</v>
      </c>
      <c r="CP7" s="40" t="s">
        <v>9</v>
      </c>
      <c r="CQ7" s="55" t="s">
        <v>47</v>
      </c>
      <c r="CR7" s="55"/>
      <c r="CS7" s="66" t="s">
        <v>1</v>
      </c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7"/>
      <c r="DS7" s="40" t="s">
        <v>8</v>
      </c>
      <c r="DT7" s="40" t="s">
        <v>9</v>
      </c>
      <c r="DU7" s="51" t="s">
        <v>47</v>
      </c>
      <c r="DV7" s="51"/>
      <c r="DW7" s="87" t="s">
        <v>66</v>
      </c>
      <c r="DX7" s="87" t="s">
        <v>67</v>
      </c>
      <c r="DY7" s="87" t="s">
        <v>68</v>
      </c>
      <c r="DZ7" s="87" t="s">
        <v>69</v>
      </c>
    </row>
    <row r="8" spans="1:217" ht="78.75" customHeight="1" x14ac:dyDescent="0.25">
      <c r="A8" s="75"/>
      <c r="B8" s="76"/>
      <c r="C8" s="41"/>
      <c r="D8" s="41"/>
      <c r="E8" s="52"/>
      <c r="F8" s="52"/>
      <c r="G8" s="44" t="s">
        <v>10</v>
      </c>
      <c r="H8" s="44"/>
      <c r="I8" s="45"/>
      <c r="J8" s="42" t="s">
        <v>11</v>
      </c>
      <c r="K8" s="43"/>
      <c r="L8" s="42" t="s">
        <v>12</v>
      </c>
      <c r="M8" s="43"/>
      <c r="N8" s="42" t="s">
        <v>13</v>
      </c>
      <c r="O8" s="43"/>
      <c r="P8" s="42" t="s">
        <v>14</v>
      </c>
      <c r="Q8" s="43"/>
      <c r="R8" s="42" t="s">
        <v>15</v>
      </c>
      <c r="S8" s="43"/>
      <c r="T8" s="46" t="s">
        <v>16</v>
      </c>
      <c r="U8" s="47"/>
      <c r="V8" s="47"/>
      <c r="W8" s="48" t="s">
        <v>17</v>
      </c>
      <c r="X8" s="48"/>
      <c r="Y8" s="48"/>
      <c r="Z8" s="48"/>
      <c r="AA8" s="49" t="s">
        <v>18</v>
      </c>
      <c r="AB8" s="49"/>
      <c r="AC8" s="49"/>
      <c r="AD8" s="50" t="s">
        <v>19</v>
      </c>
      <c r="AE8" s="50"/>
      <c r="AF8" s="50"/>
      <c r="AG8" s="41"/>
      <c r="AH8" s="41"/>
      <c r="AI8" s="52"/>
      <c r="AJ8" s="52"/>
      <c r="AK8" s="44" t="s">
        <v>10</v>
      </c>
      <c r="AL8" s="44"/>
      <c r="AM8" s="45"/>
      <c r="AN8" s="42" t="s">
        <v>11</v>
      </c>
      <c r="AO8" s="43"/>
      <c r="AP8" s="42" t="s">
        <v>12</v>
      </c>
      <c r="AQ8" s="43"/>
      <c r="AR8" s="42" t="s">
        <v>13</v>
      </c>
      <c r="AS8" s="43"/>
      <c r="AT8" s="42" t="s">
        <v>14</v>
      </c>
      <c r="AU8" s="43"/>
      <c r="AV8" s="42" t="s">
        <v>15</v>
      </c>
      <c r="AW8" s="43"/>
      <c r="AX8" s="46" t="s">
        <v>16</v>
      </c>
      <c r="AY8" s="47"/>
      <c r="AZ8" s="47"/>
      <c r="BA8" s="48" t="s">
        <v>17</v>
      </c>
      <c r="BB8" s="48"/>
      <c r="BC8" s="48"/>
      <c r="BD8" s="48"/>
      <c r="BE8" s="49" t="s">
        <v>18</v>
      </c>
      <c r="BF8" s="49"/>
      <c r="BG8" s="49"/>
      <c r="BH8" s="50" t="s">
        <v>19</v>
      </c>
      <c r="BI8" s="50"/>
      <c r="BJ8" s="50"/>
      <c r="BK8" s="41"/>
      <c r="BL8" s="41"/>
      <c r="BM8" s="52"/>
      <c r="BN8" s="52"/>
      <c r="BO8" s="44" t="s">
        <v>10</v>
      </c>
      <c r="BP8" s="44"/>
      <c r="BQ8" s="45"/>
      <c r="BR8" s="42" t="s">
        <v>11</v>
      </c>
      <c r="BS8" s="43"/>
      <c r="BT8" s="42" t="s">
        <v>12</v>
      </c>
      <c r="BU8" s="43"/>
      <c r="BV8" s="42" t="s">
        <v>13</v>
      </c>
      <c r="BW8" s="43"/>
      <c r="BX8" s="42" t="s">
        <v>14</v>
      </c>
      <c r="BY8" s="43"/>
      <c r="BZ8" s="42" t="s">
        <v>15</v>
      </c>
      <c r="CA8" s="43"/>
      <c r="CB8" s="46" t="s">
        <v>16</v>
      </c>
      <c r="CC8" s="47"/>
      <c r="CD8" s="47"/>
      <c r="CE8" s="48" t="s">
        <v>17</v>
      </c>
      <c r="CF8" s="48"/>
      <c r="CG8" s="48"/>
      <c r="CH8" s="48"/>
      <c r="CI8" s="49" t="s">
        <v>18</v>
      </c>
      <c r="CJ8" s="49"/>
      <c r="CK8" s="49"/>
      <c r="CL8" s="50" t="s">
        <v>19</v>
      </c>
      <c r="CM8" s="50"/>
      <c r="CN8" s="50"/>
      <c r="CO8" s="41"/>
      <c r="CP8" s="41"/>
      <c r="CQ8" s="56"/>
      <c r="CR8" s="56"/>
      <c r="CS8" s="44" t="s">
        <v>10</v>
      </c>
      <c r="CT8" s="44"/>
      <c r="CU8" s="45"/>
      <c r="CV8" s="42" t="s">
        <v>11</v>
      </c>
      <c r="CW8" s="43"/>
      <c r="CX8" s="64" t="s">
        <v>12</v>
      </c>
      <c r="CY8" s="65"/>
      <c r="CZ8" s="42" t="s">
        <v>13</v>
      </c>
      <c r="DA8" s="43"/>
      <c r="DB8" s="42" t="s">
        <v>14</v>
      </c>
      <c r="DC8" s="43"/>
      <c r="DD8" s="42" t="s">
        <v>15</v>
      </c>
      <c r="DE8" s="43"/>
      <c r="DF8" s="46" t="s">
        <v>16</v>
      </c>
      <c r="DG8" s="47"/>
      <c r="DH8" s="47"/>
      <c r="DI8" s="48" t="s">
        <v>17</v>
      </c>
      <c r="DJ8" s="48"/>
      <c r="DK8" s="48"/>
      <c r="DL8" s="48"/>
      <c r="DM8" s="49" t="s">
        <v>18</v>
      </c>
      <c r="DN8" s="49"/>
      <c r="DO8" s="49"/>
      <c r="DP8" s="50" t="s">
        <v>19</v>
      </c>
      <c r="DQ8" s="50"/>
      <c r="DR8" s="50"/>
      <c r="DS8" s="41"/>
      <c r="DT8" s="41"/>
      <c r="DU8" s="52"/>
      <c r="DV8" s="52"/>
      <c r="DW8" s="88"/>
      <c r="DX8" s="88"/>
      <c r="DY8" s="88"/>
      <c r="DZ8" s="88"/>
    </row>
    <row r="9" spans="1:217" ht="150" customHeight="1" x14ac:dyDescent="0.25">
      <c r="A9" s="75"/>
      <c r="B9" s="76"/>
      <c r="C9" s="41"/>
      <c r="D9" s="41"/>
      <c r="E9" s="13" t="s">
        <v>57</v>
      </c>
      <c r="F9" s="13" t="s">
        <v>65</v>
      </c>
      <c r="G9" s="6" t="s">
        <v>23</v>
      </c>
      <c r="H9" s="1" t="s">
        <v>24</v>
      </c>
      <c r="I9" s="1" t="s">
        <v>25</v>
      </c>
      <c r="J9" s="2" t="s">
        <v>26</v>
      </c>
      <c r="K9" s="2" t="s">
        <v>27</v>
      </c>
      <c r="L9" s="2" t="s">
        <v>28</v>
      </c>
      <c r="M9" s="2" t="s">
        <v>29</v>
      </c>
      <c r="N9" s="2" t="s">
        <v>30</v>
      </c>
      <c r="O9" s="2" t="s">
        <v>31</v>
      </c>
      <c r="P9" s="2" t="s">
        <v>32</v>
      </c>
      <c r="Q9" s="2" t="s">
        <v>33</v>
      </c>
      <c r="R9" s="2" t="s">
        <v>34</v>
      </c>
      <c r="S9" s="2" t="s">
        <v>35</v>
      </c>
      <c r="T9" s="22" t="s">
        <v>36</v>
      </c>
      <c r="U9" s="22" t="s">
        <v>37</v>
      </c>
      <c r="V9" s="22" t="s">
        <v>38</v>
      </c>
      <c r="W9" s="23" t="s">
        <v>39</v>
      </c>
      <c r="X9" s="23" t="s">
        <v>40</v>
      </c>
      <c r="Y9" s="23" t="s">
        <v>41</v>
      </c>
      <c r="Z9" s="23" t="s">
        <v>38</v>
      </c>
      <c r="AA9" s="3" t="s">
        <v>42</v>
      </c>
      <c r="AB9" s="3" t="s">
        <v>43</v>
      </c>
      <c r="AC9" s="3" t="s">
        <v>44</v>
      </c>
      <c r="AD9" s="24" t="s">
        <v>45</v>
      </c>
      <c r="AE9" s="24" t="s">
        <v>46</v>
      </c>
      <c r="AF9" s="24" t="s">
        <v>38</v>
      </c>
      <c r="AG9" s="41"/>
      <c r="AH9" s="41"/>
      <c r="AI9" s="13" t="s">
        <v>57</v>
      </c>
      <c r="AJ9" s="13" t="s">
        <v>65</v>
      </c>
      <c r="AK9" s="6" t="s">
        <v>23</v>
      </c>
      <c r="AL9" s="1" t="s">
        <v>24</v>
      </c>
      <c r="AM9" s="1" t="s">
        <v>25</v>
      </c>
      <c r="AN9" s="2" t="s">
        <v>26</v>
      </c>
      <c r="AO9" s="2" t="s">
        <v>27</v>
      </c>
      <c r="AP9" s="2" t="s">
        <v>28</v>
      </c>
      <c r="AQ9" s="2" t="s">
        <v>29</v>
      </c>
      <c r="AR9" s="2" t="s">
        <v>30</v>
      </c>
      <c r="AS9" s="2" t="s">
        <v>31</v>
      </c>
      <c r="AT9" s="2" t="s">
        <v>32</v>
      </c>
      <c r="AU9" s="2" t="s">
        <v>33</v>
      </c>
      <c r="AV9" s="2" t="s">
        <v>34</v>
      </c>
      <c r="AW9" s="2" t="s">
        <v>35</v>
      </c>
      <c r="AX9" s="22" t="s">
        <v>36</v>
      </c>
      <c r="AY9" s="22" t="s">
        <v>37</v>
      </c>
      <c r="AZ9" s="22" t="s">
        <v>38</v>
      </c>
      <c r="BA9" s="23" t="s">
        <v>39</v>
      </c>
      <c r="BB9" s="23" t="s">
        <v>40</v>
      </c>
      <c r="BC9" s="23" t="s">
        <v>41</v>
      </c>
      <c r="BD9" s="23" t="s">
        <v>38</v>
      </c>
      <c r="BE9" s="3" t="s">
        <v>42</v>
      </c>
      <c r="BF9" s="3" t="s">
        <v>43</v>
      </c>
      <c r="BG9" s="3" t="s">
        <v>44</v>
      </c>
      <c r="BH9" s="24" t="s">
        <v>45</v>
      </c>
      <c r="BI9" s="24" t="s">
        <v>46</v>
      </c>
      <c r="BJ9" s="24" t="s">
        <v>38</v>
      </c>
      <c r="BK9" s="41"/>
      <c r="BL9" s="41"/>
      <c r="BM9" s="13" t="s">
        <v>57</v>
      </c>
      <c r="BN9" s="13" t="s">
        <v>65</v>
      </c>
      <c r="BO9" s="6" t="s">
        <v>23</v>
      </c>
      <c r="BP9" s="1" t="s">
        <v>24</v>
      </c>
      <c r="BQ9" s="1" t="s">
        <v>25</v>
      </c>
      <c r="BR9" s="2" t="s">
        <v>26</v>
      </c>
      <c r="BS9" s="2" t="s">
        <v>27</v>
      </c>
      <c r="BT9" s="2" t="s">
        <v>28</v>
      </c>
      <c r="BU9" s="2" t="s">
        <v>29</v>
      </c>
      <c r="BV9" s="2" t="s">
        <v>30</v>
      </c>
      <c r="BW9" s="2" t="s">
        <v>31</v>
      </c>
      <c r="BX9" s="2" t="s">
        <v>32</v>
      </c>
      <c r="BY9" s="2" t="s">
        <v>33</v>
      </c>
      <c r="BZ9" s="2" t="s">
        <v>34</v>
      </c>
      <c r="CA9" s="2" t="s">
        <v>35</v>
      </c>
      <c r="CB9" s="22" t="s">
        <v>36</v>
      </c>
      <c r="CC9" s="22" t="s">
        <v>37</v>
      </c>
      <c r="CD9" s="22" t="s">
        <v>38</v>
      </c>
      <c r="CE9" s="23" t="s">
        <v>39</v>
      </c>
      <c r="CF9" s="23" t="s">
        <v>40</v>
      </c>
      <c r="CG9" s="23" t="s">
        <v>41</v>
      </c>
      <c r="CH9" s="23" t="s">
        <v>38</v>
      </c>
      <c r="CI9" s="3" t="s">
        <v>42</v>
      </c>
      <c r="CJ9" s="3" t="s">
        <v>43</v>
      </c>
      <c r="CK9" s="3" t="s">
        <v>44</v>
      </c>
      <c r="CL9" s="24" t="s">
        <v>45</v>
      </c>
      <c r="CM9" s="24" t="s">
        <v>46</v>
      </c>
      <c r="CN9" s="24" t="s">
        <v>38</v>
      </c>
      <c r="CO9" s="41"/>
      <c r="CP9" s="41"/>
      <c r="CQ9" s="13" t="s">
        <v>57</v>
      </c>
      <c r="CR9" s="13" t="s">
        <v>65</v>
      </c>
      <c r="CS9" s="6" t="s">
        <v>23</v>
      </c>
      <c r="CT9" s="1" t="s">
        <v>24</v>
      </c>
      <c r="CU9" s="1" t="s">
        <v>25</v>
      </c>
      <c r="CV9" s="2" t="s">
        <v>26</v>
      </c>
      <c r="CW9" s="2" t="s">
        <v>27</v>
      </c>
      <c r="CX9" s="2" t="s">
        <v>28</v>
      </c>
      <c r="CY9" s="2" t="s">
        <v>29</v>
      </c>
      <c r="CZ9" s="2" t="s">
        <v>30</v>
      </c>
      <c r="DA9" s="2" t="s">
        <v>31</v>
      </c>
      <c r="DB9" s="2" t="s">
        <v>32</v>
      </c>
      <c r="DC9" s="2" t="s">
        <v>33</v>
      </c>
      <c r="DD9" s="2" t="s">
        <v>34</v>
      </c>
      <c r="DE9" s="2" t="s">
        <v>35</v>
      </c>
      <c r="DF9" s="22" t="s">
        <v>36</v>
      </c>
      <c r="DG9" s="22" t="s">
        <v>37</v>
      </c>
      <c r="DH9" s="22" t="s">
        <v>38</v>
      </c>
      <c r="DI9" s="23" t="s">
        <v>39</v>
      </c>
      <c r="DJ9" s="23" t="s">
        <v>40</v>
      </c>
      <c r="DK9" s="23" t="s">
        <v>41</v>
      </c>
      <c r="DL9" s="23" t="s">
        <v>38</v>
      </c>
      <c r="DM9" s="3" t="s">
        <v>42</v>
      </c>
      <c r="DN9" s="3" t="s">
        <v>43</v>
      </c>
      <c r="DO9" s="3" t="s">
        <v>44</v>
      </c>
      <c r="DP9" s="24" t="s">
        <v>45</v>
      </c>
      <c r="DQ9" s="24" t="s">
        <v>46</v>
      </c>
      <c r="DR9" s="24" t="s">
        <v>38</v>
      </c>
      <c r="DS9" s="41"/>
      <c r="DT9" s="41"/>
      <c r="DU9" s="13" t="s">
        <v>57</v>
      </c>
      <c r="DV9" s="13" t="s">
        <v>65</v>
      </c>
      <c r="DW9" s="89"/>
      <c r="DX9" s="89"/>
      <c r="DY9" s="89"/>
      <c r="DZ9" s="89"/>
    </row>
    <row r="10" spans="1:217" ht="69" customHeight="1" x14ac:dyDescent="0.25">
      <c r="A10" s="32" t="s">
        <v>82</v>
      </c>
      <c r="B10" s="32" t="s">
        <v>83</v>
      </c>
      <c r="C10" s="4">
        <v>121</v>
      </c>
      <c r="D10" s="4">
        <v>121</v>
      </c>
      <c r="E10" s="4" t="s">
        <v>84</v>
      </c>
      <c r="F10" s="4" t="s">
        <v>86</v>
      </c>
      <c r="G10" s="4">
        <f>36+21+1+7+8+88</f>
        <v>161</v>
      </c>
      <c r="H10" s="4"/>
      <c r="I10" s="4"/>
      <c r="J10" s="4">
        <f>48+165</f>
        <v>213</v>
      </c>
      <c r="K10" s="4">
        <f>87+244</f>
        <v>331</v>
      </c>
      <c r="L10" s="4">
        <f>15</f>
        <v>15</v>
      </c>
      <c r="M10" s="4">
        <f>15+26+15+34</f>
        <v>90</v>
      </c>
      <c r="N10" s="4">
        <f>216+1+5</f>
        <v>222</v>
      </c>
      <c r="O10" s="4">
        <f>71+39+37+15+35+224+15+41+150+203+274+220+247+2</f>
        <v>1573</v>
      </c>
      <c r="P10" s="4">
        <f>7+22+50+24+31+9+69+24+26+6</f>
        <v>268</v>
      </c>
      <c r="Q10" s="4">
        <f>9+150+114+113+117+65+196+90+238+211+199+42</f>
        <v>1544</v>
      </c>
      <c r="R10" s="4">
        <f>4</f>
        <v>4</v>
      </c>
      <c r="S10" s="4">
        <f>1+5</f>
        <v>6</v>
      </c>
      <c r="T10" s="4">
        <f>J10+L10+N10+P10+R10</f>
        <v>722</v>
      </c>
      <c r="U10" s="4">
        <f>K10+M10+O10+Q10+S10</f>
        <v>3544</v>
      </c>
      <c r="V10" s="4"/>
      <c r="W10" s="4"/>
      <c r="X10" s="4">
        <f>5+10+20+81+23+14+28+16</f>
        <v>197</v>
      </c>
      <c r="Y10" s="4"/>
      <c r="Z10" s="4">
        <f>T10+U10-X10</f>
        <v>4069</v>
      </c>
      <c r="AA10" s="4"/>
      <c r="AB10" s="4"/>
      <c r="AC10" s="4">
        <f>8+40+49+44+4+91+42</f>
        <v>278</v>
      </c>
      <c r="AD10" s="4">
        <f>83+148+150+254+96+413+150+450+228+371+600+478+474</f>
        <v>3895</v>
      </c>
      <c r="AE10" s="4">
        <f>289+2+4+60</f>
        <v>355</v>
      </c>
      <c r="AF10" s="4">
        <f>16</f>
        <v>16</v>
      </c>
      <c r="AG10" s="33">
        <v>372</v>
      </c>
      <c r="AH10" s="33">
        <v>372</v>
      </c>
      <c r="AI10" s="4" t="s">
        <v>84</v>
      </c>
      <c r="AJ10" s="4" t="s">
        <v>86</v>
      </c>
      <c r="AK10" s="4"/>
      <c r="AL10" s="4"/>
      <c r="AM10" s="4"/>
      <c r="AN10" s="4">
        <f>20+70+42+117</f>
        <v>249</v>
      </c>
      <c r="AO10" s="4">
        <f>134+82+302+248</f>
        <v>766</v>
      </c>
      <c r="AP10" s="4">
        <f>32+10+1+184+3+2+2+9+6+7+1+8+1+149+192+45+33+69+9+5+113+111</f>
        <v>992</v>
      </c>
      <c r="AQ10" s="4">
        <f>25+7+3+190+5+72+2+17+3+156+228+43+201+125+10+9+12+21+183+324</f>
        <v>1636</v>
      </c>
      <c r="AR10" s="4">
        <f>8+37+1+6+31+253+244+38+59+28+2+10+208+2+17+13+11+31+124+2+5+5+7+24</f>
        <v>1166</v>
      </c>
      <c r="AS10" s="4">
        <f>30+85+25+15+75+119+102+12+25+100+20+33+46+24+15+296+17+57+1+1+110+88+42+120</f>
        <v>1458</v>
      </c>
      <c r="AT10" s="4">
        <f>30+75+12+29+25+89+90+65+40+175+135+110+10+145+8+17+4+20+4+24+7+18+5+66+88</f>
        <v>1291</v>
      </c>
      <c r="AU10" s="4">
        <f>121+154+13+38+23+162+172+25+240+204+17+229+7+23+5+168+166+120+103+120+42+17+80</f>
        <v>2249</v>
      </c>
      <c r="AV10" s="4">
        <f>8+39+17+3+24+50+19+1+1+35+6+9+10+1+2+5+9+17+30+54+32</f>
        <v>372</v>
      </c>
      <c r="AW10" s="4">
        <f>12+33+17+4+28+24+1+1+1+11+17+12+60+32+6+21+12+48+32</f>
        <v>372</v>
      </c>
      <c r="AX10" s="4">
        <f>AP10+AR10+AT10+AV10+AN10</f>
        <v>4070</v>
      </c>
      <c r="AY10" s="4">
        <f>AQ10+AS10+AU10+AW10+AO10</f>
        <v>6481</v>
      </c>
      <c r="AZ10" s="4"/>
      <c r="BA10" s="4">
        <f>1+1+2</f>
        <v>4</v>
      </c>
      <c r="BB10" s="4">
        <f>9+28+1+4+47+20+12+2+17+2+5+8+8+28+38</f>
        <v>229</v>
      </c>
      <c r="BC10" s="4">
        <f>1+2+1</f>
        <v>4</v>
      </c>
      <c r="BD10" s="4">
        <f>AX10+AY10-BA10-BB10-BC10</f>
        <v>10314</v>
      </c>
      <c r="BE10" s="4">
        <f>1+1+1+1+1+1+1+2</f>
        <v>9</v>
      </c>
      <c r="BF10" s="4">
        <f>2+3+5+9+1</f>
        <v>20</v>
      </c>
      <c r="BG10" s="4">
        <f>48+32+10+9+8+68+56+43+1+30+142+3+26+20+225+111+148+5+3+11+16+38+15+205+13+26+7+1+12+4</f>
        <v>1336</v>
      </c>
      <c r="BH10" s="4">
        <f>2288+444+437+346+448+120+100+418+420+240+240+216+237+200+238+200+240+236+100+117+120+119+640+800+225</f>
        <v>9189</v>
      </c>
      <c r="BI10" s="4">
        <f>838+6+13+14+2+360+2+24+3+2+4+3+1</f>
        <v>1272</v>
      </c>
      <c r="BJ10" s="4">
        <f>30+60</f>
        <v>90</v>
      </c>
      <c r="BK10" s="4">
        <v>56</v>
      </c>
      <c r="BL10" s="4">
        <v>56</v>
      </c>
      <c r="BM10" s="4" t="s">
        <v>85</v>
      </c>
      <c r="BN10" s="4" t="s">
        <v>86</v>
      </c>
      <c r="BO10" s="4">
        <f>80+60+1</f>
        <v>141</v>
      </c>
      <c r="BP10" s="4"/>
      <c r="BQ10" s="4"/>
      <c r="BR10" s="4"/>
      <c r="BS10" s="4"/>
      <c r="BT10" s="4">
        <f>92+104</f>
        <v>196</v>
      </c>
      <c r="BU10" s="4">
        <f>9+28+3+18+148+136</f>
        <v>342</v>
      </c>
      <c r="BV10" s="4">
        <f>20+9</f>
        <v>29</v>
      </c>
      <c r="BW10" s="4">
        <f>80+60+48+14+158+32</f>
        <v>392</v>
      </c>
      <c r="BX10" s="4">
        <f>46+17</f>
        <v>63</v>
      </c>
      <c r="BY10" s="4">
        <f>138+90+23+18+79+190</f>
        <v>538</v>
      </c>
      <c r="BZ10" s="4">
        <f>16+38</f>
        <v>54</v>
      </c>
      <c r="CA10" s="4">
        <f>20+26</f>
        <v>46</v>
      </c>
      <c r="CB10" s="4">
        <f>BR10+BT10+BV10+BX10+BZ10</f>
        <v>342</v>
      </c>
      <c r="CC10" s="4">
        <f>BS10+BU10+BW10+BY10+CA10</f>
        <v>1318</v>
      </c>
      <c r="CD10" s="4"/>
      <c r="CE10" s="4"/>
      <c r="CF10" s="4">
        <f>27+40+30+7</f>
        <v>104</v>
      </c>
      <c r="CG10" s="4"/>
      <c r="CH10" s="4">
        <f>CB10+CC10-CF10</f>
        <v>1556</v>
      </c>
      <c r="CI10" s="4">
        <f>1</f>
        <v>1</v>
      </c>
      <c r="CJ10" s="4"/>
      <c r="CK10" s="4">
        <f>34+66+15+5+10+2</f>
        <v>132</v>
      </c>
      <c r="CL10" s="4">
        <f>304+240+77+60+233+239+240+240</f>
        <v>1633</v>
      </c>
      <c r="CM10" s="4">
        <f>16+3+7+1</f>
        <v>27</v>
      </c>
      <c r="CN10" s="4"/>
      <c r="CO10" s="4">
        <v>54</v>
      </c>
      <c r="CP10" s="4">
        <v>54</v>
      </c>
      <c r="CQ10" s="4" t="s">
        <v>84</v>
      </c>
      <c r="CR10" s="4" t="s">
        <v>86</v>
      </c>
      <c r="CS10" s="4">
        <f>1</f>
        <v>1</v>
      </c>
      <c r="CT10" s="4"/>
      <c r="CU10" s="4"/>
      <c r="CV10" s="4"/>
      <c r="CW10" s="4"/>
      <c r="CX10" s="4">
        <f>162+38+22</f>
        <v>222</v>
      </c>
      <c r="CY10" s="4">
        <f>198+82+36</f>
        <v>316</v>
      </c>
      <c r="CZ10" s="4">
        <f>4+8+70</f>
        <v>82</v>
      </c>
      <c r="DA10" s="4">
        <f>56+10+108</f>
        <v>174</v>
      </c>
      <c r="DB10" s="4">
        <f>13+138</f>
        <v>151</v>
      </c>
      <c r="DC10" s="4">
        <f>53+81+147</f>
        <v>281</v>
      </c>
      <c r="DD10" s="4">
        <f>6+37</f>
        <v>43</v>
      </c>
      <c r="DE10" s="4">
        <f>7+2+42</f>
        <v>51</v>
      </c>
      <c r="DF10" s="4">
        <f>CX10+CZ10+DB10+DD10</f>
        <v>498</v>
      </c>
      <c r="DG10" s="4">
        <f>CY10+DA10+DC10+DE10</f>
        <v>822</v>
      </c>
      <c r="DH10" s="4"/>
      <c r="DI10" s="4"/>
      <c r="DJ10" s="4">
        <f>16+50</f>
        <v>66</v>
      </c>
      <c r="DK10" s="4"/>
      <c r="DL10" s="4">
        <f>DF10+DG10-DJ10</f>
        <v>1254</v>
      </c>
      <c r="DM10" s="4"/>
      <c r="DN10" s="4"/>
      <c r="DO10" s="4">
        <f>14+58</f>
        <v>72</v>
      </c>
      <c r="DP10" s="4">
        <f>60+360+240+558</f>
        <v>1218</v>
      </c>
      <c r="DQ10" s="4">
        <f>60+42</f>
        <v>102</v>
      </c>
      <c r="DR10" s="4"/>
      <c r="DS10" s="35">
        <v>44</v>
      </c>
      <c r="DT10" s="35">
        <v>44</v>
      </c>
      <c r="DU10" s="37" t="s">
        <v>85</v>
      </c>
      <c r="DV10" s="37"/>
      <c r="DW10" s="38" t="s">
        <v>87</v>
      </c>
      <c r="DX10" s="38">
        <v>3.5</v>
      </c>
      <c r="DY10" s="39">
        <v>4465462</v>
      </c>
      <c r="DZ10" s="39">
        <v>15629117</v>
      </c>
    </row>
    <row r="11" spans="1:217" ht="27.75" customHeight="1" x14ac:dyDescent="0.3">
      <c r="C11" s="59"/>
      <c r="D11" s="60"/>
      <c r="DS11" s="35">
        <v>52</v>
      </c>
      <c r="DT11" s="35">
        <v>52</v>
      </c>
      <c r="DU11" s="37"/>
      <c r="DV11" s="38" t="s">
        <v>86</v>
      </c>
      <c r="DW11" s="38" t="s">
        <v>87</v>
      </c>
      <c r="DX11" s="38">
        <v>3.5</v>
      </c>
      <c r="DY11" s="39">
        <v>4465462</v>
      </c>
      <c r="DZ11" s="39">
        <v>15629117</v>
      </c>
    </row>
    <row r="12" spans="1:217" ht="27.75" customHeight="1" x14ac:dyDescent="0.3">
      <c r="C12" s="60"/>
      <c r="D12" s="60"/>
      <c r="DS12" s="35">
        <v>110</v>
      </c>
      <c r="DT12" s="35">
        <v>110</v>
      </c>
      <c r="DU12" s="34" t="s">
        <v>85</v>
      </c>
      <c r="DV12" s="34"/>
      <c r="DW12" s="35" t="s">
        <v>89</v>
      </c>
      <c r="DX12" s="35">
        <v>3.5</v>
      </c>
      <c r="DY12" s="36">
        <v>4465462</v>
      </c>
      <c r="DZ12" s="36">
        <v>15629117</v>
      </c>
    </row>
    <row r="13" spans="1:217" s="5" customFormat="1" ht="27.75" customHeight="1" x14ac:dyDescent="0.3">
      <c r="A13"/>
      <c r="B13"/>
      <c r="C13" s="60"/>
      <c r="D13" s="60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/>
      <c r="AH13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/>
      <c r="BL13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/>
      <c r="CP13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35">
        <v>110</v>
      </c>
      <c r="DT13" s="35">
        <v>110</v>
      </c>
      <c r="DU13" s="34"/>
      <c r="DV13" s="35" t="s">
        <v>86</v>
      </c>
      <c r="DW13" s="35" t="s">
        <v>91</v>
      </c>
      <c r="DX13" s="35">
        <v>3.5</v>
      </c>
      <c r="DY13" s="36">
        <v>4465462</v>
      </c>
      <c r="DZ13" s="36">
        <v>15629117</v>
      </c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</row>
    <row r="14" spans="1:217" x14ac:dyDescent="0.3">
      <c r="C14" s="60"/>
      <c r="D14" s="60"/>
      <c r="DS14" s="35">
        <v>63</v>
      </c>
      <c r="DT14" s="35">
        <v>63</v>
      </c>
      <c r="DU14" s="34" t="s">
        <v>85</v>
      </c>
      <c r="DV14" s="34"/>
      <c r="DW14" s="35" t="s">
        <v>88</v>
      </c>
      <c r="DX14" s="35">
        <v>3.5</v>
      </c>
      <c r="DY14" s="36">
        <v>4465462</v>
      </c>
      <c r="DZ14" s="36">
        <v>15629117</v>
      </c>
    </row>
    <row r="15" spans="1:217" x14ac:dyDescent="0.3">
      <c r="C15" s="60"/>
      <c r="D15" s="60"/>
      <c r="DS15" s="35">
        <v>59</v>
      </c>
      <c r="DT15" s="35">
        <v>59</v>
      </c>
      <c r="DU15" s="34"/>
      <c r="DV15" s="35" t="s">
        <v>86</v>
      </c>
      <c r="DW15" s="35" t="s">
        <v>92</v>
      </c>
      <c r="DX15" s="35">
        <v>3.5</v>
      </c>
      <c r="DY15" s="36">
        <v>4465462</v>
      </c>
      <c r="DZ15" s="36">
        <v>15629117</v>
      </c>
    </row>
    <row r="16" spans="1:217" x14ac:dyDescent="0.3">
      <c r="C16" s="60"/>
      <c r="D16" s="60"/>
      <c r="DS16" s="35" t="s">
        <v>98</v>
      </c>
      <c r="DT16" s="35" t="s">
        <v>98</v>
      </c>
      <c r="DU16" s="34" t="s">
        <v>85</v>
      </c>
      <c r="DV16" s="34"/>
      <c r="DW16" s="35" t="s">
        <v>90</v>
      </c>
      <c r="DX16" s="35">
        <v>3.5</v>
      </c>
      <c r="DY16" s="36">
        <v>2115218</v>
      </c>
      <c r="DZ16" s="36">
        <v>29613052</v>
      </c>
    </row>
    <row r="17" spans="3:130" x14ac:dyDescent="0.3">
      <c r="C17" s="60"/>
      <c r="D17" s="60"/>
      <c r="DS17" s="35" t="s">
        <v>98</v>
      </c>
      <c r="DT17" s="35" t="s">
        <v>98</v>
      </c>
      <c r="DU17" s="34"/>
      <c r="DV17" s="35" t="s">
        <v>86</v>
      </c>
      <c r="DW17" s="35" t="s">
        <v>93</v>
      </c>
      <c r="DX17" s="35">
        <v>3.5</v>
      </c>
      <c r="DY17" s="36">
        <v>2115218</v>
      </c>
      <c r="DZ17" s="36">
        <v>29613052</v>
      </c>
    </row>
    <row r="18" spans="3:130" x14ac:dyDescent="0.3">
      <c r="C18" s="60"/>
      <c r="D18" s="60"/>
      <c r="DS18" s="35">
        <v>106</v>
      </c>
      <c r="DT18" s="35">
        <v>106</v>
      </c>
      <c r="DU18" s="34" t="s">
        <v>85</v>
      </c>
      <c r="DV18" s="35" t="s">
        <v>86</v>
      </c>
      <c r="DW18" s="35" t="s">
        <v>94</v>
      </c>
      <c r="DX18" s="35">
        <v>3.5</v>
      </c>
      <c r="DY18" s="36">
        <v>4465462</v>
      </c>
      <c r="DZ18" s="36">
        <v>15629117</v>
      </c>
    </row>
    <row r="19" spans="3:130" x14ac:dyDescent="0.3">
      <c r="C19" s="60"/>
      <c r="D19" s="60"/>
      <c r="DS19" s="35">
        <v>32</v>
      </c>
      <c r="DT19" s="35">
        <v>32</v>
      </c>
      <c r="DU19" s="34" t="s">
        <v>85</v>
      </c>
      <c r="DV19" s="35" t="s">
        <v>86</v>
      </c>
      <c r="DW19" s="35" t="s">
        <v>95</v>
      </c>
      <c r="DX19" s="35">
        <v>3.5</v>
      </c>
      <c r="DY19" s="36">
        <v>4465462</v>
      </c>
      <c r="DZ19" s="36">
        <v>15629117</v>
      </c>
    </row>
    <row r="20" spans="3:130" x14ac:dyDescent="0.3">
      <c r="DS20" s="35">
        <v>30</v>
      </c>
      <c r="DT20" s="35">
        <v>30</v>
      </c>
      <c r="DU20" s="34" t="s">
        <v>85</v>
      </c>
      <c r="DV20" s="35" t="s">
        <v>86</v>
      </c>
      <c r="DW20" s="35" t="s">
        <v>96</v>
      </c>
      <c r="DX20" s="35">
        <v>3.5</v>
      </c>
      <c r="DY20" s="36">
        <v>4465462</v>
      </c>
      <c r="DZ20" s="36">
        <v>15629117</v>
      </c>
    </row>
    <row r="21" spans="3:130" x14ac:dyDescent="0.3">
      <c r="DS21" s="35">
        <v>64</v>
      </c>
      <c r="DT21" s="35">
        <v>64</v>
      </c>
      <c r="DU21" s="34" t="s">
        <v>85</v>
      </c>
      <c r="DV21" s="35" t="s">
        <v>86</v>
      </c>
      <c r="DW21" s="35" t="s">
        <v>97</v>
      </c>
      <c r="DX21" s="35">
        <v>3.5</v>
      </c>
      <c r="DY21" s="36">
        <v>2115218</v>
      </c>
      <c r="DZ21" s="36">
        <v>15629117</v>
      </c>
    </row>
  </sheetData>
  <protectedRanges>
    <protectedRange sqref="C13:D13 C19:D19 C16:D16" name="Rango1_1"/>
  </protectedRanges>
  <mergeCells count="80">
    <mergeCell ref="DW7:DW9"/>
    <mergeCell ref="DX7:DX9"/>
    <mergeCell ref="DY7:DY9"/>
    <mergeCell ref="DZ7:DZ9"/>
    <mergeCell ref="DS6:DZ6"/>
    <mergeCell ref="C3:DZ5"/>
    <mergeCell ref="C2:DZ2"/>
    <mergeCell ref="A1:DZ1"/>
    <mergeCell ref="A2:B2"/>
    <mergeCell ref="DS7:DS9"/>
    <mergeCell ref="DT7:DT9"/>
    <mergeCell ref="DU7:DV8"/>
    <mergeCell ref="E7:F8"/>
    <mergeCell ref="G7:AF7"/>
    <mergeCell ref="AG7:AG9"/>
    <mergeCell ref="AH7:AH9"/>
    <mergeCell ref="A3:A9"/>
    <mergeCell ref="B3:B9"/>
    <mergeCell ref="C6:AF6"/>
    <mergeCell ref="AG6:BJ6"/>
    <mergeCell ref="BK6:CN6"/>
    <mergeCell ref="CO6:DR6"/>
    <mergeCell ref="P8:Q8"/>
    <mergeCell ref="AN8:AO8"/>
    <mergeCell ref="AP8:AQ8"/>
    <mergeCell ref="AV8:AW8"/>
    <mergeCell ref="CX8:CY8"/>
    <mergeCell ref="CZ8:DA8"/>
    <mergeCell ref="DB8:DC8"/>
    <mergeCell ref="DD8:DE8"/>
    <mergeCell ref="DF8:DH8"/>
    <mergeCell ref="DI8:DL8"/>
    <mergeCell ref="DM8:DO8"/>
    <mergeCell ref="DP8:DR8"/>
    <mergeCell ref="CS8:CU8"/>
    <mergeCell ref="CV8:CW8"/>
    <mergeCell ref="CS7:DR7"/>
    <mergeCell ref="C11:C13"/>
    <mergeCell ref="D11:D13"/>
    <mergeCell ref="C14:C16"/>
    <mergeCell ref="D14:D16"/>
    <mergeCell ref="C17:C19"/>
    <mergeCell ref="D17:D19"/>
    <mergeCell ref="C7:C9"/>
    <mergeCell ref="D7:D9"/>
    <mergeCell ref="CQ7:CR8"/>
    <mergeCell ref="BZ8:CA8"/>
    <mergeCell ref="CB8:CD8"/>
    <mergeCell ref="CE8:CH8"/>
    <mergeCell ref="CI8:CK8"/>
    <mergeCell ref="CL8:CN8"/>
    <mergeCell ref="BO8:BQ8"/>
    <mergeCell ref="BR8:BS8"/>
    <mergeCell ref="BT8:BU8"/>
    <mergeCell ref="BV8:BW8"/>
    <mergeCell ref="BX8:BY8"/>
    <mergeCell ref="AI7:AJ8"/>
    <mergeCell ref="AK7:BJ7"/>
    <mergeCell ref="G8:I8"/>
    <mergeCell ref="J8:K8"/>
    <mergeCell ref="BL7:BL9"/>
    <mergeCell ref="BM7:BN8"/>
    <mergeCell ref="BO7:CN7"/>
    <mergeCell ref="CO7:CO9"/>
    <mergeCell ref="CP7:CP9"/>
    <mergeCell ref="L8:M8"/>
    <mergeCell ref="N8:O8"/>
    <mergeCell ref="BK7:BK9"/>
    <mergeCell ref="AK8:AM8"/>
    <mergeCell ref="AX8:AZ8"/>
    <mergeCell ref="BA8:BD8"/>
    <mergeCell ref="BE8:BG8"/>
    <mergeCell ref="BH8:BJ8"/>
    <mergeCell ref="AR8:AS8"/>
    <mergeCell ref="AT8:AU8"/>
    <mergeCell ref="R8:S8"/>
    <mergeCell ref="T8:V8"/>
    <mergeCell ref="W8:Z8"/>
    <mergeCell ref="AA8:AC8"/>
    <mergeCell ref="AD8:AF8"/>
  </mergeCells>
  <phoneticPr fontId="17" type="noConversion"/>
  <pageMargins left="0.7" right="0.7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</sheetPr>
  <dimension ref="A2:DV14"/>
  <sheetViews>
    <sheetView showGridLines="0" topLeftCell="A5" zoomScale="70" zoomScaleNormal="70" workbookViewId="0">
      <selection activeCell="H33" sqref="H33"/>
    </sheetView>
  </sheetViews>
  <sheetFormatPr baseColWidth="10" defaultRowHeight="15" x14ac:dyDescent="0.25"/>
  <cols>
    <col min="1" max="3" width="11.42578125" customWidth="1"/>
    <col min="12" max="31" width="10.85546875" customWidth="1"/>
    <col min="32" max="36" width="10.85546875" hidden="1" customWidth="1"/>
    <col min="37" max="41" width="10.85546875" customWidth="1"/>
    <col min="45" max="45" width="24.28515625" customWidth="1"/>
  </cols>
  <sheetData>
    <row r="2" spans="1:126" ht="16.5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</row>
    <row r="3" spans="1:126" ht="16.5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126" ht="45.75" customHeight="1" x14ac:dyDescent="0.25">
      <c r="A4" s="98" t="s">
        <v>56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100"/>
    </row>
    <row r="5" spans="1:126" ht="72.75" customHeight="1" x14ac:dyDescent="0.25">
      <c r="A5" s="94" t="s">
        <v>2</v>
      </c>
      <c r="B5" s="94" t="s">
        <v>48</v>
      </c>
      <c r="C5" s="94" t="s">
        <v>3</v>
      </c>
      <c r="D5" s="94" t="s">
        <v>4</v>
      </c>
      <c r="E5" s="94" t="s">
        <v>58</v>
      </c>
      <c r="F5" s="94" t="s">
        <v>5</v>
      </c>
      <c r="G5" s="94" t="s">
        <v>6</v>
      </c>
      <c r="H5" s="94" t="s">
        <v>7</v>
      </c>
      <c r="I5" s="94" t="s">
        <v>50</v>
      </c>
      <c r="J5" s="94" t="s">
        <v>51</v>
      </c>
      <c r="K5" s="94" t="s">
        <v>21</v>
      </c>
      <c r="L5" s="95" t="s">
        <v>77</v>
      </c>
      <c r="M5" s="95"/>
      <c r="N5" s="95"/>
      <c r="O5" s="95"/>
      <c r="P5" s="95"/>
      <c r="Q5" s="96" t="s">
        <v>78</v>
      </c>
      <c r="R5" s="96"/>
      <c r="S5" s="96"/>
      <c r="T5" s="96"/>
      <c r="U5" s="96"/>
      <c r="V5" s="97" t="s">
        <v>79</v>
      </c>
      <c r="W5" s="97"/>
      <c r="X5" s="97"/>
      <c r="Y5" s="97"/>
      <c r="Z5" s="97"/>
      <c r="AA5" s="102" t="s">
        <v>80</v>
      </c>
      <c r="AB5" s="102"/>
      <c r="AC5" s="102"/>
      <c r="AD5" s="102"/>
      <c r="AE5" s="102"/>
      <c r="AF5" s="92" t="s">
        <v>70</v>
      </c>
      <c r="AG5" s="92"/>
      <c r="AH5" s="92"/>
      <c r="AI5" s="92"/>
      <c r="AJ5" s="92"/>
      <c r="AK5" s="101" t="s">
        <v>81</v>
      </c>
      <c r="AL5" s="101"/>
      <c r="AM5" s="101"/>
      <c r="AN5" s="101"/>
      <c r="AO5" s="101"/>
    </row>
    <row r="6" spans="1:126" ht="15" customHeight="1" x14ac:dyDescent="0.2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 t="s">
        <v>64</v>
      </c>
      <c r="M6" s="93" t="s">
        <v>20</v>
      </c>
      <c r="N6" s="93" t="s">
        <v>52</v>
      </c>
      <c r="O6" s="93" t="s">
        <v>21</v>
      </c>
      <c r="P6" s="93" t="s">
        <v>22</v>
      </c>
      <c r="Q6" s="93" t="s">
        <v>64</v>
      </c>
      <c r="R6" s="93" t="s">
        <v>20</v>
      </c>
      <c r="S6" s="93" t="s">
        <v>52</v>
      </c>
      <c r="T6" s="93" t="s">
        <v>21</v>
      </c>
      <c r="U6" s="93" t="s">
        <v>22</v>
      </c>
      <c r="V6" s="93" t="s">
        <v>64</v>
      </c>
      <c r="W6" s="93" t="s">
        <v>20</v>
      </c>
      <c r="X6" s="93" t="s">
        <v>52</v>
      </c>
      <c r="Y6" s="93" t="s">
        <v>21</v>
      </c>
      <c r="Z6" s="93" t="s">
        <v>22</v>
      </c>
      <c r="AA6" s="93" t="s">
        <v>64</v>
      </c>
      <c r="AB6" s="93" t="s">
        <v>20</v>
      </c>
      <c r="AC6" s="93" t="s">
        <v>52</v>
      </c>
      <c r="AD6" s="93" t="s">
        <v>21</v>
      </c>
      <c r="AE6" s="93" t="s">
        <v>22</v>
      </c>
      <c r="AF6" s="93" t="s">
        <v>64</v>
      </c>
      <c r="AG6" s="93" t="s">
        <v>20</v>
      </c>
      <c r="AH6" s="93" t="s">
        <v>52</v>
      </c>
      <c r="AI6" s="93" t="s">
        <v>21</v>
      </c>
      <c r="AJ6" s="93" t="s">
        <v>22</v>
      </c>
      <c r="AK6" s="93" t="s">
        <v>64</v>
      </c>
      <c r="AL6" s="93" t="s">
        <v>20</v>
      </c>
      <c r="AM6" s="93" t="s">
        <v>52</v>
      </c>
      <c r="AN6" s="93" t="s">
        <v>21</v>
      </c>
      <c r="AO6" s="93" t="s">
        <v>22</v>
      </c>
    </row>
    <row r="7" spans="1:126" ht="103.5" customHeight="1" x14ac:dyDescent="0.25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</row>
    <row r="8" spans="1:126" ht="159.75" customHeight="1" x14ac:dyDescent="0.25">
      <c r="A8" s="20" t="s">
        <v>72</v>
      </c>
      <c r="B8" s="20" t="s">
        <v>73</v>
      </c>
      <c r="C8" s="21" t="s">
        <v>74</v>
      </c>
      <c r="D8" s="21" t="s">
        <v>71</v>
      </c>
      <c r="E8" s="21" t="s">
        <v>76</v>
      </c>
      <c r="F8" s="21" t="s">
        <v>76</v>
      </c>
      <c r="G8" s="21" t="s">
        <v>75</v>
      </c>
      <c r="H8" s="28">
        <v>550000000</v>
      </c>
      <c r="I8" s="27">
        <v>0.4</v>
      </c>
      <c r="J8" s="29">
        <f>H8*I8</f>
        <v>220000000</v>
      </c>
      <c r="K8" s="29">
        <v>220000000</v>
      </c>
      <c r="L8" s="28">
        <f>16074050</f>
        <v>16074050</v>
      </c>
      <c r="M8" s="28">
        <f>L8*0.9</f>
        <v>14466645</v>
      </c>
      <c r="N8" s="21">
        <f>L8-M8</f>
        <v>1607405</v>
      </c>
      <c r="O8" s="31">
        <f>L8*0.4</f>
        <v>6429620</v>
      </c>
      <c r="P8" s="27">
        <f>M8/L8</f>
        <v>0.9</v>
      </c>
      <c r="Q8" s="28">
        <f>69649296+95992366</f>
        <v>165641662</v>
      </c>
      <c r="R8" s="28">
        <f>Q8*0.9</f>
        <v>149077495.80000001</v>
      </c>
      <c r="S8" s="21">
        <f>Q8-R8</f>
        <v>16564166.199999988</v>
      </c>
      <c r="T8" s="31">
        <f>Q8*0.4</f>
        <v>66256664.800000004</v>
      </c>
      <c r="U8" s="27">
        <f>R8/Q8</f>
        <v>0.9</v>
      </c>
      <c r="V8" s="28">
        <v>31397692</v>
      </c>
      <c r="W8" s="28">
        <f>V8*0.9</f>
        <v>28257922.800000001</v>
      </c>
      <c r="X8" s="21">
        <f>V8-W8</f>
        <v>3139769.1999999993</v>
      </c>
      <c r="Y8" s="31">
        <f>V8*0.4</f>
        <v>12559076.800000001</v>
      </c>
      <c r="Z8" s="27">
        <f>W8/V8</f>
        <v>0.9</v>
      </c>
      <c r="AA8" s="28">
        <v>19619831</v>
      </c>
      <c r="AB8" s="28">
        <f>AA8*0.9</f>
        <v>17657847.900000002</v>
      </c>
      <c r="AC8" s="21">
        <f>AA8-AB8</f>
        <v>1961983.0999999978</v>
      </c>
      <c r="AD8" s="31">
        <f>AA8*0.4</f>
        <v>7847932.4000000004</v>
      </c>
      <c r="AE8" s="27">
        <f>AB8/AA8</f>
        <v>0.90000000000000013</v>
      </c>
      <c r="AF8" s="28">
        <v>19619831</v>
      </c>
      <c r="AG8" s="28">
        <v>19619831</v>
      </c>
      <c r="AH8" s="21">
        <v>0</v>
      </c>
      <c r="AI8" s="28">
        <v>19619831</v>
      </c>
      <c r="AJ8" s="27">
        <f>AG8/AF8</f>
        <v>1</v>
      </c>
      <c r="AK8" s="28">
        <v>207291420</v>
      </c>
      <c r="AL8" s="28">
        <f>AK8*0.9</f>
        <v>186562278</v>
      </c>
      <c r="AM8" s="21">
        <f>AK8-AL8</f>
        <v>20729142</v>
      </c>
      <c r="AN8" s="31">
        <f>AK8*0.4</f>
        <v>82916568</v>
      </c>
      <c r="AO8" s="27">
        <f>AL8/AK8</f>
        <v>0.9</v>
      </c>
      <c r="AS8" s="30"/>
    </row>
    <row r="9" spans="1:126" ht="29.25" customHeight="1" x14ac:dyDescent="0.3">
      <c r="A9" s="14"/>
      <c r="B9" s="15"/>
      <c r="C9" s="16"/>
      <c r="D9" s="16"/>
      <c r="E9" s="17"/>
      <c r="F9" s="17"/>
      <c r="G9" s="17"/>
      <c r="H9" s="17"/>
      <c r="I9" s="17"/>
      <c r="J9" s="18"/>
      <c r="K9" s="19"/>
      <c r="L9" s="19"/>
      <c r="M9" s="19"/>
      <c r="N9" s="19"/>
      <c r="O9" s="18"/>
      <c r="P9" s="19"/>
      <c r="Q9" s="19"/>
      <c r="R9" s="19"/>
      <c r="S9" s="19"/>
      <c r="T9" s="18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</row>
    <row r="10" spans="1:126" s="5" customFormat="1" ht="29.25" customHeight="1" x14ac:dyDescent="0.3">
      <c r="A10" s="9"/>
      <c r="B10" s="10"/>
      <c r="C10" s="8"/>
      <c r="D10" s="8"/>
      <c r="E10" s="7"/>
      <c r="F10" s="7"/>
      <c r="G10" s="7"/>
      <c r="H10" s="7"/>
      <c r="I10" s="7"/>
      <c r="J10" s="11"/>
      <c r="K10" s="12"/>
      <c r="L10" s="12"/>
      <c r="M10" s="12"/>
      <c r="N10" s="12"/>
      <c r="O10" s="11"/>
      <c r="P10" s="12"/>
      <c r="Q10" s="12"/>
      <c r="R10" s="12"/>
      <c r="S10" s="12"/>
      <c r="T10" s="11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</row>
    <row r="11" spans="1:126" s="5" customFormat="1" ht="29.25" hidden="1" customHeight="1" x14ac:dyDescent="0.25"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</row>
    <row r="12" spans="1:126" s="5" customFormat="1" ht="29.25" hidden="1" customHeight="1" x14ac:dyDescent="0.25"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</row>
    <row r="13" spans="1:126" s="5" customFormat="1" ht="29.25" hidden="1" customHeight="1" x14ac:dyDescent="0.25"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</row>
    <row r="14" spans="1:126" s="5" customFormat="1" ht="29.25" hidden="1" customHeight="1" x14ac:dyDescent="0.25"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</row>
  </sheetData>
  <protectedRanges>
    <protectedRange sqref="C10:I10" name="Rango1_1_5"/>
  </protectedRanges>
  <mergeCells count="48">
    <mergeCell ref="A4:AO4"/>
    <mergeCell ref="AK5:AO5"/>
    <mergeCell ref="AK6:AK7"/>
    <mergeCell ref="AL6:AL7"/>
    <mergeCell ref="AM6:AM7"/>
    <mergeCell ref="AN6:AN7"/>
    <mergeCell ref="AO6:AO7"/>
    <mergeCell ref="R6:R7"/>
    <mergeCell ref="S6:S7"/>
    <mergeCell ref="T6:T7"/>
    <mergeCell ref="X6:X7"/>
    <mergeCell ref="Y6:Y7"/>
    <mergeCell ref="Z6:Z7"/>
    <mergeCell ref="H5:H7"/>
    <mergeCell ref="I5:I7"/>
    <mergeCell ref="AA5:AE5"/>
    <mergeCell ref="L5:P5"/>
    <mergeCell ref="Q5:U5"/>
    <mergeCell ref="V5:Z5"/>
    <mergeCell ref="J5:J7"/>
    <mergeCell ref="K5:K7"/>
    <mergeCell ref="U6:U7"/>
    <mergeCell ref="O6:O7"/>
    <mergeCell ref="P6:P7"/>
    <mergeCell ref="Q6:Q7"/>
    <mergeCell ref="AD6:AD7"/>
    <mergeCell ref="AE6:AE7"/>
    <mergeCell ref="V6:V7"/>
    <mergeCell ref="W6:W7"/>
    <mergeCell ref="L6:L7"/>
    <mergeCell ref="M6:M7"/>
    <mergeCell ref="N6:N7"/>
    <mergeCell ref="AA6:AA7"/>
    <mergeCell ref="AB6:AB7"/>
    <mergeCell ref="AC6:AC7"/>
    <mergeCell ref="F5:F7"/>
    <mergeCell ref="G5:G7"/>
    <mergeCell ref="A5:A7"/>
    <mergeCell ref="B5:B7"/>
    <mergeCell ref="C5:C7"/>
    <mergeCell ref="D5:D7"/>
    <mergeCell ref="E5:E7"/>
    <mergeCell ref="AF5:AJ5"/>
    <mergeCell ref="AF6:AF7"/>
    <mergeCell ref="AG6:AG7"/>
    <mergeCell ref="AH6:AH7"/>
    <mergeCell ref="AI6:AI7"/>
    <mergeCell ref="AJ6:AJ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OPERATIVA</vt:lpstr>
      <vt:lpstr>INFORME FINANCIERO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CAROLA</dc:creator>
  <cp:lastModifiedBy>Llz 48z</cp:lastModifiedBy>
  <dcterms:created xsi:type="dcterms:W3CDTF">2023-06-01T16:52:14Z</dcterms:created>
  <dcterms:modified xsi:type="dcterms:W3CDTF">2025-01-31T05:43:02Z</dcterms:modified>
</cp:coreProperties>
</file>