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\Desktop\4. La Calera\Proceso 2025\Version 7 febrero\"/>
    </mc:Choice>
  </mc:AlternateContent>
  <xr:revisionPtr revIDLastSave="0" documentId="8_{22F323A6-62E1-4010-B512-427D0C359863}" xr6:coauthVersionLast="47" xr6:coauthVersionMax="47" xr10:uidLastSave="{00000000-0000-0000-0000-000000000000}"/>
  <bookViews>
    <workbookView xWindow="-110" yWindow="-110" windowWidth="19420" windowHeight="10300" activeTab="1" xr2:uid="{6D969CF0-9CAC-44EE-A6CD-699E7458BC2A}"/>
  </bookViews>
  <sheets>
    <sheet name="TARIFAS 2025 " sheetId="4" r:id="rId1"/>
    <sheet name="Presupuesto" sheetId="5" r:id="rId2"/>
  </sheets>
  <definedNames>
    <definedName name="_xlnm._FilterDatabase" localSheetId="0" hidden="1">'TARIFAS 2025 '!$A$3:$E$26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5" l="1"/>
  <c r="F54" i="5"/>
  <c r="F55" i="5" s="1"/>
  <c r="F56" i="5" s="1"/>
  <c r="F52" i="5"/>
  <c r="F36" i="5"/>
  <c r="F2" i="5"/>
  <c r="F18" i="5"/>
  <c r="E2" i="5"/>
  <c r="E36" i="5" s="1"/>
  <c r="H52" i="5"/>
  <c r="G52" i="5"/>
  <c r="E52" i="5"/>
  <c r="D52" i="5"/>
  <c r="B18" i="4"/>
  <c r="H54" i="5" s="1"/>
  <c r="B14" i="4"/>
  <c r="D54" i="5" s="1"/>
  <c r="B17" i="4"/>
  <c r="G54" i="5" s="1"/>
  <c r="G55" i="5" s="1"/>
  <c r="B16" i="4"/>
  <c r="D21" i="4"/>
  <c r="B15" i="4" s="1"/>
  <c r="E54" i="5" s="1"/>
  <c r="C21" i="4"/>
  <c r="B4" i="4" s="1"/>
  <c r="C32" i="4"/>
  <c r="G2" i="5"/>
  <c r="G36" i="5" s="1"/>
  <c r="H2" i="5"/>
  <c r="H36" i="5" s="1"/>
  <c r="D2" i="5"/>
  <c r="D36" i="5" s="1"/>
  <c r="H18" i="5"/>
  <c r="G18" i="5"/>
  <c r="E18" i="5"/>
  <c r="D18" i="5"/>
  <c r="C35" i="4"/>
  <c r="C34" i="4"/>
  <c r="C33" i="4"/>
  <c r="C30" i="4"/>
  <c r="C29" i="4"/>
  <c r="C28" i="4"/>
  <c r="F60" i="5" l="1"/>
  <c r="F59" i="5"/>
  <c r="F57" i="5"/>
  <c r="F21" i="5"/>
  <c r="F25" i="5" s="1"/>
  <c r="B8" i="4"/>
  <c r="G56" i="5"/>
  <c r="G57" i="5" s="1"/>
  <c r="G59" i="5"/>
  <c r="H55" i="5"/>
  <c r="H59" i="5" s="1"/>
  <c r="D55" i="5"/>
  <c r="D59" i="5" s="1"/>
  <c r="E55" i="5"/>
  <c r="C16" i="4"/>
  <c r="H20" i="5"/>
  <c r="H21" i="5" s="1"/>
  <c r="H25" i="5" s="1"/>
  <c r="C15" i="4"/>
  <c r="D15" i="4"/>
  <c r="C4" i="4"/>
  <c r="B5" i="4"/>
  <c r="E20" i="5" s="1"/>
  <c r="B6" i="4"/>
  <c r="B7" i="4"/>
  <c r="H63" i="5" l="1"/>
  <c r="F61" i="5"/>
  <c r="F22" i="5"/>
  <c r="G60" i="5"/>
  <c r="G61" i="5" s="1"/>
  <c r="H56" i="5"/>
  <c r="H60" i="5" s="1"/>
  <c r="H61" i="5" s="1"/>
  <c r="E56" i="5"/>
  <c r="E60" i="5" s="1"/>
  <c r="D56" i="5"/>
  <c r="D60" i="5" s="1"/>
  <c r="E59" i="5"/>
  <c r="D16" i="4"/>
  <c r="E16" i="4" s="1"/>
  <c r="C14" i="4"/>
  <c r="C17" i="4"/>
  <c r="D17" i="4" s="1"/>
  <c r="C18" i="4"/>
  <c r="D18" i="4" s="1"/>
  <c r="E15" i="4"/>
  <c r="C7" i="4"/>
  <c r="D7" i="4" s="1"/>
  <c r="E7" i="4" s="1"/>
  <c r="G20" i="5"/>
  <c r="G21" i="5" s="1"/>
  <c r="G22" i="5" s="1"/>
  <c r="E21" i="5"/>
  <c r="E25" i="5" s="1"/>
  <c r="D20" i="5"/>
  <c r="D4" i="4"/>
  <c r="E4" i="4" s="1"/>
  <c r="H22" i="5"/>
  <c r="H26" i="5" s="1"/>
  <c r="H27" i="5" s="1"/>
  <c r="C6" i="4"/>
  <c r="C5" i="4"/>
  <c r="D5" i="4" s="1"/>
  <c r="E5" i="4" s="1"/>
  <c r="C8" i="4"/>
  <c r="H64" i="5" l="1"/>
  <c r="H65" i="5" s="1"/>
  <c r="F23" i="5"/>
  <c r="F26" i="5"/>
  <c r="H57" i="5"/>
  <c r="D57" i="5"/>
  <c r="E57" i="5"/>
  <c r="E61" i="5"/>
  <c r="D61" i="5"/>
  <c r="D14" i="4"/>
  <c r="E14" i="4" s="1"/>
  <c r="E18" i="4"/>
  <c r="E17" i="4"/>
  <c r="G25" i="5"/>
  <c r="G26" i="5"/>
  <c r="G23" i="5"/>
  <c r="E22" i="5"/>
  <c r="E26" i="5" s="1"/>
  <c r="E27" i="5" s="1"/>
  <c r="D21" i="5"/>
  <c r="D22" i="5" s="1"/>
  <c r="H23" i="5"/>
  <c r="D6" i="4"/>
  <c r="E6" i="4" s="1"/>
  <c r="D8" i="4"/>
  <c r="E8" i="4" s="1"/>
  <c r="F27" i="5" l="1"/>
  <c r="C80" i="5"/>
  <c r="C76" i="5"/>
  <c r="C77" i="5"/>
  <c r="C78" i="5"/>
  <c r="C79" i="5"/>
  <c r="G27" i="5"/>
  <c r="D25" i="5"/>
  <c r="H29" i="5" s="1"/>
  <c r="D23" i="5"/>
  <c r="D26" i="5"/>
  <c r="H30" i="5" s="1"/>
  <c r="E23" i="5"/>
  <c r="D27" i="5" l="1"/>
  <c r="H31" i="5"/>
  <c r="C70" i="5" l="1"/>
  <c r="C71" i="5"/>
  <c r="C72" i="5"/>
  <c r="C73" i="5"/>
  <c r="C82" i="5" l="1"/>
  <c r="C87" i="5" s="1"/>
  <c r="C88" i="5" s="1"/>
</calcChain>
</file>

<file path=xl/sharedStrings.xml><?xml version="1.0" encoding="utf-8"?>
<sst xmlns="http://schemas.openxmlformats.org/spreadsheetml/2006/main" count="151" uniqueCount="75">
  <si>
    <t>SMMLV</t>
  </si>
  <si>
    <t>SUB TOTAL</t>
  </si>
  <si>
    <t>AYS</t>
  </si>
  <si>
    <t>IVA</t>
  </si>
  <si>
    <t>TOTAL</t>
  </si>
  <si>
    <t>CASA DE LA CULTURA</t>
  </si>
  <si>
    <t>ALCALDÍA DE LA CALERA</t>
  </si>
  <si>
    <t>HOGAR MÚLTIPLE</t>
  </si>
  <si>
    <t>SECRETARIA DE MEDIO AMBIENTE Y DESARROLLO RURAL</t>
  </si>
  <si>
    <t>CENTRAL DE MONITOREO</t>
  </si>
  <si>
    <t xml:space="preserve">SECRETARIA DE OBRAS PÚBLICAS </t>
  </si>
  <si>
    <t xml:space="preserve">SECRETARIA DE EDUCACIÓN </t>
  </si>
  <si>
    <t xml:space="preserve">COMISARIA DE FAMILIA </t>
  </si>
  <si>
    <t>CASA DEL ADULTO MAYOR</t>
  </si>
  <si>
    <t>VIVERO LA CALERA</t>
  </si>
  <si>
    <t>PLANEACIÓN</t>
  </si>
  <si>
    <t>I.E.D. INTEGRADO SEDE JUAN XXIII</t>
  </si>
  <si>
    <t>Descripción del Servicio</t>
  </si>
  <si>
    <t>Valor Mensual Unitario sin IVA y sin A.I.U.</t>
  </si>
  <si>
    <t xml:space="preserve">TOTAL MENSUAL </t>
  </si>
  <si>
    <t>PUESTO 24 HORAS TODOS LOS DÍAS CON ARMA</t>
  </si>
  <si>
    <t>PUESTO 24 HORAS TODOS LOS DÍAS SIN ARMA</t>
  </si>
  <si>
    <t>LUNES A VIERNES NO INCLUYE FESTIVOS</t>
  </si>
  <si>
    <t>LUNES A SÀBADO NO INCLUYE FESTIVOS</t>
  </si>
  <si>
    <t>LUNES A VIERNES INCLUYE FESTIVOS</t>
  </si>
  <si>
    <t>PUESTO 24 HORAS MONITOREO</t>
  </si>
  <si>
    <t>LUNES A SÀBADO INCLUYE FESTIVOS</t>
  </si>
  <si>
    <t>% 9 HORAS NOCTURNAS TODOS LOS DIAS</t>
  </si>
  <si>
    <t>% 8 HORAS NOCTURNAS TODOS LOS DIAS</t>
  </si>
  <si>
    <t>% 4 HORAS NOCTURNA TODOS LOS DIAS</t>
  </si>
  <si>
    <t>% 1 HORAS NOCTURNA TODOS LOS DIAS</t>
  </si>
  <si>
    <t>% 15 HORAS DIURNAS TODOS LOS DIAS</t>
  </si>
  <si>
    <t>% 7 HORAS DIURNO TODOS LOS DIAS</t>
  </si>
  <si>
    <t>% 4 HORAS DIURNAS TODOS LOS DIAS</t>
  </si>
  <si>
    <t>% 3 HORAS DIURNAS TODOS LOS DIAS</t>
  </si>
  <si>
    <t>MUNICIPIO</t>
  </si>
  <si>
    <t xml:space="preserve">TARIFAS </t>
  </si>
  <si>
    <t>IVA TOTAL</t>
  </si>
  <si>
    <t>TOTAL FACTURACION</t>
  </si>
  <si>
    <t>Tarifa minima</t>
  </si>
  <si>
    <t>poliza</t>
  </si>
  <si>
    <t>% 9 HORAS DIURNAS TODOS LOS DIAS</t>
  </si>
  <si>
    <t>PUESTO 9 HORAS DIURNAS LUNES A VIERNES NO INCLUYE FESTIVOS SIN ARMA</t>
  </si>
  <si>
    <t>LA CALERA</t>
  </si>
  <si>
    <t>SEDE</t>
  </si>
  <si>
    <t>TOTAL SERVICIOS</t>
  </si>
  <si>
    <t>Item</t>
  </si>
  <si>
    <t>PUESTO SUPERVISOR MOTORIZADO CON ARMA 24 HORAS TODOS LOS DIAS</t>
  </si>
  <si>
    <t>A.Y.S</t>
  </si>
  <si>
    <t>TARIFA PUESTOS DE VIGILANCIA 2025 - I SEMESTRE</t>
  </si>
  <si>
    <t>I SEMESTRE</t>
  </si>
  <si>
    <t>II SEMESTRE</t>
  </si>
  <si>
    <t>TARIFA PUESTOS DE VIGILANCIA 2025 - II SEMESTRE</t>
  </si>
  <si>
    <t>TARIFA MINIMA</t>
  </si>
  <si>
    <t>COSTOS DE SERVICIO DEL 14 DE JULIO AL 31 DE DICIEMBRE 2025</t>
  </si>
  <si>
    <t>COSTOS DE SERVICIO DEL 1 DE MARZO AL 14 DE JULIO 2025</t>
  </si>
  <si>
    <t>MARZO</t>
  </si>
  <si>
    <t>ABRIL</t>
  </si>
  <si>
    <t>JULIO 14</t>
  </si>
  <si>
    <t>JULIO 31</t>
  </si>
  <si>
    <t>AGOSTO</t>
  </si>
  <si>
    <t>SEPTIEMBRE</t>
  </si>
  <si>
    <t>OCTUBRE</t>
  </si>
  <si>
    <t>NOVIEMBRE</t>
  </si>
  <si>
    <t>DICIEMBRE</t>
  </si>
  <si>
    <t>JUNIO</t>
  </si>
  <si>
    <t>MAYO</t>
  </si>
  <si>
    <t>TOTAL COSTO CONTRATO</t>
  </si>
  <si>
    <t>DISPONIBILIDAD</t>
  </si>
  <si>
    <t>VALOR CONTYTRATO</t>
  </si>
  <si>
    <t>SALDO DISPONIBLE</t>
  </si>
  <si>
    <t>COSTO CONTRATO</t>
  </si>
  <si>
    <t>POLIDEPORTIVO</t>
  </si>
  <si>
    <t>ANTENA</t>
  </si>
  <si>
    <t>UNIDAD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</si>
</sst>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.0_);_(* \(#,##0.0\);_(* &quot;-&quot;??_);_(@_)"/>
    <numFmt numFmtId="166" formatCode="_(&quot;$&quot;\ * #,##0.00_);_(&quot;$&quot;\ * \(#,##0.00\);_(&quot;$&quot;\ * &quot;-&quot;??_);_(@_)"/>
    <numFmt numFmtId="167" formatCode="&quot;$&quot;\ #,##0"/>
    <numFmt numFmtId="168" formatCode="&quot;$&quot;\ #,##0.00"/>
    <numFmt numFmtId="169" formatCode="&quot;$&quot;\ #,##0.0"/>
    <numFmt numFmtId="170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 Narrow"/>
      <family val="2"/>
    </font>
    <font>
      <b/>
      <sz val="9"/>
      <color rgb="FF000000"/>
      <name val="Arial Narrow"/>
      <family val="2"/>
    </font>
    <font>
      <b/>
      <sz val="9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" fillId="0" borderId="0"/>
  </cellStyleXfs>
  <cellXfs count="193">
    <xf numFmtId="0" fontId="0" fillId="0" borderId="0" xfId="0"/>
    <xf numFmtId="0" fontId="0" fillId="0" borderId="10" xfId="0" applyBorder="1"/>
    <xf numFmtId="0" fontId="5" fillId="0" borderId="0" xfId="0" applyFont="1"/>
    <xf numFmtId="0" fontId="4" fillId="4" borderId="29" xfId="4" applyFont="1" applyFill="1" applyBorder="1" applyAlignment="1">
      <alignment horizontal="center" vertical="center" wrapText="1"/>
    </xf>
    <xf numFmtId="0" fontId="4" fillId="4" borderId="39" xfId="4" applyFont="1" applyFill="1" applyBorder="1" applyAlignment="1">
      <alignment horizontal="center" vertical="center" wrapText="1"/>
    </xf>
    <xf numFmtId="0" fontId="4" fillId="4" borderId="16" xfId="4" applyFont="1" applyFill="1" applyBorder="1" applyAlignment="1">
      <alignment horizontal="center" vertical="center" wrapText="1"/>
    </xf>
    <xf numFmtId="0" fontId="4" fillId="4" borderId="17" xfId="4" applyFont="1" applyFill="1" applyBorder="1" applyAlignment="1">
      <alignment horizontal="center" vertical="center" wrapText="1"/>
    </xf>
    <xf numFmtId="0" fontId="5" fillId="0" borderId="3" xfId="0" applyFont="1" applyBorder="1"/>
    <xf numFmtId="166" fontId="0" fillId="0" borderId="0" xfId="6" applyFont="1"/>
    <xf numFmtId="0" fontId="6" fillId="5" borderId="40" xfId="4" applyFont="1" applyFill="1" applyBorder="1"/>
    <xf numFmtId="167" fontId="5" fillId="2" borderId="6" xfId="5" applyNumberFormat="1" applyFont="1" applyFill="1" applyBorder="1" applyAlignment="1">
      <alignment horizontal="center" vertical="center"/>
    </xf>
    <xf numFmtId="168" fontId="5" fillId="2" borderId="23" xfId="5" applyNumberFormat="1" applyFont="1" applyFill="1" applyBorder="1" applyAlignment="1">
      <alignment horizontal="center" vertical="center"/>
    </xf>
    <xf numFmtId="169" fontId="5" fillId="2" borderId="1" xfId="5" applyNumberFormat="1" applyFont="1" applyFill="1" applyBorder="1" applyAlignment="1">
      <alignment horizontal="center" vertical="center"/>
    </xf>
    <xf numFmtId="167" fontId="5" fillId="2" borderId="23" xfId="5" applyNumberFormat="1" applyFont="1" applyFill="1" applyBorder="1" applyAlignment="1">
      <alignment horizontal="center" vertical="center"/>
    </xf>
    <xf numFmtId="0" fontId="6" fillId="5" borderId="41" xfId="4" applyFont="1" applyFill="1" applyBorder="1" applyAlignment="1">
      <alignment wrapText="1"/>
    </xf>
    <xf numFmtId="167" fontId="5" fillId="2" borderId="8" xfId="5" applyNumberFormat="1" applyFont="1" applyFill="1" applyBorder="1" applyAlignment="1">
      <alignment horizontal="center" vertical="center"/>
    </xf>
    <xf numFmtId="168" fontId="5" fillId="2" borderId="1" xfId="5" applyNumberFormat="1" applyFont="1" applyFill="1" applyBorder="1" applyAlignment="1">
      <alignment horizontal="center" vertical="center"/>
    </xf>
    <xf numFmtId="167" fontId="5" fillId="2" borderId="1" xfId="5" applyNumberFormat="1" applyFont="1" applyFill="1" applyBorder="1" applyAlignment="1">
      <alignment horizontal="center" vertical="center"/>
    </xf>
    <xf numFmtId="167" fontId="5" fillId="0" borderId="0" xfId="0" applyNumberFormat="1" applyFont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33" xfId="0" applyFont="1" applyBorder="1"/>
    <xf numFmtId="10" fontId="5" fillId="0" borderId="34" xfId="0" applyNumberFormat="1" applyFont="1" applyBorder="1"/>
    <xf numFmtId="0" fontId="5" fillId="0" borderId="35" xfId="0" applyFont="1" applyBorder="1"/>
    <xf numFmtId="10" fontId="5" fillId="0" borderId="36" xfId="0" applyNumberFormat="1" applyFont="1" applyBorder="1"/>
    <xf numFmtId="0" fontId="5" fillId="0" borderId="37" xfId="0" applyFont="1" applyBorder="1"/>
    <xf numFmtId="10" fontId="5" fillId="0" borderId="38" xfId="0" applyNumberFormat="1" applyFont="1" applyBorder="1"/>
    <xf numFmtId="10" fontId="5" fillId="0" borderId="0" xfId="0" applyNumberFormat="1" applyFont="1"/>
    <xf numFmtId="167" fontId="0" fillId="0" borderId="0" xfId="0" applyNumberFormat="1"/>
    <xf numFmtId="10" fontId="0" fillId="0" borderId="0" xfId="3" applyNumberFormat="1" applyFont="1"/>
    <xf numFmtId="0" fontId="9" fillId="0" borderId="0" xfId="0" applyFont="1" applyAlignment="1">
      <alignment horizontal="center" vertical="center" wrapText="1"/>
    </xf>
    <xf numFmtId="0" fontId="8" fillId="6" borderId="20" xfId="8" applyFont="1" applyFill="1" applyBorder="1" applyAlignment="1">
      <alignment horizontal="left" vertical="center" wrapText="1"/>
    </xf>
    <xf numFmtId="0" fontId="8" fillId="6" borderId="13" xfId="8" applyFont="1" applyFill="1" applyBorder="1" applyAlignment="1">
      <alignment horizontal="left" vertical="center" wrapText="1"/>
    </xf>
    <xf numFmtId="0" fontId="8" fillId="6" borderId="18" xfId="8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70" fontId="7" fillId="0" borderId="0" xfId="1" applyNumberFormat="1" applyFont="1" applyAlignment="1">
      <alignment horizontal="center" vertical="center"/>
    </xf>
    <xf numFmtId="167" fontId="7" fillId="8" borderId="6" xfId="9" applyNumberFormat="1" applyFont="1" applyFill="1" applyBorder="1" applyAlignment="1">
      <alignment horizontal="center" vertical="center"/>
    </xf>
    <xf numFmtId="167" fontId="7" fillId="8" borderId="23" xfId="9" applyNumberFormat="1" applyFont="1" applyFill="1" applyBorder="1" applyAlignment="1">
      <alignment horizontal="center" vertical="center"/>
    </xf>
    <xf numFmtId="167" fontId="7" fillId="8" borderId="7" xfId="9" applyNumberFormat="1" applyFont="1" applyFill="1" applyBorder="1" applyAlignment="1">
      <alignment horizontal="center" vertical="center"/>
    </xf>
    <xf numFmtId="167" fontId="7" fillId="8" borderId="8" xfId="9" applyNumberFormat="1" applyFont="1" applyFill="1" applyBorder="1" applyAlignment="1">
      <alignment horizontal="center" vertical="center"/>
    </xf>
    <xf numFmtId="167" fontId="7" fillId="8" borderId="1" xfId="9" applyNumberFormat="1" applyFont="1" applyFill="1" applyBorder="1" applyAlignment="1">
      <alignment horizontal="center" vertical="center"/>
    </xf>
    <xf numFmtId="167" fontId="7" fillId="8" borderId="9" xfId="9" applyNumberFormat="1" applyFont="1" applyFill="1" applyBorder="1" applyAlignment="1">
      <alignment horizontal="center" vertical="center"/>
    </xf>
    <xf numFmtId="167" fontId="7" fillId="8" borderId="10" xfId="9" applyNumberFormat="1" applyFont="1" applyFill="1" applyBorder="1" applyAlignment="1">
      <alignment horizontal="center" vertical="center"/>
    </xf>
    <xf numFmtId="167" fontId="7" fillId="8" borderId="28" xfId="9" applyNumberFormat="1" applyFont="1" applyFill="1" applyBorder="1" applyAlignment="1">
      <alignment horizontal="center" vertical="center"/>
    </xf>
    <xf numFmtId="167" fontId="7" fillId="8" borderId="11" xfId="9" applyNumberFormat="1" applyFont="1" applyFill="1" applyBorder="1" applyAlignment="1">
      <alignment horizontal="center" vertical="center"/>
    </xf>
    <xf numFmtId="167" fontId="7" fillId="8" borderId="43" xfId="9" applyNumberFormat="1" applyFont="1" applyFill="1" applyBorder="1" applyAlignment="1">
      <alignment horizontal="center" vertical="center"/>
    </xf>
    <xf numFmtId="167" fontId="7" fillId="8" borderId="44" xfId="9" applyNumberFormat="1" applyFont="1" applyFill="1" applyBorder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44" fontId="0" fillId="0" borderId="11" xfId="2" applyFont="1" applyBorder="1"/>
    <xf numFmtId="169" fontId="5" fillId="2" borderId="23" xfId="5" applyNumberFormat="1" applyFont="1" applyFill="1" applyBorder="1" applyAlignment="1">
      <alignment horizontal="center" vertical="center"/>
    </xf>
    <xf numFmtId="0" fontId="6" fillId="5" borderId="42" xfId="4" applyFont="1" applyFill="1" applyBorder="1" applyAlignment="1">
      <alignment wrapText="1"/>
    </xf>
    <xf numFmtId="167" fontId="5" fillId="2" borderId="10" xfId="6" applyNumberFormat="1" applyFont="1" applyFill="1" applyBorder="1" applyAlignment="1">
      <alignment horizontal="center" vertical="center"/>
    </xf>
    <xf numFmtId="168" fontId="5" fillId="2" borderId="28" xfId="5" applyNumberFormat="1" applyFont="1" applyFill="1" applyBorder="1" applyAlignment="1">
      <alignment horizontal="center" vertical="center"/>
    </xf>
    <xf numFmtId="169" fontId="5" fillId="2" borderId="28" xfId="5" applyNumberFormat="1" applyFont="1" applyFill="1" applyBorder="1" applyAlignment="1">
      <alignment horizontal="center" vertical="center"/>
    </xf>
    <xf numFmtId="167" fontId="5" fillId="2" borderId="28" xfId="5" applyNumberFormat="1" applyFont="1" applyFill="1" applyBorder="1" applyAlignment="1">
      <alignment horizontal="center" vertical="center"/>
    </xf>
    <xf numFmtId="0" fontId="8" fillId="6" borderId="12" xfId="8" applyFont="1" applyFill="1" applyBorder="1" applyAlignment="1">
      <alignment horizontal="left" vertical="center" wrapText="1"/>
    </xf>
    <xf numFmtId="0" fontId="8" fillId="6" borderId="14" xfId="8" applyFont="1" applyFill="1" applyBorder="1" applyAlignment="1">
      <alignment horizontal="left" vertical="center" wrapText="1"/>
    </xf>
    <xf numFmtId="0" fontId="6" fillId="5" borderId="48" xfId="4" applyFont="1" applyFill="1" applyBorder="1" applyAlignment="1">
      <alignment wrapText="1"/>
    </xf>
    <xf numFmtId="167" fontId="5" fillId="2" borderId="24" xfId="5" applyNumberFormat="1" applyFont="1" applyFill="1" applyBorder="1" applyAlignment="1">
      <alignment horizontal="center" vertical="center"/>
    </xf>
    <xf numFmtId="168" fontId="5" fillId="2" borderId="21" xfId="5" applyNumberFormat="1" applyFont="1" applyFill="1" applyBorder="1" applyAlignment="1">
      <alignment horizontal="center" vertical="center"/>
    </xf>
    <xf numFmtId="169" fontId="5" fillId="2" borderId="21" xfId="5" applyNumberFormat="1" applyFont="1" applyFill="1" applyBorder="1" applyAlignment="1">
      <alignment horizontal="center" vertical="center"/>
    </xf>
    <xf numFmtId="167" fontId="5" fillId="2" borderId="21" xfId="5" applyNumberFormat="1" applyFont="1" applyFill="1" applyBorder="1" applyAlignment="1">
      <alignment horizontal="center" vertical="center"/>
    </xf>
    <xf numFmtId="0" fontId="0" fillId="0" borderId="45" xfId="0" applyBorder="1" applyAlignment="1">
      <alignment wrapText="1"/>
    </xf>
    <xf numFmtId="0" fontId="0" fillId="0" borderId="46" xfId="0" applyBorder="1" applyAlignment="1">
      <alignment wrapText="1"/>
    </xf>
    <xf numFmtId="0" fontId="0" fillId="0" borderId="19" xfId="0" applyBorder="1" applyAlignment="1">
      <alignment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167" fontId="7" fillId="8" borderId="47" xfId="9" applyNumberFormat="1" applyFont="1" applyFill="1" applyBorder="1" applyAlignment="1">
      <alignment horizontal="center" vertical="center"/>
    </xf>
    <xf numFmtId="170" fontId="7" fillId="3" borderId="6" xfId="1" applyNumberFormat="1" applyFont="1" applyFill="1" applyBorder="1" applyAlignment="1">
      <alignment horizontal="center" vertical="center"/>
    </xf>
    <xf numFmtId="170" fontId="7" fillId="3" borderId="8" xfId="1" applyNumberFormat="1" applyFont="1" applyFill="1" applyBorder="1" applyAlignment="1">
      <alignment horizontal="center" vertical="center"/>
    </xf>
    <xf numFmtId="170" fontId="7" fillId="3" borderId="10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0" fillId="0" borderId="22" xfId="0" applyBorder="1" applyAlignment="1">
      <alignment wrapText="1"/>
    </xf>
    <xf numFmtId="0" fontId="9" fillId="0" borderId="10" xfId="0" applyFont="1" applyBorder="1" applyAlignment="1">
      <alignment horizontal="center" vertical="center" wrapText="1"/>
    </xf>
    <xf numFmtId="0" fontId="0" fillId="0" borderId="28" xfId="0" applyBorder="1" applyAlignment="1">
      <alignment wrapText="1"/>
    </xf>
    <xf numFmtId="0" fontId="9" fillId="0" borderId="26" xfId="0" applyFont="1" applyBorder="1" applyAlignment="1">
      <alignment horizontal="center" vertical="center" wrapText="1"/>
    </xf>
    <xf numFmtId="167" fontId="7" fillId="9" borderId="6" xfId="0" applyNumberFormat="1" applyFont="1" applyFill="1" applyBorder="1" applyAlignment="1">
      <alignment vertical="center"/>
    </xf>
    <xf numFmtId="167" fontId="7" fillId="9" borderId="23" xfId="0" applyNumberFormat="1" applyFont="1" applyFill="1" applyBorder="1" applyAlignment="1">
      <alignment vertical="center"/>
    </xf>
    <xf numFmtId="167" fontId="7" fillId="9" borderId="7" xfId="0" applyNumberFormat="1" applyFont="1" applyFill="1" applyBorder="1" applyAlignment="1">
      <alignment vertical="center"/>
    </xf>
    <xf numFmtId="167" fontId="7" fillId="10" borderId="10" xfId="0" applyNumberFormat="1" applyFont="1" applyFill="1" applyBorder="1" applyAlignment="1">
      <alignment vertical="center"/>
    </xf>
    <xf numFmtId="167" fontId="7" fillId="10" borderId="28" xfId="0" applyNumberFormat="1" applyFont="1" applyFill="1" applyBorder="1" applyAlignment="1">
      <alignment vertical="center"/>
    </xf>
    <xf numFmtId="167" fontId="7" fillId="10" borderId="11" xfId="0" applyNumberFormat="1" applyFont="1" applyFill="1" applyBorder="1" applyAlignment="1">
      <alignment vertical="center"/>
    </xf>
    <xf numFmtId="167" fontId="11" fillId="11" borderId="3" xfId="0" applyNumberFormat="1" applyFont="1" applyFill="1" applyBorder="1" applyAlignment="1">
      <alignment vertical="center"/>
    </xf>
    <xf numFmtId="167" fontId="11" fillId="11" borderId="4" xfId="0" applyNumberFormat="1" applyFont="1" applyFill="1" applyBorder="1" applyAlignment="1">
      <alignment vertical="center"/>
    </xf>
    <xf numFmtId="167" fontId="11" fillId="11" borderId="5" xfId="0" applyNumberFormat="1" applyFont="1" applyFill="1" applyBorder="1" applyAlignment="1">
      <alignment vertical="center"/>
    </xf>
    <xf numFmtId="0" fontId="7" fillId="6" borderId="6" xfId="7" applyNumberFormat="1" applyFont="1" applyFill="1" applyBorder="1" applyAlignment="1">
      <alignment horizontal="center" vertical="center" wrapText="1"/>
    </xf>
    <xf numFmtId="0" fontId="7" fillId="6" borderId="23" xfId="7" applyNumberFormat="1" applyFont="1" applyFill="1" applyBorder="1" applyAlignment="1">
      <alignment horizontal="center" vertical="center" wrapText="1"/>
    </xf>
    <xf numFmtId="0" fontId="7" fillId="6" borderId="7" xfId="7" applyNumberFormat="1" applyFont="1" applyFill="1" applyBorder="1" applyAlignment="1">
      <alignment horizontal="center" vertical="center" wrapText="1"/>
    </xf>
    <xf numFmtId="0" fontId="7" fillId="6" borderId="8" xfId="7" applyNumberFormat="1" applyFont="1" applyFill="1" applyBorder="1" applyAlignment="1">
      <alignment horizontal="center" vertical="center" wrapText="1"/>
    </xf>
    <xf numFmtId="0" fontId="7" fillId="6" borderId="1" xfId="7" applyNumberFormat="1" applyFont="1" applyFill="1" applyBorder="1" applyAlignment="1">
      <alignment horizontal="center" vertical="center" wrapText="1"/>
    </xf>
    <xf numFmtId="0" fontId="7" fillId="6" borderId="9" xfId="7" applyNumberFormat="1" applyFont="1" applyFill="1" applyBorder="1" applyAlignment="1">
      <alignment horizontal="center" vertical="center" wrapText="1"/>
    </xf>
    <xf numFmtId="0" fontId="7" fillId="6" borderId="24" xfId="7" applyNumberFormat="1" applyFont="1" applyFill="1" applyBorder="1" applyAlignment="1">
      <alignment horizontal="center" vertical="center" wrapText="1"/>
    </xf>
    <xf numFmtId="0" fontId="7" fillId="6" borderId="21" xfId="7" applyNumberFormat="1" applyFont="1" applyFill="1" applyBorder="1" applyAlignment="1">
      <alignment horizontal="center" vertical="center" wrapText="1"/>
    </xf>
    <xf numFmtId="0" fontId="7" fillId="6" borderId="25" xfId="7" applyNumberFormat="1" applyFont="1" applyFill="1" applyBorder="1" applyAlignment="1">
      <alignment horizontal="center" vertical="center" wrapText="1"/>
    </xf>
    <xf numFmtId="0" fontId="7" fillId="6" borderId="28" xfId="7" applyNumberFormat="1" applyFont="1" applyFill="1" applyBorder="1" applyAlignment="1">
      <alignment horizontal="center" vertical="center" wrapText="1"/>
    </xf>
    <xf numFmtId="0" fontId="7" fillId="6" borderId="11" xfId="7" applyNumberFormat="1" applyFont="1" applyFill="1" applyBorder="1" applyAlignment="1">
      <alignment horizontal="center" vertical="center" wrapText="1"/>
    </xf>
    <xf numFmtId="0" fontId="0" fillId="0" borderId="15" xfId="0" applyBorder="1"/>
    <xf numFmtId="44" fontId="0" fillId="0" borderId="17" xfId="2" applyFont="1" applyBorder="1"/>
    <xf numFmtId="0" fontId="0" fillId="0" borderId="26" xfId="0" applyBorder="1"/>
    <xf numFmtId="0" fontId="0" fillId="0" borderId="27" xfId="0" applyBorder="1"/>
    <xf numFmtId="165" fontId="5" fillId="0" borderId="47" xfId="5" applyNumberFormat="1" applyFont="1" applyBorder="1"/>
    <xf numFmtId="0" fontId="4" fillId="4" borderId="32" xfId="4" applyFont="1" applyFill="1" applyBorder="1" applyAlignment="1">
      <alignment horizontal="center" vertical="center" wrapText="1"/>
    </xf>
    <xf numFmtId="0" fontId="7" fillId="6" borderId="10" xfId="7" applyNumberFormat="1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70" fontId="13" fillId="0" borderId="5" xfId="1" applyNumberFormat="1" applyFont="1" applyBorder="1" applyAlignment="1">
      <alignment horizontal="center" vertical="center" wrapText="1"/>
    </xf>
    <xf numFmtId="1" fontId="7" fillId="7" borderId="43" xfId="7" applyNumberFormat="1" applyFont="1" applyFill="1" applyBorder="1" applyAlignment="1">
      <alignment horizontal="center" vertical="center" wrapText="1"/>
    </xf>
    <xf numFmtId="1" fontId="7" fillId="7" borderId="44" xfId="7" applyNumberFormat="1" applyFont="1" applyFill="1" applyBorder="1" applyAlignment="1">
      <alignment horizontal="center" vertical="center" wrapText="1"/>
    </xf>
    <xf numFmtId="1" fontId="7" fillId="7" borderId="47" xfId="7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49" fontId="7" fillId="0" borderId="8" xfId="0" applyNumberFormat="1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168" fontId="7" fillId="0" borderId="7" xfId="0" applyNumberFormat="1" applyFont="1" applyBorder="1" applyAlignment="1">
      <alignment horizontal="left" vertical="center"/>
    </xf>
    <xf numFmtId="168" fontId="7" fillId="0" borderId="9" xfId="0" applyNumberFormat="1" applyFont="1" applyBorder="1" applyAlignment="1">
      <alignment horizontal="left" vertical="center"/>
    </xf>
    <xf numFmtId="168" fontId="7" fillId="0" borderId="11" xfId="0" applyNumberFormat="1" applyFont="1" applyBorder="1" applyAlignment="1">
      <alignment horizontal="left" vertical="center"/>
    </xf>
    <xf numFmtId="168" fontId="7" fillId="0" borderId="0" xfId="0" applyNumberFormat="1" applyFont="1" applyAlignment="1">
      <alignment horizontal="left" vertical="center"/>
    </xf>
    <xf numFmtId="168" fontId="7" fillId="3" borderId="7" xfId="1" applyNumberFormat="1" applyFont="1" applyFill="1" applyBorder="1" applyAlignment="1">
      <alignment horizontal="center" vertical="center"/>
    </xf>
    <xf numFmtId="168" fontId="7" fillId="3" borderId="9" xfId="1" applyNumberFormat="1" applyFont="1" applyFill="1" applyBorder="1" applyAlignment="1">
      <alignment horizontal="center" vertical="center"/>
    </xf>
    <xf numFmtId="168" fontId="7" fillId="3" borderId="11" xfId="1" applyNumberFormat="1" applyFont="1" applyFill="1" applyBorder="1" applyAlignment="1">
      <alignment horizontal="center" vertical="center"/>
    </xf>
    <xf numFmtId="168" fontId="7" fillId="0" borderId="7" xfId="0" applyNumberFormat="1" applyFont="1" applyBorder="1" applyAlignment="1">
      <alignment horizontal="right" vertical="center"/>
    </xf>
    <xf numFmtId="168" fontId="7" fillId="0" borderId="9" xfId="0" applyNumberFormat="1" applyFont="1" applyBorder="1" applyAlignment="1">
      <alignment horizontal="right" vertical="center"/>
    </xf>
    <xf numFmtId="168" fontId="7" fillId="0" borderId="11" xfId="0" applyNumberFormat="1" applyFont="1" applyBorder="1" applyAlignment="1">
      <alignment horizontal="right" vertical="center"/>
    </xf>
    <xf numFmtId="168" fontId="7" fillId="0" borderId="0" xfId="0" applyNumberFormat="1" applyFont="1" applyAlignment="1">
      <alignment horizontal="right" vertical="center"/>
    </xf>
    <xf numFmtId="0" fontId="11" fillId="0" borderId="30" xfId="0" applyFont="1" applyBorder="1" applyAlignment="1">
      <alignment horizontal="left" vertical="center"/>
    </xf>
    <xf numFmtId="168" fontId="11" fillId="0" borderId="32" xfId="0" applyNumberFormat="1" applyFont="1" applyBorder="1" applyAlignment="1">
      <alignment horizontal="right" vertical="center"/>
    </xf>
    <xf numFmtId="0" fontId="4" fillId="4" borderId="2" xfId="4" applyFont="1" applyFill="1" applyBorder="1" applyAlignment="1">
      <alignment horizontal="center" vertical="center" wrapText="1"/>
    </xf>
    <xf numFmtId="0" fontId="7" fillId="6" borderId="23" xfId="7" applyNumberFormat="1" applyFont="1" applyFill="1" applyBorder="1" applyAlignment="1">
      <alignment horizontal="center" vertical="center" wrapText="1"/>
    </xf>
    <xf numFmtId="0" fontId="7" fillId="6" borderId="1" xfId="7" applyNumberFormat="1" applyFont="1" applyFill="1" applyBorder="1" applyAlignment="1">
      <alignment horizontal="center" vertical="center" wrapText="1"/>
    </xf>
    <xf numFmtId="0" fontId="7" fillId="6" borderId="28" xfId="7" applyNumberFormat="1" applyFont="1" applyFill="1" applyBorder="1" applyAlignment="1">
      <alignment horizontal="center" vertical="center" wrapText="1"/>
    </xf>
    <xf numFmtId="170" fontId="13" fillId="0" borderId="3" xfId="1" applyNumberFormat="1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7" fillId="6" borderId="26" xfId="7" applyNumberFormat="1" applyFont="1" applyFill="1" applyBorder="1" applyAlignment="1">
      <alignment horizontal="center" vertical="center" wrapText="1"/>
    </xf>
    <xf numFmtId="0" fontId="7" fillId="6" borderId="22" xfId="7" applyNumberFormat="1" applyFont="1" applyFill="1" applyBorder="1" applyAlignment="1">
      <alignment horizontal="center" vertical="center" wrapText="1"/>
    </xf>
    <xf numFmtId="0" fontId="7" fillId="6" borderId="27" xfId="7" applyNumberFormat="1" applyFont="1" applyFill="1" applyBorder="1" applyAlignment="1">
      <alignment horizontal="center" vertical="center" wrapText="1"/>
    </xf>
    <xf numFmtId="170" fontId="13" fillId="0" borderId="4" xfId="1" applyNumberFormat="1" applyFont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/>
    </xf>
    <xf numFmtId="0" fontId="2" fillId="3" borderId="31" xfId="0" applyFont="1" applyFill="1" applyBorder="1" applyAlignment="1">
      <alignment horizontal="center"/>
    </xf>
    <xf numFmtId="0" fontId="4" fillId="4" borderId="30" xfId="4" applyFont="1" applyFill="1" applyBorder="1" applyAlignment="1">
      <alignment horizontal="center" vertical="center" wrapText="1"/>
    </xf>
    <xf numFmtId="0" fontId="4" fillId="4" borderId="31" xfId="4" applyFont="1" applyFill="1" applyBorder="1" applyAlignment="1">
      <alignment horizontal="center" vertical="center" wrapText="1"/>
    </xf>
    <xf numFmtId="0" fontId="4" fillId="4" borderId="32" xfId="4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11" fillId="11" borderId="30" xfId="0" applyFont="1" applyFill="1" applyBorder="1" applyAlignment="1">
      <alignment horizontal="center" vertical="center"/>
    </xf>
    <xf numFmtId="0" fontId="11" fillId="11" borderId="31" xfId="0" applyFont="1" applyFill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7" fillId="9" borderId="31" xfId="0" applyFont="1" applyFill="1" applyBorder="1" applyAlignment="1">
      <alignment horizontal="center" vertical="center"/>
    </xf>
    <xf numFmtId="0" fontId="7" fillId="10" borderId="30" xfId="0" applyFont="1" applyFill="1" applyBorder="1" applyAlignment="1">
      <alignment horizontal="center" vertical="center"/>
    </xf>
    <xf numFmtId="0" fontId="7" fillId="10" borderId="31" xfId="0" applyFont="1" applyFill="1" applyBorder="1" applyAlignment="1">
      <alignment horizontal="center" vertical="center"/>
    </xf>
    <xf numFmtId="0" fontId="7" fillId="6" borderId="23" xfId="7" applyNumberFormat="1" applyFont="1" applyFill="1" applyBorder="1" applyAlignment="1">
      <alignment horizontal="center" vertical="center" wrapText="1"/>
    </xf>
    <xf numFmtId="0" fontId="7" fillId="6" borderId="1" xfId="7" applyNumberFormat="1" applyFont="1" applyFill="1" applyBorder="1" applyAlignment="1">
      <alignment horizontal="center" vertical="center" wrapText="1"/>
    </xf>
    <xf numFmtId="0" fontId="7" fillId="6" borderId="28" xfId="7" applyNumberFormat="1" applyFont="1" applyFill="1" applyBorder="1" applyAlignment="1">
      <alignment horizontal="center" vertical="center" wrapText="1"/>
    </xf>
    <xf numFmtId="0" fontId="7" fillId="6" borderId="7" xfId="7" applyNumberFormat="1" applyFont="1" applyFill="1" applyBorder="1" applyAlignment="1">
      <alignment horizontal="center" vertical="center" wrapText="1"/>
    </xf>
    <xf numFmtId="0" fontId="7" fillId="6" borderId="9" xfId="7" applyNumberFormat="1" applyFont="1" applyFill="1" applyBorder="1" applyAlignment="1">
      <alignment horizontal="center" vertical="center" wrapText="1"/>
    </xf>
    <xf numFmtId="0" fontId="7" fillId="6" borderId="11" xfId="7" applyNumberFormat="1" applyFont="1" applyFill="1" applyBorder="1" applyAlignment="1">
      <alignment horizontal="center" vertical="center" wrapText="1"/>
    </xf>
    <xf numFmtId="0" fontId="10" fillId="7" borderId="30" xfId="4" applyFont="1" applyFill="1" applyBorder="1" applyAlignment="1">
      <alignment horizontal="center" vertical="center" wrapText="1"/>
    </xf>
    <xf numFmtId="0" fontId="10" fillId="7" borderId="31" xfId="4" applyFont="1" applyFill="1" applyBorder="1" applyAlignment="1">
      <alignment horizontal="center" vertical="center" wrapText="1"/>
    </xf>
    <xf numFmtId="0" fontId="10" fillId="7" borderId="32" xfId="4" applyFont="1" applyFill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7" fillId="6" borderId="54" xfId="7" applyNumberFormat="1" applyFont="1" applyFill="1" applyBorder="1" applyAlignment="1">
      <alignment horizontal="center" vertical="center" wrapText="1"/>
    </xf>
    <xf numFmtId="0" fontId="7" fillId="6" borderId="55" xfId="7" applyNumberFormat="1" applyFont="1" applyFill="1" applyBorder="1" applyAlignment="1">
      <alignment horizontal="center" vertical="center" wrapText="1"/>
    </xf>
    <xf numFmtId="0" fontId="7" fillId="6" borderId="56" xfId="7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8" fillId="6" borderId="7" xfId="8" applyFont="1" applyFill="1" applyBorder="1" applyAlignment="1">
      <alignment horizontal="left" vertical="center" wrapText="1"/>
    </xf>
    <xf numFmtId="0" fontId="0" fillId="0" borderId="8" xfId="0" applyBorder="1" applyAlignment="1">
      <alignment wrapText="1"/>
    </xf>
    <xf numFmtId="0" fontId="8" fillId="6" borderId="9" xfId="8" applyFont="1" applyFill="1" applyBorder="1" applyAlignment="1">
      <alignment horizontal="left" vertical="center" wrapText="1"/>
    </xf>
    <xf numFmtId="0" fontId="0" fillId="0" borderId="10" xfId="0" applyBorder="1" applyAlignment="1">
      <alignment wrapText="1"/>
    </xf>
    <xf numFmtId="0" fontId="8" fillId="6" borderId="11" xfId="8" applyFont="1" applyFill="1" applyBorder="1" applyAlignment="1">
      <alignment horizontal="left" vertical="center" wrapText="1"/>
    </xf>
  </cellXfs>
  <cellStyles count="11">
    <cellStyle name="Millares" xfId="1" builtinId="3"/>
    <cellStyle name="Millares 2" xfId="5" xr:uid="{CE4F0D75-A866-4C36-9BCB-A2F5FE77903C}"/>
    <cellStyle name="Millares 3" xfId="7" xr:uid="{4702E9D6-27A9-4FEC-AADC-14AA01ECC0CA}"/>
    <cellStyle name="Moneda" xfId="2" builtinId="4"/>
    <cellStyle name="Moneda 2" xfId="6" xr:uid="{1FEC7BAD-B4D0-4906-97F6-8496560295A8}"/>
    <cellStyle name="Moneda 3" xfId="9" xr:uid="{089C072E-665A-489C-9CBB-AE9F418CCCBD}"/>
    <cellStyle name="Normal" xfId="0" builtinId="0"/>
    <cellStyle name="Normal 2" xfId="4" xr:uid="{915C2E98-BCFF-4290-B7B0-13EA97E491AA}"/>
    <cellStyle name="Normal 2 2" xfId="8" xr:uid="{E0E38C49-78E9-4B83-9D40-C48B71A50A79}"/>
    <cellStyle name="Normal 6 4 2" xfId="10" xr:uid="{185AD796-2023-4051-9C6A-94C03C0D401F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7ED5B-4CA7-44AD-981A-3EDE290BDF18}">
  <dimension ref="A1:O38"/>
  <sheetViews>
    <sheetView zoomScale="70" zoomScaleNormal="70" workbookViewId="0">
      <pane ySplit="3" topLeftCell="A4" activePane="bottomLeft" state="frozen"/>
      <selection activeCell="D18" sqref="D18"/>
      <selection pane="bottomLeft" activeCell="B5" sqref="B5"/>
    </sheetView>
  </sheetViews>
  <sheetFormatPr baseColWidth="10" defaultRowHeight="14.5" x14ac:dyDescent="0.35"/>
  <cols>
    <col min="1" max="1" width="84.453125" customWidth="1"/>
    <col min="2" max="2" width="26" bestFit="1" customWidth="1"/>
    <col min="3" max="3" width="18.1796875" bestFit="1" customWidth="1"/>
    <col min="4" max="4" width="23" customWidth="1"/>
    <col min="5" max="5" width="20.453125" bestFit="1" customWidth="1"/>
    <col min="6" max="6" width="13.54296875" customWidth="1"/>
    <col min="7" max="7" width="14.1796875" bestFit="1" customWidth="1"/>
    <col min="8" max="8" width="41.1796875" customWidth="1"/>
    <col min="9" max="10" width="11.54296875" bestFit="1" customWidth="1"/>
    <col min="12" max="12" width="12.453125" bestFit="1" customWidth="1"/>
    <col min="13" max="13" width="14.1796875" bestFit="1" customWidth="1"/>
  </cols>
  <sheetData>
    <row r="1" spans="1:15" ht="15" thickBot="1" x14ac:dyDescent="0.4">
      <c r="A1" s="142"/>
      <c r="B1" s="143"/>
      <c r="C1" s="143"/>
      <c r="D1" s="143"/>
      <c r="E1" s="143"/>
      <c r="F1" s="2"/>
    </row>
    <row r="2" spans="1:15" ht="15" thickBot="1" x14ac:dyDescent="0.4">
      <c r="A2" s="144" t="s">
        <v>49</v>
      </c>
      <c r="B2" s="145"/>
      <c r="C2" s="145"/>
      <c r="D2" s="145"/>
      <c r="E2" s="146"/>
      <c r="F2" s="2"/>
      <c r="G2" s="2"/>
      <c r="H2" s="2"/>
      <c r="I2" s="2"/>
    </row>
    <row r="3" spans="1:15" ht="54.75" customHeight="1" thickBot="1" x14ac:dyDescent="0.4">
      <c r="A3" s="3" t="s">
        <v>17</v>
      </c>
      <c r="B3" s="3" t="s">
        <v>18</v>
      </c>
      <c r="C3" s="4" t="s">
        <v>48</v>
      </c>
      <c r="D3" s="5" t="s">
        <v>3</v>
      </c>
      <c r="E3" s="6" t="s">
        <v>19</v>
      </c>
      <c r="F3" s="2"/>
      <c r="G3" s="2"/>
      <c r="N3" s="8"/>
    </row>
    <row r="4" spans="1:15" x14ac:dyDescent="0.35">
      <c r="A4" s="9" t="s">
        <v>20</v>
      </c>
      <c r="B4" s="10">
        <f>($C$21/30*30)</f>
        <v>13015290</v>
      </c>
      <c r="C4" s="11">
        <f>+B4*0.1</f>
        <v>1301529</v>
      </c>
      <c r="D4" s="54">
        <f>+((B4+C4)*0.1)*0.19</f>
        <v>272019.56100000005</v>
      </c>
      <c r="E4" s="13">
        <f>ROUND(B4+C4+D4,0)</f>
        <v>14588839</v>
      </c>
      <c r="F4" s="2"/>
      <c r="G4" s="2"/>
      <c r="N4" s="8"/>
      <c r="O4" s="8"/>
    </row>
    <row r="5" spans="1:15" x14ac:dyDescent="0.35">
      <c r="A5" s="14" t="s">
        <v>21</v>
      </c>
      <c r="B5" s="15">
        <f>($C$21/30*30)</f>
        <v>13015290</v>
      </c>
      <c r="C5" s="16">
        <f>+B5*0.08</f>
        <v>1041223.2000000001</v>
      </c>
      <c r="D5" s="12">
        <f>+((B5+C5)*0.1)*0.19</f>
        <v>267073.75080000004</v>
      </c>
      <c r="E5" s="17">
        <f t="shared" ref="E5" si="0">ROUND(B5+C5+D5,0)</f>
        <v>14323587</v>
      </c>
      <c r="F5" s="2"/>
      <c r="G5" s="18"/>
      <c r="N5" s="8"/>
    </row>
    <row r="6" spans="1:15" x14ac:dyDescent="0.35">
      <c r="A6" s="14" t="s">
        <v>25</v>
      </c>
      <c r="B6" s="15">
        <f>($C$21/30*30)</f>
        <v>13015290</v>
      </c>
      <c r="C6" s="16">
        <f>+B6*0.08</f>
        <v>1041223.2000000001</v>
      </c>
      <c r="D6" s="12">
        <f>+((B6+C6)*0.1)*0.19</f>
        <v>267073.75080000004</v>
      </c>
      <c r="E6" s="17">
        <f>ROUND(B6+C6+D6,0)</f>
        <v>14323587</v>
      </c>
      <c r="F6" s="2"/>
      <c r="G6" s="18"/>
      <c r="N6" s="8"/>
    </row>
    <row r="7" spans="1:15" x14ac:dyDescent="0.35">
      <c r="A7" s="62" t="s">
        <v>47</v>
      </c>
      <c r="B7" s="63">
        <f>($C$21/30*30)</f>
        <v>13015290</v>
      </c>
      <c r="C7" s="64">
        <f>+B7*0.1</f>
        <v>1301529</v>
      </c>
      <c r="D7" s="65">
        <f>+((B7+C7)*0.1)*0.19</f>
        <v>272019.56100000005</v>
      </c>
      <c r="E7" s="66">
        <f>ROUND(B7+C7+D7,0)</f>
        <v>14588839</v>
      </c>
      <c r="F7" s="2"/>
      <c r="G7" s="18"/>
      <c r="N7" s="8"/>
    </row>
    <row r="8" spans="1:15" ht="15" thickBot="1" x14ac:dyDescent="0.4">
      <c r="A8" s="55" t="s">
        <v>42</v>
      </c>
      <c r="B8" s="56">
        <f>($C$21*C32/30*20)</f>
        <v>2913863.1251999997</v>
      </c>
      <c r="C8" s="57">
        <f>+B8*0.08</f>
        <v>233109.05001599996</v>
      </c>
      <c r="D8" s="58">
        <f>+((B8+C8)*0.1)*0.19</f>
        <v>59792.471329103995</v>
      </c>
      <c r="E8" s="59">
        <f>ROUND(B8+C8+D8,0)</f>
        <v>3206765</v>
      </c>
      <c r="F8" s="2"/>
      <c r="G8" s="18"/>
      <c r="N8" s="8"/>
    </row>
    <row r="9" spans="1:15" x14ac:dyDescent="0.35">
      <c r="F9" s="2"/>
      <c r="G9" s="18"/>
    </row>
    <row r="10" spans="1:15" x14ac:dyDescent="0.35">
      <c r="F10" s="2"/>
      <c r="G10" s="2"/>
    </row>
    <row r="11" spans="1:15" ht="15" thickBot="1" x14ac:dyDescent="0.4">
      <c r="F11" s="2"/>
      <c r="G11" s="2"/>
    </row>
    <row r="12" spans="1:15" ht="15" thickBot="1" x14ac:dyDescent="0.4">
      <c r="A12" s="144" t="s">
        <v>52</v>
      </c>
      <c r="B12" s="145"/>
      <c r="C12" s="145"/>
      <c r="D12" s="145"/>
      <c r="E12" s="146"/>
      <c r="F12" s="2"/>
      <c r="G12" s="2"/>
    </row>
    <row r="13" spans="1:15" ht="26.5" thickBot="1" x14ac:dyDescent="0.4">
      <c r="A13" s="3" t="s">
        <v>17</v>
      </c>
      <c r="B13" s="3" t="s">
        <v>18</v>
      </c>
      <c r="C13" s="4" t="s">
        <v>48</v>
      </c>
      <c r="D13" s="5" t="s">
        <v>3</v>
      </c>
      <c r="E13" s="6" t="s">
        <v>19</v>
      </c>
      <c r="F13" s="2"/>
      <c r="G13" s="2"/>
    </row>
    <row r="14" spans="1:15" x14ac:dyDescent="0.35">
      <c r="A14" s="9" t="s">
        <v>20</v>
      </c>
      <c r="B14" s="10">
        <f>($D$21/30*30)</f>
        <v>13228814.999999998</v>
      </c>
      <c r="C14" s="11">
        <f>+B14*0.1</f>
        <v>1322881.5</v>
      </c>
      <c r="D14" s="54">
        <f>+((B14+C14)*0.1)*0.19</f>
        <v>276482.23349999997</v>
      </c>
      <c r="E14" s="13">
        <f>ROUND(B14+C14+D14,0)</f>
        <v>14828179</v>
      </c>
      <c r="F14" s="2"/>
      <c r="G14" s="2"/>
    </row>
    <row r="15" spans="1:15" x14ac:dyDescent="0.35">
      <c r="A15" s="14" t="s">
        <v>21</v>
      </c>
      <c r="B15" s="15">
        <f>($D$21/30*30)</f>
        <v>13228814.999999998</v>
      </c>
      <c r="C15" s="16">
        <f>+B15*0.08</f>
        <v>1058305.2</v>
      </c>
      <c r="D15" s="12">
        <f>+((B15+C15)*0.1)*0.19</f>
        <v>271455.28379999998</v>
      </c>
      <c r="E15" s="17">
        <f t="shared" ref="E15" si="1">ROUND(B15+C15+D15,0)</f>
        <v>14558575</v>
      </c>
      <c r="F15" s="2"/>
      <c r="G15" s="2"/>
    </row>
    <row r="16" spans="1:15" x14ac:dyDescent="0.35">
      <c r="A16" s="14" t="s">
        <v>25</v>
      </c>
      <c r="B16" s="15">
        <f>($D$21/30*30)</f>
        <v>13228814.999999998</v>
      </c>
      <c r="C16" s="16">
        <f>+B16*0.08</f>
        <v>1058305.2</v>
      </c>
      <c r="D16" s="12">
        <f>+((B16+C16)*0.1)*0.19</f>
        <v>271455.28379999998</v>
      </c>
      <c r="E16" s="17">
        <f>ROUND(B16+C16+D16,0)</f>
        <v>14558575</v>
      </c>
      <c r="F16" s="2"/>
      <c r="G16" s="2"/>
    </row>
    <row r="17" spans="1:11" x14ac:dyDescent="0.35">
      <c r="A17" s="62" t="s">
        <v>47</v>
      </c>
      <c r="B17" s="63">
        <f>($D$21/30*30)</f>
        <v>13228814.999999998</v>
      </c>
      <c r="C17" s="64">
        <f>+B17*0.1</f>
        <v>1322881.5</v>
      </c>
      <c r="D17" s="65">
        <f>+((B17+C17)*0.1)*0.19</f>
        <v>276482.23349999997</v>
      </c>
      <c r="E17" s="66">
        <f>ROUND(B17+C17+D17,0)</f>
        <v>14828179</v>
      </c>
      <c r="F17" s="2"/>
      <c r="G17" s="2"/>
    </row>
    <row r="18" spans="1:11" ht="15" thickBot="1" x14ac:dyDescent="0.4">
      <c r="A18" s="55" t="s">
        <v>42</v>
      </c>
      <c r="B18" s="56">
        <f>($D$21*C32/30*20)</f>
        <v>2961667.1021999987</v>
      </c>
      <c r="C18" s="57">
        <f>+B18*0.08</f>
        <v>236933.3681759999</v>
      </c>
      <c r="D18" s="58">
        <f>+((B18+C18)*0.1)*0.19</f>
        <v>60773.40893714397</v>
      </c>
      <c r="E18" s="59">
        <f>ROUND(B18+C18+D18,0)</f>
        <v>3259374</v>
      </c>
      <c r="F18" s="2"/>
      <c r="G18" s="2"/>
    </row>
    <row r="19" spans="1:11" ht="15" thickBot="1" x14ac:dyDescent="0.4">
      <c r="G19" s="2"/>
    </row>
    <row r="20" spans="1:11" ht="15" thickBot="1" x14ac:dyDescent="0.4">
      <c r="C20" s="132" t="s">
        <v>50</v>
      </c>
      <c r="D20" s="107" t="s">
        <v>51</v>
      </c>
    </row>
    <row r="21" spans="1:11" ht="15" thickBot="1" x14ac:dyDescent="0.4">
      <c r="B21" s="7" t="s">
        <v>53</v>
      </c>
      <c r="C21" s="106">
        <f>+(F27*F29)+F30</f>
        <v>13015290</v>
      </c>
      <c r="D21" s="106">
        <f>+(F27*F33)+F34</f>
        <v>13228814.999999998</v>
      </c>
    </row>
    <row r="22" spans="1:11" x14ac:dyDescent="0.35">
      <c r="B22" s="19" t="s">
        <v>22</v>
      </c>
      <c r="C22" s="20">
        <v>20</v>
      </c>
      <c r="D22" s="20">
        <v>20</v>
      </c>
      <c r="H22" s="2"/>
      <c r="I22" s="31"/>
    </row>
    <row r="23" spans="1:11" x14ac:dyDescent="0.35">
      <c r="B23" s="21" t="s">
        <v>23</v>
      </c>
      <c r="C23" s="22">
        <v>24</v>
      </c>
      <c r="D23" s="22">
        <v>24</v>
      </c>
    </row>
    <row r="24" spans="1:11" x14ac:dyDescent="0.35">
      <c r="B24" s="21" t="s">
        <v>24</v>
      </c>
      <c r="C24" s="22">
        <v>22</v>
      </c>
      <c r="D24" s="22">
        <v>22</v>
      </c>
    </row>
    <row r="25" spans="1:11" ht="15" thickBot="1" x14ac:dyDescent="0.4">
      <c r="B25" s="23" t="s">
        <v>26</v>
      </c>
      <c r="C25" s="24">
        <v>26</v>
      </c>
      <c r="D25" s="24">
        <v>26</v>
      </c>
    </row>
    <row r="26" spans="1:11" ht="15" thickBot="1" x14ac:dyDescent="0.4">
      <c r="H26" s="32"/>
      <c r="K26" s="33"/>
    </row>
    <row r="27" spans="1:11" ht="15" thickBot="1" x14ac:dyDescent="0.4">
      <c r="B27" s="25" t="s">
        <v>27</v>
      </c>
      <c r="C27" s="26">
        <v>0.44030000000000002</v>
      </c>
      <c r="E27" s="102" t="s">
        <v>0</v>
      </c>
      <c r="F27" s="103">
        <v>1423500</v>
      </c>
    </row>
    <row r="28" spans="1:11" ht="15" thickBot="1" x14ac:dyDescent="0.4">
      <c r="B28" s="27" t="s">
        <v>28</v>
      </c>
      <c r="C28" s="28">
        <f>+($C$27/9)*8</f>
        <v>0.39137777777777782</v>
      </c>
      <c r="D28" s="2"/>
      <c r="E28" s="147" t="s">
        <v>50</v>
      </c>
      <c r="F28" s="148"/>
    </row>
    <row r="29" spans="1:11" x14ac:dyDescent="0.35">
      <c r="B29" s="27" t="s">
        <v>29</v>
      </c>
      <c r="C29" s="28">
        <f>+($C$27/9)*4</f>
        <v>0.19568888888888891</v>
      </c>
      <c r="D29" s="2"/>
      <c r="E29" s="104" t="s">
        <v>39</v>
      </c>
      <c r="F29" s="105">
        <v>9.14</v>
      </c>
      <c r="I29" s="2"/>
    </row>
    <row r="30" spans="1:11" ht="15" thickBot="1" x14ac:dyDescent="0.4">
      <c r="B30" s="27" t="s">
        <v>30</v>
      </c>
      <c r="C30" s="28">
        <f>+($C$27/9)*1</f>
        <v>4.8922222222222228E-2</v>
      </c>
      <c r="E30" s="1" t="s">
        <v>40</v>
      </c>
      <c r="F30" s="53">
        <v>4500</v>
      </c>
      <c r="I30" s="2"/>
    </row>
    <row r="31" spans="1:11" ht="15" thickBot="1" x14ac:dyDescent="0.4">
      <c r="B31" s="27" t="s">
        <v>31</v>
      </c>
      <c r="C31" s="28">
        <v>0.55969999999999998</v>
      </c>
      <c r="I31" s="2"/>
    </row>
    <row r="32" spans="1:11" ht="15" thickBot="1" x14ac:dyDescent="0.4">
      <c r="B32" s="27" t="s">
        <v>41</v>
      </c>
      <c r="C32" s="28">
        <f>+($C$31/15)*9</f>
        <v>0.33581999999999995</v>
      </c>
      <c r="E32" s="147" t="s">
        <v>51</v>
      </c>
      <c r="F32" s="148"/>
    </row>
    <row r="33" spans="2:6" x14ac:dyDescent="0.35">
      <c r="B33" s="27" t="s">
        <v>32</v>
      </c>
      <c r="C33" s="28">
        <f>+($C$31/15)*7</f>
        <v>0.26119333333333333</v>
      </c>
      <c r="E33" s="104" t="s">
        <v>39</v>
      </c>
      <c r="F33" s="105">
        <v>9.2899999999999991</v>
      </c>
    </row>
    <row r="34" spans="2:6" ht="15" thickBot="1" x14ac:dyDescent="0.4">
      <c r="B34" s="27" t="s">
        <v>33</v>
      </c>
      <c r="C34" s="28">
        <f>+($C$31/15)*4</f>
        <v>0.14925333333333332</v>
      </c>
      <c r="E34" s="1" t="s">
        <v>40</v>
      </c>
      <c r="F34" s="53">
        <v>4500</v>
      </c>
    </row>
    <row r="35" spans="2:6" ht="15" thickBot="1" x14ac:dyDescent="0.4">
      <c r="B35" s="29" t="s">
        <v>34</v>
      </c>
      <c r="C35" s="30">
        <f>+($C$31/15)*3</f>
        <v>0.11193999999999998</v>
      </c>
    </row>
    <row r="38" spans="2:6" ht="15" customHeight="1" x14ac:dyDescent="0.35"/>
  </sheetData>
  <autoFilter ref="A3:E26" xr:uid="{00000000-0009-0000-0000-000000000000}"/>
  <mergeCells count="5">
    <mergeCell ref="A1:E1"/>
    <mergeCell ref="A2:E2"/>
    <mergeCell ref="A12:E12"/>
    <mergeCell ref="E28:F28"/>
    <mergeCell ref="E32:F32"/>
  </mergeCells>
  <pageMargins left="0.7" right="0.7" top="0.75" bottom="0.75" header="0.3" footer="0.3"/>
  <pageSetup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AC15C-5FEF-4BBC-ACAF-FD59AEBCC37A}">
  <sheetPr>
    <pageSetUpPr fitToPage="1"/>
  </sheetPr>
  <dimension ref="A1:I89"/>
  <sheetViews>
    <sheetView tabSelected="1" zoomScale="55" zoomScaleNormal="55" workbookViewId="0">
      <pane ySplit="2" topLeftCell="A26" activePane="bottomLeft" state="frozen"/>
      <selection activeCell="D1" sqref="D1"/>
      <selection pane="bottomLeft" activeCell="O42" sqref="O42"/>
    </sheetView>
  </sheetViews>
  <sheetFormatPr baseColWidth="10" defaultColWidth="9.1796875" defaultRowHeight="13" x14ac:dyDescent="0.35"/>
  <cols>
    <col min="1" max="1" width="9.1796875" style="38"/>
    <col min="2" max="2" width="47.1796875" style="39" customWidth="1"/>
    <col min="3" max="3" width="27.1796875" style="39" bestFit="1" customWidth="1"/>
    <col min="4" max="4" width="15.453125" style="40" customWidth="1"/>
    <col min="5" max="6" width="17.81640625" style="40" customWidth="1"/>
    <col min="7" max="7" width="14.1796875" style="40" customWidth="1"/>
    <col min="8" max="8" width="14.54296875" style="40" customWidth="1"/>
    <col min="9" max="10" width="14.453125" style="38" bestFit="1" customWidth="1"/>
    <col min="11" max="16384" width="9.1796875" style="38"/>
  </cols>
  <sheetData>
    <row r="1" spans="1:8" ht="13.5" thickBot="1" x14ac:dyDescent="0.4">
      <c r="A1" s="151" t="s">
        <v>55</v>
      </c>
      <c r="B1" s="152"/>
      <c r="C1" s="152"/>
      <c r="D1" s="153"/>
      <c r="E1" s="153"/>
      <c r="F1" s="153"/>
      <c r="G1" s="153"/>
      <c r="H1" s="154"/>
    </row>
    <row r="2" spans="1:8" s="76" customFormat="1" ht="102.65" customHeight="1" thickBot="1" x14ac:dyDescent="0.4">
      <c r="A2" s="109" t="s">
        <v>46</v>
      </c>
      <c r="B2" s="110" t="s">
        <v>44</v>
      </c>
      <c r="C2" s="137" t="s">
        <v>35</v>
      </c>
      <c r="D2" s="136" t="str">
        <f>+'TARIFAS 2025 '!A4</f>
        <v>PUESTO 24 HORAS TODOS LOS DÍAS CON ARMA</v>
      </c>
      <c r="E2" s="141" t="str">
        <f>+'TARIFAS 2025 '!A5</f>
        <v>PUESTO 24 HORAS TODOS LOS DÍAS SIN ARMA</v>
      </c>
      <c r="F2" s="141" t="str">
        <f>+'TARIFAS 2025 '!A6</f>
        <v>PUESTO 24 HORAS MONITOREO</v>
      </c>
      <c r="G2" s="110" t="str">
        <f>+'TARIFAS 2025 '!A7</f>
        <v>PUESTO SUPERVISOR MOTORIZADO CON ARMA 24 HORAS TODOS LOS DIAS</v>
      </c>
      <c r="H2" s="111" t="str">
        <f>+'TARIFAS 2025 '!A8</f>
        <v>PUESTO 9 HORAS DIURNAS LUNES A VIERNES NO INCLUYE FESTIVOS SIN ARMA</v>
      </c>
    </row>
    <row r="3" spans="1:8" s="34" customFormat="1" ht="14.5" x14ac:dyDescent="0.35">
      <c r="A3" s="70">
        <v>1</v>
      </c>
      <c r="B3" s="67" t="s">
        <v>5</v>
      </c>
      <c r="C3" s="60" t="s">
        <v>43</v>
      </c>
      <c r="D3" s="138">
        <v>0</v>
      </c>
      <c r="E3" s="139">
        <v>1</v>
      </c>
      <c r="F3" s="139">
        <v>0</v>
      </c>
      <c r="G3" s="139">
        <v>0</v>
      </c>
      <c r="H3" s="140">
        <v>0</v>
      </c>
    </row>
    <row r="4" spans="1:8" s="34" customFormat="1" ht="14.5" x14ac:dyDescent="0.35">
      <c r="A4" s="71">
        <v>2</v>
      </c>
      <c r="B4" s="68" t="s">
        <v>6</v>
      </c>
      <c r="C4" s="36" t="s">
        <v>43</v>
      </c>
      <c r="D4" s="94">
        <v>1</v>
      </c>
      <c r="E4" s="95">
        <v>0</v>
      </c>
      <c r="F4" s="134">
        <v>0</v>
      </c>
      <c r="G4" s="95">
        <v>0</v>
      </c>
      <c r="H4" s="96">
        <v>0</v>
      </c>
    </row>
    <row r="5" spans="1:8" s="34" customFormat="1" ht="14.5" x14ac:dyDescent="0.35">
      <c r="A5" s="71">
        <v>3</v>
      </c>
      <c r="B5" s="68" t="s">
        <v>7</v>
      </c>
      <c r="C5" s="36" t="s">
        <v>43</v>
      </c>
      <c r="D5" s="94">
        <v>0</v>
      </c>
      <c r="E5" s="95">
        <v>1</v>
      </c>
      <c r="F5" s="134">
        <v>0</v>
      </c>
      <c r="G5" s="95">
        <v>0</v>
      </c>
      <c r="H5" s="96">
        <v>0</v>
      </c>
    </row>
    <row r="6" spans="1:8" s="34" customFormat="1" ht="29" x14ac:dyDescent="0.35">
      <c r="A6" s="71">
        <v>4</v>
      </c>
      <c r="B6" s="68" t="s">
        <v>8</v>
      </c>
      <c r="C6" s="36" t="s">
        <v>43</v>
      </c>
      <c r="D6" s="94">
        <v>1</v>
      </c>
      <c r="E6" s="95">
        <v>0</v>
      </c>
      <c r="F6" s="134">
        <v>0</v>
      </c>
      <c r="G6" s="95">
        <v>0</v>
      </c>
      <c r="H6" s="96">
        <v>0</v>
      </c>
    </row>
    <row r="7" spans="1:8" s="34" customFormat="1" ht="14.5" x14ac:dyDescent="0.35">
      <c r="A7" s="71">
        <v>5</v>
      </c>
      <c r="B7" s="68" t="s">
        <v>9</v>
      </c>
      <c r="C7" s="36" t="s">
        <v>43</v>
      </c>
      <c r="D7" s="94">
        <v>0</v>
      </c>
      <c r="E7" s="95">
        <v>0</v>
      </c>
      <c r="F7" s="134">
        <v>1</v>
      </c>
      <c r="G7" s="95">
        <v>0</v>
      </c>
      <c r="H7" s="96">
        <v>0</v>
      </c>
    </row>
    <row r="8" spans="1:8" s="34" customFormat="1" ht="15" thickBot="1" x14ac:dyDescent="0.4">
      <c r="A8" s="77">
        <v>6</v>
      </c>
      <c r="B8" s="69" t="s">
        <v>10</v>
      </c>
      <c r="C8" s="37" t="s">
        <v>43</v>
      </c>
      <c r="D8" s="97">
        <v>0</v>
      </c>
      <c r="E8" s="98">
        <v>1</v>
      </c>
      <c r="F8" s="98">
        <v>0</v>
      </c>
      <c r="G8" s="98">
        <v>0</v>
      </c>
      <c r="H8" s="99">
        <v>0</v>
      </c>
    </row>
    <row r="9" spans="1:8" s="34" customFormat="1" ht="14.5" x14ac:dyDescent="0.35">
      <c r="A9" s="181">
        <v>7</v>
      </c>
      <c r="B9" s="187" t="s">
        <v>11</v>
      </c>
      <c r="C9" s="188" t="s">
        <v>43</v>
      </c>
      <c r="D9" s="184">
        <v>0</v>
      </c>
      <c r="E9" s="172">
        <v>0</v>
      </c>
      <c r="F9" s="172">
        <v>0</v>
      </c>
      <c r="G9" s="172">
        <v>1</v>
      </c>
      <c r="H9" s="175">
        <v>0</v>
      </c>
    </row>
    <row r="10" spans="1:8" s="34" customFormat="1" ht="14.5" x14ac:dyDescent="0.35">
      <c r="A10" s="182"/>
      <c r="B10" s="189" t="s">
        <v>13</v>
      </c>
      <c r="C10" s="190" t="s">
        <v>43</v>
      </c>
      <c r="D10" s="185"/>
      <c r="E10" s="173"/>
      <c r="F10" s="173"/>
      <c r="G10" s="173"/>
      <c r="H10" s="176"/>
    </row>
    <row r="11" spans="1:8" s="34" customFormat="1" ht="14.5" x14ac:dyDescent="0.35">
      <c r="A11" s="182"/>
      <c r="B11" s="189" t="s">
        <v>14</v>
      </c>
      <c r="C11" s="190" t="s">
        <v>43</v>
      </c>
      <c r="D11" s="185"/>
      <c r="E11" s="173"/>
      <c r="F11" s="173"/>
      <c r="G11" s="173"/>
      <c r="H11" s="176"/>
    </row>
    <row r="12" spans="1:8" s="34" customFormat="1" ht="14.5" x14ac:dyDescent="0.35">
      <c r="A12" s="182"/>
      <c r="B12" s="189" t="s">
        <v>72</v>
      </c>
      <c r="C12" s="190" t="s">
        <v>43</v>
      </c>
      <c r="D12" s="185"/>
      <c r="E12" s="173"/>
      <c r="F12" s="173"/>
      <c r="G12" s="173"/>
      <c r="H12" s="176"/>
    </row>
    <row r="13" spans="1:8" s="34" customFormat="1" ht="14.5" x14ac:dyDescent="0.35">
      <c r="A13" s="182"/>
      <c r="B13" s="189" t="s">
        <v>73</v>
      </c>
      <c r="C13" s="190" t="s">
        <v>43</v>
      </c>
      <c r="D13" s="185"/>
      <c r="E13" s="173"/>
      <c r="F13" s="173"/>
      <c r="G13" s="173"/>
      <c r="H13" s="176"/>
    </row>
    <row r="14" spans="1:8" s="34" customFormat="1" ht="14.5" x14ac:dyDescent="0.35">
      <c r="A14" s="182"/>
      <c r="B14" s="189" t="s">
        <v>74</v>
      </c>
      <c r="C14" s="190" t="s">
        <v>43</v>
      </c>
      <c r="D14" s="185"/>
      <c r="E14" s="173"/>
      <c r="F14" s="173"/>
      <c r="G14" s="173"/>
      <c r="H14" s="176"/>
    </row>
    <row r="15" spans="1:8" s="34" customFormat="1" ht="15" thickBot="1" x14ac:dyDescent="0.4">
      <c r="A15" s="183"/>
      <c r="B15" s="191" t="s">
        <v>15</v>
      </c>
      <c r="C15" s="192" t="s">
        <v>43</v>
      </c>
      <c r="D15" s="186"/>
      <c r="E15" s="174"/>
      <c r="F15" s="174"/>
      <c r="G15" s="174"/>
      <c r="H15" s="177"/>
    </row>
    <row r="16" spans="1:8" s="34" customFormat="1" ht="14.5" x14ac:dyDescent="0.35">
      <c r="A16" s="81">
        <v>8</v>
      </c>
      <c r="B16" s="78" t="s">
        <v>12</v>
      </c>
      <c r="C16" s="35" t="s">
        <v>43</v>
      </c>
      <c r="D16" s="138">
        <v>0</v>
      </c>
      <c r="E16" s="139">
        <v>0</v>
      </c>
      <c r="F16" s="139">
        <v>0</v>
      </c>
      <c r="G16" s="139">
        <v>0</v>
      </c>
      <c r="H16" s="140">
        <v>1</v>
      </c>
    </row>
    <row r="17" spans="1:9" s="34" customFormat="1" ht="15" thickBot="1" x14ac:dyDescent="0.4">
      <c r="A17" s="79">
        <v>9</v>
      </c>
      <c r="B17" s="80" t="s">
        <v>16</v>
      </c>
      <c r="C17" s="61" t="s">
        <v>43</v>
      </c>
      <c r="D17" s="108">
        <v>0</v>
      </c>
      <c r="E17" s="100">
        <v>1</v>
      </c>
      <c r="F17" s="135">
        <v>0</v>
      </c>
      <c r="G17" s="100">
        <v>0</v>
      </c>
      <c r="H17" s="101">
        <v>0</v>
      </c>
    </row>
    <row r="18" spans="1:9" s="34" customFormat="1" ht="37.5" customHeight="1" thickBot="1" x14ac:dyDescent="0.4">
      <c r="A18" s="178" t="s">
        <v>45</v>
      </c>
      <c r="B18" s="179"/>
      <c r="C18" s="180"/>
      <c r="D18" s="112">
        <f>SUM(D3:D17)</f>
        <v>2</v>
      </c>
      <c r="E18" s="113">
        <f>SUM(E3:E17)</f>
        <v>4</v>
      </c>
      <c r="F18" s="113">
        <f>SUM(F3:F17)</f>
        <v>1</v>
      </c>
      <c r="G18" s="113">
        <f>SUM(G3:G17)</f>
        <v>1</v>
      </c>
      <c r="H18" s="114">
        <f>SUM(H3:H17)</f>
        <v>1</v>
      </c>
    </row>
    <row r="19" spans="1:9" ht="13.5" thickBot="1" x14ac:dyDescent="0.4"/>
    <row r="20" spans="1:9" ht="14.5" customHeight="1" x14ac:dyDescent="0.35">
      <c r="A20" s="156" t="s">
        <v>36</v>
      </c>
      <c r="B20" s="157"/>
      <c r="C20" s="158"/>
      <c r="D20" s="41">
        <f>+'TARIFAS 2025 '!B4</f>
        <v>13015290</v>
      </c>
      <c r="E20" s="42">
        <f>+'TARIFAS 2025 '!B5</f>
        <v>13015290</v>
      </c>
      <c r="F20" s="42">
        <f>+'TARIFAS 2025 '!B6</f>
        <v>13015290</v>
      </c>
      <c r="G20" s="42">
        <f>+'TARIFAS 2025 '!B7</f>
        <v>13015290</v>
      </c>
      <c r="H20" s="43">
        <f>+'TARIFAS 2025 '!B8</f>
        <v>2913863.1251999997</v>
      </c>
    </row>
    <row r="21" spans="1:9" ht="14.5" customHeight="1" x14ac:dyDescent="0.35">
      <c r="A21" s="159" t="s">
        <v>2</v>
      </c>
      <c r="B21" s="160"/>
      <c r="C21" s="161"/>
      <c r="D21" s="44">
        <f>+D20*0.1</f>
        <v>1301529</v>
      </c>
      <c r="E21" s="45">
        <f>+E20*0.08</f>
        <v>1041223.2000000001</v>
      </c>
      <c r="F21" s="45">
        <f>+F20*0.08</f>
        <v>1041223.2000000001</v>
      </c>
      <c r="G21" s="45">
        <f>+G20*0.1</f>
        <v>1301529</v>
      </c>
      <c r="H21" s="46">
        <f t="shared" ref="H21" si="0">+H20*0.08</f>
        <v>233109.05001599996</v>
      </c>
    </row>
    <row r="22" spans="1:9" ht="15" customHeight="1" thickBot="1" x14ac:dyDescent="0.4">
      <c r="A22" s="162" t="s">
        <v>3</v>
      </c>
      <c r="B22" s="163"/>
      <c r="C22" s="164"/>
      <c r="D22" s="47">
        <f>+(D20+D21)*0.019</f>
        <v>272019.56099999999</v>
      </c>
      <c r="E22" s="48">
        <f t="shared" ref="E22:H22" si="1">+(E20+E21)*0.019</f>
        <v>267073.75079999998</v>
      </c>
      <c r="F22" s="48">
        <f t="shared" ref="F22" si="2">+(F20+F21)*0.019</f>
        <v>267073.75079999998</v>
      </c>
      <c r="G22" s="48">
        <f t="shared" si="1"/>
        <v>272019.56099999999</v>
      </c>
      <c r="H22" s="49">
        <f t="shared" si="1"/>
        <v>59792.471329103988</v>
      </c>
    </row>
    <row r="23" spans="1:9" ht="15" customHeight="1" thickBot="1" x14ac:dyDescent="0.4">
      <c r="A23" s="165" t="s">
        <v>4</v>
      </c>
      <c r="B23" s="166"/>
      <c r="C23" s="167"/>
      <c r="D23" s="50">
        <f>+D20+D21+D22</f>
        <v>14588838.561000001</v>
      </c>
      <c r="E23" s="51">
        <f t="shared" ref="E23:H23" si="3">+E20+E21+E22</f>
        <v>14323586.9508</v>
      </c>
      <c r="F23" s="51">
        <f t="shared" ref="F23" si="4">+F20+F21+F22</f>
        <v>14323586.9508</v>
      </c>
      <c r="G23" s="51">
        <f t="shared" si="3"/>
        <v>14588838.561000001</v>
      </c>
      <c r="H23" s="72">
        <f t="shared" si="3"/>
        <v>3206764.6465451038</v>
      </c>
    </row>
    <row r="24" spans="1:9" ht="13.5" thickBot="1" x14ac:dyDescent="0.4"/>
    <row r="25" spans="1:9" ht="15" customHeight="1" thickBot="1" x14ac:dyDescent="0.4">
      <c r="A25" s="168" t="s">
        <v>1</v>
      </c>
      <c r="B25" s="169"/>
      <c r="C25" s="169"/>
      <c r="D25" s="82">
        <f>+D18*(D20+D21)</f>
        <v>28633638</v>
      </c>
      <c r="E25" s="83">
        <f t="shared" ref="E25:H25" si="5">+E18*(E20+E21)</f>
        <v>56226052.799999997</v>
      </c>
      <c r="F25" s="83">
        <f t="shared" ref="F25" si="6">+F18*(F20+F21)</f>
        <v>14056513.199999999</v>
      </c>
      <c r="G25" s="83">
        <f t="shared" si="5"/>
        <v>14316819</v>
      </c>
      <c r="H25" s="84">
        <f t="shared" si="5"/>
        <v>3146972.1752159996</v>
      </c>
    </row>
    <row r="26" spans="1:9" ht="15" customHeight="1" thickBot="1" x14ac:dyDescent="0.4">
      <c r="A26" s="170" t="s">
        <v>37</v>
      </c>
      <c r="B26" s="171"/>
      <c r="C26" s="171"/>
      <c r="D26" s="85">
        <f>+D18*D22</f>
        <v>544039.12199999997</v>
      </c>
      <c r="E26" s="86">
        <f t="shared" ref="E26:H26" si="7">+E18*E22</f>
        <v>1068295.0031999999</v>
      </c>
      <c r="F26" s="86">
        <f t="shared" ref="F26" si="8">+F18*F22</f>
        <v>267073.75079999998</v>
      </c>
      <c r="G26" s="86">
        <f t="shared" si="7"/>
        <v>272019.56099999999</v>
      </c>
      <c r="H26" s="87">
        <f t="shared" si="7"/>
        <v>59792.471329103988</v>
      </c>
    </row>
    <row r="27" spans="1:9" ht="15" customHeight="1" thickBot="1" x14ac:dyDescent="0.4">
      <c r="A27" s="149" t="s">
        <v>38</v>
      </c>
      <c r="B27" s="150"/>
      <c r="C27" s="150"/>
      <c r="D27" s="88">
        <f>+D25+D26</f>
        <v>29177677.122000001</v>
      </c>
      <c r="E27" s="89">
        <f t="shared" ref="E27:H27" si="9">+E25+E26</f>
        <v>57294347.803199999</v>
      </c>
      <c r="F27" s="89">
        <f t="shared" ref="F27" si="10">+F25+F26</f>
        <v>14323586.9508</v>
      </c>
      <c r="G27" s="89">
        <f t="shared" si="9"/>
        <v>14588838.561000001</v>
      </c>
      <c r="H27" s="90">
        <f t="shared" si="9"/>
        <v>3206764.6465451038</v>
      </c>
    </row>
    <row r="28" spans="1:9" ht="13.5" thickBot="1" x14ac:dyDescent="0.4"/>
    <row r="29" spans="1:9" x14ac:dyDescent="0.35">
      <c r="G29" s="73" t="s">
        <v>1</v>
      </c>
      <c r="H29" s="123">
        <f>SUM(D25:H25)</f>
        <v>116379995.175216</v>
      </c>
      <c r="I29" s="52"/>
    </row>
    <row r="30" spans="1:9" x14ac:dyDescent="0.35">
      <c r="G30" s="74" t="s">
        <v>3</v>
      </c>
      <c r="H30" s="124">
        <f>SUM(D26:H26)</f>
        <v>2211219.9083291041</v>
      </c>
    </row>
    <row r="31" spans="1:9" ht="13.5" thickBot="1" x14ac:dyDescent="0.4">
      <c r="G31" s="75" t="s">
        <v>4</v>
      </c>
      <c r="H31" s="125">
        <f>+H29+H30</f>
        <v>118591215.0835451</v>
      </c>
    </row>
    <row r="34" spans="1:8" ht="13.5" thickBot="1" x14ac:dyDescent="0.4"/>
    <row r="35" spans="1:8" ht="13.5" thickBot="1" x14ac:dyDescent="0.4">
      <c r="A35" s="151" t="s">
        <v>54</v>
      </c>
      <c r="B35" s="152"/>
      <c r="C35" s="152"/>
      <c r="D35" s="153"/>
      <c r="E35" s="153"/>
      <c r="F35" s="153"/>
      <c r="G35" s="153"/>
      <c r="H35" s="154"/>
    </row>
    <row r="36" spans="1:8" s="76" customFormat="1" ht="102.65" customHeight="1" thickBot="1" x14ac:dyDescent="0.4">
      <c r="A36" s="109" t="s">
        <v>46</v>
      </c>
      <c r="B36" s="110" t="s">
        <v>44</v>
      </c>
      <c r="C36" s="137" t="s">
        <v>35</v>
      </c>
      <c r="D36" s="136" t="str">
        <f>+D2</f>
        <v>PUESTO 24 HORAS TODOS LOS DÍAS CON ARMA</v>
      </c>
      <c r="E36" s="141" t="str">
        <f>+E2</f>
        <v>PUESTO 24 HORAS TODOS LOS DÍAS SIN ARMA</v>
      </c>
      <c r="F36" s="141" t="str">
        <f>+'TARIFAS 2025 '!A16</f>
        <v>PUESTO 24 HORAS MONITOREO</v>
      </c>
      <c r="G36" s="110" t="str">
        <f>+G2</f>
        <v>PUESTO SUPERVISOR MOTORIZADO CON ARMA 24 HORAS TODOS LOS DIAS</v>
      </c>
      <c r="H36" s="111" t="str">
        <f>+H2</f>
        <v>PUESTO 9 HORAS DIURNAS LUNES A VIERNES NO INCLUYE FESTIVOS SIN ARMA</v>
      </c>
    </row>
    <row r="37" spans="1:8" s="34" customFormat="1" ht="14.5" x14ac:dyDescent="0.35">
      <c r="A37" s="70">
        <v>1</v>
      </c>
      <c r="B37" s="67" t="s">
        <v>5</v>
      </c>
      <c r="C37" s="60" t="s">
        <v>43</v>
      </c>
      <c r="D37" s="138">
        <v>0</v>
      </c>
      <c r="E37" s="139">
        <v>1</v>
      </c>
      <c r="F37" s="139">
        <v>0</v>
      </c>
      <c r="G37" s="139">
        <v>0</v>
      </c>
      <c r="H37" s="140">
        <v>0</v>
      </c>
    </row>
    <row r="38" spans="1:8" s="34" customFormat="1" ht="14.5" x14ac:dyDescent="0.35">
      <c r="A38" s="71">
        <v>2</v>
      </c>
      <c r="B38" s="68" t="s">
        <v>6</v>
      </c>
      <c r="C38" s="36" t="s">
        <v>43</v>
      </c>
      <c r="D38" s="94">
        <v>1</v>
      </c>
      <c r="E38" s="95">
        <v>0</v>
      </c>
      <c r="F38" s="134">
        <v>0</v>
      </c>
      <c r="G38" s="95">
        <v>0</v>
      </c>
      <c r="H38" s="96">
        <v>0</v>
      </c>
    </row>
    <row r="39" spans="1:8" s="34" customFormat="1" ht="14.5" x14ac:dyDescent="0.35">
      <c r="A39" s="71">
        <v>3</v>
      </c>
      <c r="B39" s="68" t="s">
        <v>7</v>
      </c>
      <c r="C39" s="36" t="s">
        <v>43</v>
      </c>
      <c r="D39" s="94">
        <v>0</v>
      </c>
      <c r="E39" s="95">
        <v>1</v>
      </c>
      <c r="F39" s="134">
        <v>0</v>
      </c>
      <c r="G39" s="95">
        <v>0</v>
      </c>
      <c r="H39" s="96">
        <v>0</v>
      </c>
    </row>
    <row r="40" spans="1:8" s="34" customFormat="1" ht="29" x14ac:dyDescent="0.35">
      <c r="A40" s="71">
        <v>4</v>
      </c>
      <c r="B40" s="68" t="s">
        <v>8</v>
      </c>
      <c r="C40" s="36" t="s">
        <v>43</v>
      </c>
      <c r="D40" s="94">
        <v>1</v>
      </c>
      <c r="E40" s="95">
        <v>0</v>
      </c>
      <c r="F40" s="134">
        <v>0</v>
      </c>
      <c r="G40" s="95">
        <v>0</v>
      </c>
      <c r="H40" s="96">
        <v>0</v>
      </c>
    </row>
    <row r="41" spans="1:8" s="34" customFormat="1" ht="14.5" x14ac:dyDescent="0.35">
      <c r="A41" s="71">
        <v>5</v>
      </c>
      <c r="B41" s="68" t="s">
        <v>9</v>
      </c>
      <c r="C41" s="36" t="s">
        <v>43</v>
      </c>
      <c r="D41" s="94">
        <v>0</v>
      </c>
      <c r="E41" s="95">
        <v>0</v>
      </c>
      <c r="F41" s="134">
        <v>1</v>
      </c>
      <c r="G41" s="95">
        <v>0</v>
      </c>
      <c r="H41" s="96">
        <v>0</v>
      </c>
    </row>
    <row r="42" spans="1:8" s="34" customFormat="1" ht="15" thickBot="1" x14ac:dyDescent="0.4">
      <c r="A42" s="77">
        <v>6</v>
      </c>
      <c r="B42" s="69" t="s">
        <v>10</v>
      </c>
      <c r="C42" s="37" t="s">
        <v>43</v>
      </c>
      <c r="D42" s="97">
        <v>0</v>
      </c>
      <c r="E42" s="98">
        <v>1</v>
      </c>
      <c r="F42" s="98">
        <v>0</v>
      </c>
      <c r="G42" s="98">
        <v>0</v>
      </c>
      <c r="H42" s="99">
        <v>0</v>
      </c>
    </row>
    <row r="43" spans="1:8" s="34" customFormat="1" ht="14.5" x14ac:dyDescent="0.35">
      <c r="A43" s="181">
        <v>7</v>
      </c>
      <c r="B43" s="187" t="s">
        <v>11</v>
      </c>
      <c r="C43" s="188" t="s">
        <v>43</v>
      </c>
      <c r="D43" s="184">
        <v>0</v>
      </c>
      <c r="E43" s="172">
        <v>0</v>
      </c>
      <c r="F43" s="172">
        <v>0</v>
      </c>
      <c r="G43" s="172">
        <v>1</v>
      </c>
      <c r="H43" s="175">
        <v>0</v>
      </c>
    </row>
    <row r="44" spans="1:8" s="34" customFormat="1" ht="14.5" x14ac:dyDescent="0.35">
      <c r="A44" s="182"/>
      <c r="B44" s="189" t="s">
        <v>13</v>
      </c>
      <c r="C44" s="190" t="s">
        <v>43</v>
      </c>
      <c r="D44" s="185"/>
      <c r="E44" s="173"/>
      <c r="F44" s="173"/>
      <c r="G44" s="173"/>
      <c r="H44" s="176"/>
    </row>
    <row r="45" spans="1:8" s="34" customFormat="1" ht="14.5" x14ac:dyDescent="0.35">
      <c r="A45" s="182"/>
      <c r="B45" s="189" t="s">
        <v>14</v>
      </c>
      <c r="C45" s="190" t="s">
        <v>43</v>
      </c>
      <c r="D45" s="185"/>
      <c r="E45" s="173"/>
      <c r="F45" s="173"/>
      <c r="G45" s="173"/>
      <c r="H45" s="176"/>
    </row>
    <row r="46" spans="1:8" s="34" customFormat="1" ht="14.5" x14ac:dyDescent="0.35">
      <c r="A46" s="182"/>
      <c r="B46" s="189" t="s">
        <v>72</v>
      </c>
      <c r="C46" s="190" t="s">
        <v>43</v>
      </c>
      <c r="D46" s="185"/>
      <c r="E46" s="173"/>
      <c r="F46" s="173"/>
      <c r="G46" s="173"/>
      <c r="H46" s="176"/>
    </row>
    <row r="47" spans="1:8" s="34" customFormat="1" ht="14.5" x14ac:dyDescent="0.35">
      <c r="A47" s="182"/>
      <c r="B47" s="189" t="s">
        <v>73</v>
      </c>
      <c r="C47" s="190" t="s">
        <v>43</v>
      </c>
      <c r="D47" s="185"/>
      <c r="E47" s="173"/>
      <c r="F47" s="173"/>
      <c r="G47" s="173"/>
      <c r="H47" s="176"/>
    </row>
    <row r="48" spans="1:8" s="34" customFormat="1" ht="14.5" x14ac:dyDescent="0.35">
      <c r="A48" s="182"/>
      <c r="B48" s="189" t="s">
        <v>74</v>
      </c>
      <c r="C48" s="190" t="s">
        <v>43</v>
      </c>
      <c r="D48" s="185"/>
      <c r="E48" s="173"/>
      <c r="F48" s="173"/>
      <c r="G48" s="173"/>
      <c r="H48" s="176"/>
    </row>
    <row r="49" spans="1:9" s="34" customFormat="1" ht="15" thickBot="1" x14ac:dyDescent="0.4">
      <c r="A49" s="183"/>
      <c r="B49" s="191" t="s">
        <v>15</v>
      </c>
      <c r="C49" s="192" t="s">
        <v>43</v>
      </c>
      <c r="D49" s="186"/>
      <c r="E49" s="174"/>
      <c r="F49" s="174"/>
      <c r="G49" s="174"/>
      <c r="H49" s="177"/>
    </row>
    <row r="50" spans="1:9" s="34" customFormat="1" ht="14.5" x14ac:dyDescent="0.35">
      <c r="A50" s="81">
        <v>8</v>
      </c>
      <c r="B50" s="78" t="s">
        <v>12</v>
      </c>
      <c r="C50" s="35" t="s">
        <v>43</v>
      </c>
      <c r="D50" s="91">
        <v>0</v>
      </c>
      <c r="E50" s="92">
        <v>0</v>
      </c>
      <c r="F50" s="133">
        <v>0</v>
      </c>
      <c r="G50" s="92">
        <v>0</v>
      </c>
      <c r="H50" s="93">
        <v>1</v>
      </c>
    </row>
    <row r="51" spans="1:9" s="34" customFormat="1" ht="15" thickBot="1" x14ac:dyDescent="0.4">
      <c r="A51" s="79">
        <v>9</v>
      </c>
      <c r="B51" s="80" t="s">
        <v>16</v>
      </c>
      <c r="C51" s="61" t="s">
        <v>43</v>
      </c>
      <c r="D51" s="108">
        <v>0</v>
      </c>
      <c r="E51" s="100">
        <v>1</v>
      </c>
      <c r="F51" s="135">
        <v>0</v>
      </c>
      <c r="G51" s="100">
        <v>0</v>
      </c>
      <c r="H51" s="101">
        <v>0</v>
      </c>
    </row>
    <row r="52" spans="1:9" s="34" customFormat="1" ht="37.5" customHeight="1" thickBot="1" x14ac:dyDescent="0.4">
      <c r="A52" s="178" t="s">
        <v>45</v>
      </c>
      <c r="B52" s="179"/>
      <c r="C52" s="180"/>
      <c r="D52" s="112">
        <f>SUM(D37:D51)</f>
        <v>2</v>
      </c>
      <c r="E52" s="113">
        <f>SUM(E37:E51)</f>
        <v>4</v>
      </c>
      <c r="F52" s="113">
        <f>SUM(F37:F51)</f>
        <v>1</v>
      </c>
      <c r="G52" s="113">
        <f>SUM(G37:G51)</f>
        <v>1</v>
      </c>
      <c r="H52" s="114">
        <f>SUM(H37:H51)</f>
        <v>1</v>
      </c>
    </row>
    <row r="53" spans="1:9" ht="13.5" thickBot="1" x14ac:dyDescent="0.4"/>
    <row r="54" spans="1:9" ht="14.5" customHeight="1" x14ac:dyDescent="0.35">
      <c r="A54" s="156" t="s">
        <v>36</v>
      </c>
      <c r="B54" s="157"/>
      <c r="C54" s="158"/>
      <c r="D54" s="41">
        <f>+'TARIFAS 2025 '!B14</f>
        <v>13228814.999999998</v>
      </c>
      <c r="E54" s="42">
        <f>+'TARIFAS 2025 '!B15</f>
        <v>13228814.999999998</v>
      </c>
      <c r="F54" s="42">
        <f>+'TARIFAS 2025 '!B16</f>
        <v>13228814.999999998</v>
      </c>
      <c r="G54" s="42">
        <f>+'TARIFAS 2025 '!B17</f>
        <v>13228814.999999998</v>
      </c>
      <c r="H54" s="43">
        <f>+'TARIFAS 2025 '!B18</f>
        <v>2961667.1021999987</v>
      </c>
    </row>
    <row r="55" spans="1:9" ht="14.5" customHeight="1" x14ac:dyDescent="0.35">
      <c r="A55" s="159" t="s">
        <v>2</v>
      </c>
      <c r="B55" s="160"/>
      <c r="C55" s="161"/>
      <c r="D55" s="44">
        <f>+D54*0.1</f>
        <v>1322881.5</v>
      </c>
      <c r="E55" s="45">
        <f>+E54*0.08</f>
        <v>1058305.2</v>
      </c>
      <c r="F55" s="45">
        <f>+F54*0.08</f>
        <v>1058305.2</v>
      </c>
      <c r="G55" s="45">
        <f>+G54*0.1</f>
        <v>1322881.5</v>
      </c>
      <c r="H55" s="46">
        <f t="shared" ref="H55" si="11">+H54*0.08</f>
        <v>236933.3681759999</v>
      </c>
    </row>
    <row r="56" spans="1:9" ht="15" customHeight="1" thickBot="1" x14ac:dyDescent="0.4">
      <c r="A56" s="162" t="s">
        <v>3</v>
      </c>
      <c r="B56" s="163"/>
      <c r="C56" s="164"/>
      <c r="D56" s="47">
        <f>+(D54+D55)*0.019</f>
        <v>276482.23349999997</v>
      </c>
      <c r="E56" s="48">
        <f t="shared" ref="E56:H56" si="12">+(E54+E55)*0.019</f>
        <v>271455.28379999992</v>
      </c>
      <c r="F56" s="48">
        <f t="shared" ref="F56" si="13">+(F54+F55)*0.019</f>
        <v>271455.28379999992</v>
      </c>
      <c r="G56" s="48">
        <f t="shared" si="12"/>
        <v>276482.23349999997</v>
      </c>
      <c r="H56" s="49">
        <f t="shared" si="12"/>
        <v>60773.40893714397</v>
      </c>
    </row>
    <row r="57" spans="1:9" ht="15" customHeight="1" thickBot="1" x14ac:dyDescent="0.4">
      <c r="A57" s="165" t="s">
        <v>4</v>
      </c>
      <c r="B57" s="166"/>
      <c r="C57" s="167"/>
      <c r="D57" s="50">
        <f>+D54+D55+D56</f>
        <v>14828178.733499998</v>
      </c>
      <c r="E57" s="51">
        <f t="shared" ref="E57:H57" si="14">+E54+E55+E56</f>
        <v>14558575.483799998</v>
      </c>
      <c r="F57" s="51">
        <f t="shared" ref="F57" si="15">+F54+F55+F56</f>
        <v>14558575.483799998</v>
      </c>
      <c r="G57" s="51">
        <f t="shared" si="14"/>
        <v>14828178.733499998</v>
      </c>
      <c r="H57" s="72">
        <f t="shared" si="14"/>
        <v>3259373.8793131425</v>
      </c>
    </row>
    <row r="58" spans="1:9" ht="13.5" thickBot="1" x14ac:dyDescent="0.4"/>
    <row r="59" spans="1:9" ht="15" customHeight="1" thickBot="1" x14ac:dyDescent="0.4">
      <c r="A59" s="168" t="s">
        <v>1</v>
      </c>
      <c r="B59" s="169"/>
      <c r="C59" s="169"/>
      <c r="D59" s="82">
        <f>+D52*(D54+D55)</f>
        <v>29103392.999999996</v>
      </c>
      <c r="E59" s="83">
        <f t="shared" ref="E59:H59" si="16">+E52*(E54+E55)</f>
        <v>57148480.79999999</v>
      </c>
      <c r="F59" s="83">
        <f t="shared" ref="F59" si="17">+F52*(F54+F55)</f>
        <v>14287120.199999997</v>
      </c>
      <c r="G59" s="83">
        <f t="shared" si="16"/>
        <v>14551696.499999998</v>
      </c>
      <c r="H59" s="84">
        <f t="shared" si="16"/>
        <v>3198600.4703759984</v>
      </c>
    </row>
    <row r="60" spans="1:9" ht="15" customHeight="1" thickBot="1" x14ac:dyDescent="0.4">
      <c r="A60" s="170" t="s">
        <v>37</v>
      </c>
      <c r="B60" s="171"/>
      <c r="C60" s="171"/>
      <c r="D60" s="85">
        <f>+D52*D56</f>
        <v>552964.46699999995</v>
      </c>
      <c r="E60" s="86">
        <f t="shared" ref="E60:H60" si="18">+E52*E56</f>
        <v>1085821.1351999997</v>
      </c>
      <c r="F60" s="86">
        <f t="shared" ref="F60" si="19">+F52*F56</f>
        <v>271455.28379999992</v>
      </c>
      <c r="G60" s="86">
        <f t="shared" si="18"/>
        <v>276482.23349999997</v>
      </c>
      <c r="H60" s="87">
        <f t="shared" si="18"/>
        <v>60773.40893714397</v>
      </c>
    </row>
    <row r="61" spans="1:9" ht="15" customHeight="1" thickBot="1" x14ac:dyDescent="0.4">
      <c r="A61" s="149" t="s">
        <v>38</v>
      </c>
      <c r="B61" s="150"/>
      <c r="C61" s="150"/>
      <c r="D61" s="88">
        <f>+D59+D60</f>
        <v>29656357.466999996</v>
      </c>
      <c r="E61" s="89">
        <f t="shared" ref="E61:F61" si="20">+E59+E60</f>
        <v>58234301.935199991</v>
      </c>
      <c r="F61" s="89">
        <f t="shared" si="20"/>
        <v>14558575.483799998</v>
      </c>
      <c r="G61" s="89">
        <f t="shared" ref="G61" si="21">+G59+G60</f>
        <v>14828178.733499998</v>
      </c>
      <c r="H61" s="90">
        <f t="shared" ref="H61" si="22">+H59+H60</f>
        <v>3259373.8793131425</v>
      </c>
    </row>
    <row r="62" spans="1:9" ht="13.5" thickBot="1" x14ac:dyDescent="0.4"/>
    <row r="63" spans="1:9" x14ac:dyDescent="0.35">
      <c r="G63" s="73" t="s">
        <v>1</v>
      </c>
      <c r="H63" s="123">
        <f>SUM(D59:H59)</f>
        <v>118289290.97037598</v>
      </c>
      <c r="I63" s="52"/>
    </row>
    <row r="64" spans="1:9" x14ac:dyDescent="0.35">
      <c r="G64" s="74" t="s">
        <v>3</v>
      </c>
      <c r="H64" s="124">
        <f>SUM(D60:H60)</f>
        <v>2247496.5284371437</v>
      </c>
    </row>
    <row r="65" spans="2:8" ht="13.5" thickBot="1" x14ac:dyDescent="0.4">
      <c r="G65" s="75" t="s">
        <v>4</v>
      </c>
      <c r="H65" s="125">
        <f>+H63+H64</f>
        <v>120536787.49881312</v>
      </c>
    </row>
    <row r="68" spans="2:8" ht="15" customHeight="1" thickBot="1" x14ac:dyDescent="0.4"/>
    <row r="69" spans="2:8" ht="13.5" thickBot="1" x14ac:dyDescent="0.4">
      <c r="B69" s="151" t="s">
        <v>71</v>
      </c>
      <c r="C69" s="155"/>
    </row>
    <row r="70" spans="2:8" x14ac:dyDescent="0.35">
      <c r="B70" s="115" t="s">
        <v>56</v>
      </c>
      <c r="C70" s="126">
        <f>+H31</f>
        <v>118591215.0835451</v>
      </c>
    </row>
    <row r="71" spans="2:8" x14ac:dyDescent="0.35">
      <c r="B71" s="116" t="s">
        <v>57</v>
      </c>
      <c r="C71" s="127">
        <f>+H31</f>
        <v>118591215.0835451</v>
      </c>
    </row>
    <row r="72" spans="2:8" x14ac:dyDescent="0.35">
      <c r="B72" s="116" t="s">
        <v>66</v>
      </c>
      <c r="C72" s="127">
        <f>+H31</f>
        <v>118591215.0835451</v>
      </c>
    </row>
    <row r="73" spans="2:8" x14ac:dyDescent="0.35">
      <c r="B73" s="116" t="s">
        <v>65</v>
      </c>
      <c r="C73" s="127">
        <f>+H31</f>
        <v>118591215.0835451</v>
      </c>
    </row>
    <row r="74" spans="2:8" x14ac:dyDescent="0.35">
      <c r="B74" s="117" t="s">
        <v>58</v>
      </c>
      <c r="C74" s="127">
        <v>55449459.189999998</v>
      </c>
    </row>
    <row r="75" spans="2:8" x14ac:dyDescent="0.35">
      <c r="B75" s="117" t="s">
        <v>59</v>
      </c>
      <c r="C75" s="127">
        <v>64177640.87005657</v>
      </c>
    </row>
    <row r="76" spans="2:8" x14ac:dyDescent="0.35">
      <c r="B76" s="116" t="s">
        <v>60</v>
      </c>
      <c r="C76" s="127">
        <f>+H65</f>
        <v>120536787.49881312</v>
      </c>
    </row>
    <row r="77" spans="2:8" x14ac:dyDescent="0.35">
      <c r="B77" s="116" t="s">
        <v>61</v>
      </c>
      <c r="C77" s="127">
        <f>+H65</f>
        <v>120536787.49881312</v>
      </c>
    </row>
    <row r="78" spans="2:8" x14ac:dyDescent="0.35">
      <c r="B78" s="116" t="s">
        <v>62</v>
      </c>
      <c r="C78" s="127">
        <f>+H65</f>
        <v>120536787.49881312</v>
      </c>
    </row>
    <row r="79" spans="2:8" x14ac:dyDescent="0.35">
      <c r="B79" s="116" t="s">
        <v>63</v>
      </c>
      <c r="C79" s="127">
        <f>+H65</f>
        <v>120536787.49881312</v>
      </c>
    </row>
    <row r="80" spans="2:8" ht="13.5" thickBot="1" x14ac:dyDescent="0.4">
      <c r="B80" s="118" t="s">
        <v>64</v>
      </c>
      <c r="C80" s="128">
        <f>+H65</f>
        <v>120536787.49881312</v>
      </c>
    </row>
    <row r="81" spans="2:4" ht="13.5" thickBot="1" x14ac:dyDescent="0.4">
      <c r="C81" s="129"/>
    </row>
    <row r="82" spans="2:4" ht="13.5" thickBot="1" x14ac:dyDescent="0.4">
      <c r="B82" s="130" t="s">
        <v>67</v>
      </c>
      <c r="C82" s="131">
        <f>SUM(C70:C80)</f>
        <v>1196675897.8883028</v>
      </c>
    </row>
    <row r="83" spans="2:4" x14ac:dyDescent="0.35">
      <c r="C83" s="122"/>
    </row>
    <row r="85" spans="2:4" ht="13.5" thickBot="1" x14ac:dyDescent="0.4"/>
    <row r="86" spans="2:4" x14ac:dyDescent="0.35">
      <c r="B86" s="115" t="s">
        <v>68</v>
      </c>
      <c r="C86" s="119">
        <v>1441402145</v>
      </c>
    </row>
    <row r="87" spans="2:4" x14ac:dyDescent="0.35">
      <c r="B87" s="116" t="s">
        <v>69</v>
      </c>
      <c r="C87" s="120">
        <f>+C82</f>
        <v>1196675897.8883028</v>
      </c>
    </row>
    <row r="88" spans="2:4" ht="13.5" thickBot="1" x14ac:dyDescent="0.4">
      <c r="B88" s="118" t="s">
        <v>70</v>
      </c>
      <c r="C88" s="121">
        <f>+C86-C87</f>
        <v>244726247.1116972</v>
      </c>
      <c r="D88" s="39"/>
    </row>
    <row r="89" spans="2:4" x14ac:dyDescent="0.35">
      <c r="D89" s="39"/>
    </row>
  </sheetData>
  <mergeCells count="31">
    <mergeCell ref="A18:C18"/>
    <mergeCell ref="A20:C20"/>
    <mergeCell ref="A21:C21"/>
    <mergeCell ref="A22:C22"/>
    <mergeCell ref="F9:F15"/>
    <mergeCell ref="H9:H15"/>
    <mergeCell ref="G9:G15"/>
    <mergeCell ref="E9:E15"/>
    <mergeCell ref="D9:D15"/>
    <mergeCell ref="A9:A15"/>
    <mergeCell ref="A52:C52"/>
    <mergeCell ref="A23:C23"/>
    <mergeCell ref="A27:C27"/>
    <mergeCell ref="A26:C26"/>
    <mergeCell ref="A25:C25"/>
    <mergeCell ref="F43:F49"/>
    <mergeCell ref="A61:C61"/>
    <mergeCell ref="A35:H35"/>
    <mergeCell ref="A1:H1"/>
    <mergeCell ref="B69:C69"/>
    <mergeCell ref="A54:C54"/>
    <mergeCell ref="A55:C55"/>
    <mergeCell ref="A56:C56"/>
    <mergeCell ref="A57:C57"/>
    <mergeCell ref="A59:C59"/>
    <mergeCell ref="A60:C60"/>
    <mergeCell ref="A43:A49"/>
    <mergeCell ref="D43:D49"/>
    <mergeCell ref="E43:E49"/>
    <mergeCell ref="G43:G49"/>
    <mergeCell ref="H43:H49"/>
  </mergeCells>
  <pageMargins left="0.7" right="0.7" top="0.75" bottom="0.75" header="0.3" footer="0.3"/>
  <pageSetup scale="17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TARIFAS 2025 </vt:lpstr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Rincon</dc:creator>
  <cp:lastModifiedBy>Daniel Rincon</cp:lastModifiedBy>
  <dcterms:created xsi:type="dcterms:W3CDTF">2025-01-31T16:05:23Z</dcterms:created>
  <dcterms:modified xsi:type="dcterms:W3CDTF">2025-02-12T14:37:30Z</dcterms:modified>
</cp:coreProperties>
</file>